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bell/Dropbox (Gates Institute)/Caroline Moreau Work/SFP Project/Model/"/>
    </mc:Choice>
  </mc:AlternateContent>
  <bookViews>
    <workbookView xWindow="9260" yWindow="1220" windowWidth="20400" windowHeight="13760" xr2:uid="{00000000-000D-0000-FFFF-FFFF00000000}"/>
  </bookViews>
  <sheets>
    <sheet name="NonPregnant Outcomes" sheetId="1" r:id="rId1"/>
    <sheet name="Failure Rates" sheetId="2" r:id="rId2"/>
    <sheet name="Pregnant Outcomes" sheetId="4" r:id="rId3"/>
    <sheet name="PersonMonthsPregnant" sheetId="5" r:id="rId4"/>
    <sheet name="VTEPersonMonthsPregnant" sheetId="7" r:id="rId5"/>
    <sheet name="Final Outcome" sheetId="6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4" l="1"/>
  <c r="H24" i="5"/>
  <c r="E24" i="5"/>
  <c r="I4" i="5"/>
  <c r="I10" i="5"/>
  <c r="I5" i="5"/>
  <c r="I6" i="5"/>
  <c r="I7" i="5"/>
  <c r="E8" i="5"/>
  <c r="I8" i="5"/>
  <c r="E9" i="5"/>
  <c r="I9" i="5"/>
  <c r="I3" i="5"/>
  <c r="K3" i="5"/>
  <c r="J3" i="5"/>
  <c r="L24" i="5"/>
  <c r="I9" i="4"/>
  <c r="I8" i="4"/>
  <c r="I7" i="4"/>
  <c r="I6" i="4"/>
  <c r="I5" i="4"/>
  <c r="I4" i="4"/>
  <c r="I3" i="4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" i="6"/>
  <c r="C58" i="7"/>
  <c r="C57" i="7"/>
  <c r="C56" i="7"/>
  <c r="H55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H42" i="7"/>
  <c r="C42" i="7"/>
  <c r="C41" i="7"/>
  <c r="C40" i="7"/>
  <c r="C39" i="7"/>
  <c r="C38" i="7"/>
  <c r="L37" i="7"/>
  <c r="H37" i="7"/>
  <c r="C37" i="7"/>
  <c r="H36" i="7"/>
  <c r="L36" i="7"/>
  <c r="C36" i="7"/>
  <c r="H35" i="7"/>
  <c r="L35" i="7"/>
  <c r="C35" i="7"/>
  <c r="H34" i="7"/>
  <c r="C34" i="7"/>
  <c r="H33" i="7"/>
  <c r="C33" i="7"/>
  <c r="H32" i="7"/>
  <c r="C32" i="7"/>
  <c r="L31" i="7"/>
  <c r="H31" i="7"/>
  <c r="C31" i="7"/>
  <c r="L30" i="7"/>
  <c r="H30" i="7"/>
  <c r="F30" i="7"/>
  <c r="J30" i="7"/>
  <c r="C30" i="7"/>
  <c r="L29" i="7"/>
  <c r="H29" i="7"/>
  <c r="H57" i="7"/>
  <c r="C29" i="7"/>
  <c r="K28" i="7"/>
  <c r="H28" i="7"/>
  <c r="L28" i="7"/>
  <c r="F28" i="7"/>
  <c r="G28" i="7"/>
  <c r="C28" i="7"/>
  <c r="H27" i="7"/>
  <c r="L27" i="7"/>
  <c r="C27" i="7"/>
  <c r="H26" i="7"/>
  <c r="C26" i="7"/>
  <c r="H25" i="7"/>
  <c r="C25" i="7"/>
  <c r="H24" i="7"/>
  <c r="H52" i="7"/>
  <c r="C24" i="7"/>
  <c r="L23" i="7"/>
  <c r="H23" i="7"/>
  <c r="C23" i="7"/>
  <c r="H22" i="7"/>
  <c r="H50" i="7"/>
  <c r="C22" i="7"/>
  <c r="L21" i="7"/>
  <c r="H21" i="7"/>
  <c r="G21" i="7"/>
  <c r="K21" i="7"/>
  <c r="C21" i="7"/>
  <c r="H20" i="7"/>
  <c r="H48" i="7"/>
  <c r="C20" i="7"/>
  <c r="L19" i="7"/>
  <c r="H19" i="7"/>
  <c r="C19" i="7"/>
  <c r="H18" i="7"/>
  <c r="L18" i="7"/>
  <c r="C18" i="7"/>
  <c r="L17" i="7"/>
  <c r="H17" i="7"/>
  <c r="G17" i="7"/>
  <c r="K17" i="7"/>
  <c r="C17" i="7"/>
  <c r="H16" i="7"/>
  <c r="H44" i="7"/>
  <c r="C16" i="7"/>
  <c r="L15" i="7"/>
  <c r="H15" i="7"/>
  <c r="C15" i="7"/>
  <c r="J14" i="7"/>
  <c r="I14" i="7"/>
  <c r="M14" i="7"/>
  <c r="H14" i="7"/>
  <c r="L14" i="7"/>
  <c r="F14" i="7"/>
  <c r="G14" i="7"/>
  <c r="K14" i="7"/>
  <c r="E14" i="7"/>
  <c r="C14" i="7"/>
  <c r="L13" i="7"/>
  <c r="H13" i="7"/>
  <c r="C13" i="7"/>
  <c r="L12" i="7"/>
  <c r="H12" i="7"/>
  <c r="H40" i="7"/>
  <c r="L40" i="7"/>
  <c r="C12" i="7"/>
  <c r="L11" i="7"/>
  <c r="H11" i="7"/>
  <c r="F11" i="7"/>
  <c r="J11" i="7"/>
  <c r="C11" i="7"/>
  <c r="L10" i="7"/>
  <c r="J10" i="7"/>
  <c r="H10" i="7"/>
  <c r="H38" i="7"/>
  <c r="F10" i="7"/>
  <c r="G10" i="7"/>
  <c r="K10" i="7"/>
  <c r="E10" i="7"/>
  <c r="I10" i="7"/>
  <c r="M10" i="7"/>
  <c r="C10" i="7"/>
  <c r="L9" i="7"/>
  <c r="J9" i="7"/>
  <c r="F9" i="7"/>
  <c r="E9" i="7"/>
  <c r="I9" i="7"/>
  <c r="C9" i="7"/>
  <c r="L8" i="7"/>
  <c r="F8" i="7"/>
  <c r="C8" i="7"/>
  <c r="L7" i="7"/>
  <c r="J7" i="7"/>
  <c r="I7" i="7"/>
  <c r="G7" i="7"/>
  <c r="K7" i="7"/>
  <c r="F7" i="7"/>
  <c r="F21" i="7"/>
  <c r="J21" i="7"/>
  <c r="E7" i="7"/>
  <c r="C7" i="7"/>
  <c r="L6" i="7"/>
  <c r="J6" i="7"/>
  <c r="I6" i="7"/>
  <c r="F6" i="7"/>
  <c r="E6" i="7"/>
  <c r="C6" i="7"/>
  <c r="L5" i="7"/>
  <c r="F5" i="7"/>
  <c r="F12" i="7"/>
  <c r="C5" i="7"/>
  <c r="L4" i="7"/>
  <c r="J4" i="7"/>
  <c r="I4" i="7"/>
  <c r="M4" i="7"/>
  <c r="G4" i="7"/>
  <c r="K4" i="7"/>
  <c r="F4" i="7"/>
  <c r="E4" i="7"/>
  <c r="C4" i="7"/>
  <c r="L3" i="7"/>
  <c r="J3" i="7"/>
  <c r="F3" i="7"/>
  <c r="F17" i="7"/>
  <c r="J17" i="7"/>
  <c r="E3" i="7"/>
  <c r="C3" i="7"/>
  <c r="J3" i="4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T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" i="6"/>
  <c r="AR4" i="6"/>
  <c r="AR5" i="6"/>
  <c r="AR6" i="6"/>
  <c r="AR7" i="6"/>
  <c r="AR8" i="6"/>
  <c r="AR9" i="6"/>
  <c r="AR3" i="6"/>
  <c r="K3" i="4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" i="6"/>
  <c r="M7" i="7"/>
  <c r="G12" i="7"/>
  <c r="K12" i="7"/>
  <c r="J12" i="7"/>
  <c r="L44" i="7"/>
  <c r="L57" i="7"/>
  <c r="E32" i="7"/>
  <c r="I32" i="7"/>
  <c r="L25" i="7"/>
  <c r="H53" i="7"/>
  <c r="H54" i="7"/>
  <c r="L26" i="7"/>
  <c r="G30" i="7"/>
  <c r="K30" i="7"/>
  <c r="L32" i="7"/>
  <c r="L42" i="7"/>
  <c r="F33" i="7"/>
  <c r="F19" i="7"/>
  <c r="F26" i="7"/>
  <c r="G11" i="7"/>
  <c r="K11" i="7"/>
  <c r="J5" i="7"/>
  <c r="F15" i="7"/>
  <c r="J8" i="7"/>
  <c r="E8" i="7"/>
  <c r="I8" i="7"/>
  <c r="M8" i="7"/>
  <c r="F36" i="7"/>
  <c r="F23" i="7"/>
  <c r="F37" i="7"/>
  <c r="L38" i="7"/>
  <c r="H43" i="7"/>
  <c r="E15" i="7"/>
  <c r="I15" i="7"/>
  <c r="H45" i="7"/>
  <c r="E17" i="7"/>
  <c r="I17" i="7"/>
  <c r="M17" i="7"/>
  <c r="E19" i="7"/>
  <c r="I19" i="7"/>
  <c r="H47" i="7"/>
  <c r="H49" i="7"/>
  <c r="E21" i="7"/>
  <c r="I21" i="7"/>
  <c r="M21" i="7"/>
  <c r="E23" i="7"/>
  <c r="I23" i="7"/>
  <c r="H51" i="7"/>
  <c r="F31" i="7"/>
  <c r="H41" i="7"/>
  <c r="G5" i="7"/>
  <c r="K5" i="7"/>
  <c r="E11" i="7"/>
  <c r="I11" i="7"/>
  <c r="M11" i="7"/>
  <c r="H39" i="7"/>
  <c r="G3" i="7"/>
  <c r="F32" i="7"/>
  <c r="F25" i="7"/>
  <c r="E5" i="7"/>
  <c r="I5" i="7"/>
  <c r="F34" i="7"/>
  <c r="F27" i="7"/>
  <c r="G6" i="7"/>
  <c r="K6" i="7"/>
  <c r="M6" i="7"/>
  <c r="G8" i="7"/>
  <c r="K8" i="7"/>
  <c r="G9" i="7"/>
  <c r="K9" i="7"/>
  <c r="M9" i="7"/>
  <c r="E12" i="7"/>
  <c r="I12" i="7"/>
  <c r="M12" i="7"/>
  <c r="F13" i="7"/>
  <c r="F16" i="7"/>
  <c r="F18" i="7"/>
  <c r="F20" i="7"/>
  <c r="F22" i="7"/>
  <c r="F24" i="7"/>
  <c r="J28" i="7"/>
  <c r="F29" i="7"/>
  <c r="E31" i="7"/>
  <c r="I31" i="7"/>
  <c r="L33" i="7"/>
  <c r="E33" i="7"/>
  <c r="I33" i="7"/>
  <c r="E34" i="7"/>
  <c r="I34" i="7"/>
  <c r="L34" i="7"/>
  <c r="L55" i="7"/>
  <c r="E30" i="7"/>
  <c r="I30" i="7"/>
  <c r="M30" i="7"/>
  <c r="H58" i="7"/>
  <c r="F35" i="7"/>
  <c r="H46" i="7"/>
  <c r="L16" i="7"/>
  <c r="L48" i="7"/>
  <c r="L20" i="7"/>
  <c r="L50" i="7"/>
  <c r="L22" i="7"/>
  <c r="L52" i="7"/>
  <c r="L24" i="7"/>
  <c r="E28" i="7"/>
  <c r="I28" i="7"/>
  <c r="M28" i="7"/>
  <c r="H56" i="7"/>
  <c r="E36" i="7"/>
  <c r="I36" i="7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" i="6"/>
  <c r="H23" i="4"/>
  <c r="H9" i="4"/>
  <c r="H8" i="4"/>
  <c r="H7" i="4"/>
  <c r="H6" i="4"/>
  <c r="H5" i="4"/>
  <c r="H4" i="4"/>
  <c r="H3" i="4"/>
  <c r="L58" i="7"/>
  <c r="G22" i="7"/>
  <c r="K22" i="7"/>
  <c r="J22" i="7"/>
  <c r="E22" i="7"/>
  <c r="I22" i="7"/>
  <c r="J13" i="7"/>
  <c r="G13" i="7"/>
  <c r="K13" i="7"/>
  <c r="G25" i="7"/>
  <c r="K25" i="7"/>
  <c r="J25" i="7"/>
  <c r="G31" i="7"/>
  <c r="K31" i="7"/>
  <c r="M31" i="7"/>
  <c r="F52" i="7"/>
  <c r="J31" i="7"/>
  <c r="F45" i="7"/>
  <c r="F38" i="7"/>
  <c r="L49" i="7"/>
  <c r="L45" i="7"/>
  <c r="E45" i="7"/>
  <c r="I45" i="7"/>
  <c r="E53" i="7"/>
  <c r="I53" i="7"/>
  <c r="L53" i="7"/>
  <c r="M34" i="7"/>
  <c r="G29" i="7"/>
  <c r="K29" i="7"/>
  <c r="E29" i="7"/>
  <c r="I29" i="7"/>
  <c r="J29" i="7"/>
  <c r="G20" i="7"/>
  <c r="K20" i="7"/>
  <c r="J20" i="7"/>
  <c r="E20" i="7"/>
  <c r="I20" i="7"/>
  <c r="G27" i="7"/>
  <c r="K27" i="7"/>
  <c r="J27" i="7"/>
  <c r="E27" i="7"/>
  <c r="I27" i="7"/>
  <c r="F53" i="7"/>
  <c r="J32" i="7"/>
  <c r="M32" i="7"/>
  <c r="G32" i="7"/>
  <c r="K32" i="7"/>
  <c r="F46" i="7"/>
  <c r="F39" i="7"/>
  <c r="E51" i="7"/>
  <c r="I51" i="7"/>
  <c r="L51" i="7"/>
  <c r="L47" i="7"/>
  <c r="G37" i="7"/>
  <c r="K37" i="7"/>
  <c r="F51" i="7"/>
  <c r="F58" i="7"/>
  <c r="F44" i="7"/>
  <c r="J37" i="7"/>
  <c r="E37" i="7"/>
  <c r="I37" i="7"/>
  <c r="G26" i="7"/>
  <c r="K26" i="7"/>
  <c r="J26" i="7"/>
  <c r="E54" i="7"/>
  <c r="I54" i="7"/>
  <c r="L54" i="7"/>
  <c r="L56" i="7"/>
  <c r="E46" i="7"/>
  <c r="I46" i="7"/>
  <c r="L46" i="7"/>
  <c r="G18" i="7"/>
  <c r="K18" i="7"/>
  <c r="J18" i="7"/>
  <c r="E18" i="7"/>
  <c r="I18" i="7"/>
  <c r="F55" i="7"/>
  <c r="F48" i="7"/>
  <c r="F41" i="7"/>
  <c r="G34" i="7"/>
  <c r="K34" i="7"/>
  <c r="J34" i="7"/>
  <c r="I3" i="7"/>
  <c r="K3" i="7"/>
  <c r="L43" i="7"/>
  <c r="E43" i="7"/>
  <c r="I43" i="7"/>
  <c r="J23" i="7"/>
  <c r="M23" i="7"/>
  <c r="G23" i="7"/>
  <c r="K23" i="7"/>
  <c r="J15" i="7"/>
  <c r="M15" i="7"/>
  <c r="G15" i="7"/>
  <c r="K15" i="7"/>
  <c r="J19" i="7"/>
  <c r="G19" i="7"/>
  <c r="K19" i="7"/>
  <c r="M19" i="7"/>
  <c r="E26" i="7"/>
  <c r="I26" i="7"/>
  <c r="M26" i="7"/>
  <c r="E13" i="7"/>
  <c r="I13" i="7"/>
  <c r="M13" i="7"/>
  <c r="G35" i="7"/>
  <c r="K35" i="7"/>
  <c r="F49" i="7"/>
  <c r="E49" i="7"/>
  <c r="I49" i="7"/>
  <c r="F56" i="7"/>
  <c r="F42" i="7"/>
  <c r="J35" i="7"/>
  <c r="E35" i="7"/>
  <c r="I35" i="7"/>
  <c r="M35" i="7"/>
  <c r="G24" i="7"/>
  <c r="K24" i="7"/>
  <c r="J24" i="7"/>
  <c r="E24" i="7"/>
  <c r="I24" i="7"/>
  <c r="G16" i="7"/>
  <c r="K16" i="7"/>
  <c r="J16" i="7"/>
  <c r="E16" i="7"/>
  <c r="I16" i="7"/>
  <c r="M16" i="7"/>
  <c r="M5" i="7"/>
  <c r="E39" i="7"/>
  <c r="I39" i="7"/>
  <c r="L39" i="7"/>
  <c r="L41" i="7"/>
  <c r="F57" i="7"/>
  <c r="F43" i="7"/>
  <c r="G36" i="7"/>
  <c r="K36" i="7"/>
  <c r="F50" i="7"/>
  <c r="J36" i="7"/>
  <c r="M36" i="7"/>
  <c r="G33" i="7"/>
  <c r="K33" i="7"/>
  <c r="M33" i="7"/>
  <c r="F40" i="7"/>
  <c r="J33" i="7"/>
  <c r="F54" i="7"/>
  <c r="F47" i="7"/>
  <c r="E25" i="7"/>
  <c r="I25" i="7"/>
  <c r="M25" i="7"/>
  <c r="K23" i="4"/>
  <c r="K4" i="4"/>
  <c r="K5" i="4"/>
  <c r="K6" i="4"/>
  <c r="K7" i="4"/>
  <c r="K8" i="4"/>
  <c r="K9" i="4"/>
  <c r="J8" i="4"/>
  <c r="J29" i="4"/>
  <c r="J7" i="4"/>
  <c r="J6" i="4"/>
  <c r="J27" i="4"/>
  <c r="J5" i="4"/>
  <c r="J4" i="4"/>
  <c r="J25" i="4"/>
  <c r="I24" i="4"/>
  <c r="AR24" i="6"/>
  <c r="J26" i="4"/>
  <c r="H25" i="4"/>
  <c r="H10" i="4"/>
  <c r="K10" i="4"/>
  <c r="J9" i="4"/>
  <c r="J30" i="4"/>
  <c r="I15" i="4"/>
  <c r="AR15" i="6"/>
  <c r="I13" i="4"/>
  <c r="AR13" i="6"/>
  <c r="I10" i="4"/>
  <c r="AR10" i="6"/>
  <c r="C31" i="2"/>
  <c r="D31" i="2"/>
  <c r="E31" i="2"/>
  <c r="F31" i="2"/>
  <c r="G31" i="2"/>
  <c r="H31" i="2"/>
  <c r="I31" i="2"/>
  <c r="J31" i="2"/>
  <c r="K31" i="2"/>
  <c r="L31" i="2"/>
  <c r="C32" i="2"/>
  <c r="D32" i="2"/>
  <c r="E32" i="2"/>
  <c r="F32" i="2"/>
  <c r="G32" i="2"/>
  <c r="H32" i="2"/>
  <c r="I32" i="2"/>
  <c r="J32" i="2"/>
  <c r="K32" i="2"/>
  <c r="L32" i="2"/>
  <c r="C33" i="2"/>
  <c r="D33" i="2"/>
  <c r="E33" i="2"/>
  <c r="F33" i="2"/>
  <c r="G33" i="2"/>
  <c r="H33" i="2"/>
  <c r="I33" i="2"/>
  <c r="J33" i="2"/>
  <c r="K33" i="2"/>
  <c r="L33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D30" i="2"/>
  <c r="E30" i="2"/>
  <c r="F30" i="2"/>
  <c r="G30" i="2"/>
  <c r="H30" i="2"/>
  <c r="I30" i="2"/>
  <c r="J30" i="2"/>
  <c r="K30" i="2"/>
  <c r="L30" i="2"/>
  <c r="D23" i="2"/>
  <c r="E23" i="2"/>
  <c r="F23" i="2"/>
  <c r="G23" i="2"/>
  <c r="H23" i="2"/>
  <c r="I23" i="2"/>
  <c r="J23" i="2"/>
  <c r="K23" i="2"/>
  <c r="L23" i="2"/>
  <c r="D16" i="2"/>
  <c r="E16" i="2"/>
  <c r="F16" i="2"/>
  <c r="G16" i="2"/>
  <c r="H16" i="2"/>
  <c r="I16" i="2"/>
  <c r="J16" i="2"/>
  <c r="K16" i="2"/>
  <c r="L16" i="2"/>
  <c r="C30" i="2"/>
  <c r="C23" i="2"/>
  <c r="C16" i="2"/>
  <c r="L10" i="2"/>
  <c r="L11" i="2"/>
  <c r="L12" i="2"/>
  <c r="L13" i="2"/>
  <c r="L14" i="2"/>
  <c r="L15" i="2"/>
  <c r="K10" i="2"/>
  <c r="K11" i="2"/>
  <c r="K12" i="2"/>
  <c r="K13" i="2"/>
  <c r="K14" i="2"/>
  <c r="K15" i="2"/>
  <c r="J15" i="2"/>
  <c r="J10" i="2"/>
  <c r="J11" i="2"/>
  <c r="J12" i="2"/>
  <c r="J13" i="2"/>
  <c r="J14" i="2"/>
  <c r="I10" i="2"/>
  <c r="I11" i="2"/>
  <c r="I12" i="2"/>
  <c r="I13" i="2"/>
  <c r="I14" i="2"/>
  <c r="I15" i="2"/>
  <c r="H10" i="2"/>
  <c r="H11" i="2"/>
  <c r="H12" i="2"/>
  <c r="H13" i="2"/>
  <c r="H14" i="2"/>
  <c r="H15" i="2"/>
  <c r="G10" i="2"/>
  <c r="G11" i="2"/>
  <c r="G12" i="2"/>
  <c r="G13" i="2"/>
  <c r="G14" i="2"/>
  <c r="G15" i="2"/>
  <c r="F10" i="2"/>
  <c r="F11" i="2"/>
  <c r="F12" i="2"/>
  <c r="F13" i="2"/>
  <c r="F14" i="2"/>
  <c r="F15" i="2"/>
  <c r="E10" i="2"/>
  <c r="E11" i="2"/>
  <c r="E12" i="2"/>
  <c r="E13" i="2"/>
  <c r="E14" i="2"/>
  <c r="E15" i="2"/>
  <c r="D10" i="2"/>
  <c r="D11" i="2"/>
  <c r="D12" i="2"/>
  <c r="D13" i="2"/>
  <c r="D14" i="2"/>
  <c r="D15" i="2"/>
  <c r="D9" i="2"/>
  <c r="E9" i="2"/>
  <c r="F9" i="2"/>
  <c r="G9" i="2"/>
  <c r="H9" i="2"/>
  <c r="I9" i="2"/>
  <c r="J9" i="2"/>
  <c r="K9" i="2"/>
  <c r="L9" i="2"/>
  <c r="C10" i="2"/>
  <c r="C11" i="2"/>
  <c r="C12" i="2"/>
  <c r="C13" i="2"/>
  <c r="C14" i="2"/>
  <c r="C15" i="2"/>
  <c r="C9" i="2"/>
  <c r="H30" i="5"/>
  <c r="H58" i="5"/>
  <c r="L58" i="5"/>
  <c r="F9" i="5"/>
  <c r="H29" i="5"/>
  <c r="H57" i="5"/>
  <c r="F8" i="5"/>
  <c r="F36" i="5"/>
  <c r="F57" i="5"/>
  <c r="H28" i="5"/>
  <c r="H56" i="5"/>
  <c r="L56" i="5"/>
  <c r="F7" i="5"/>
  <c r="F35" i="5"/>
  <c r="F56" i="5"/>
  <c r="J56" i="5"/>
  <c r="H27" i="5"/>
  <c r="H55" i="5"/>
  <c r="F6" i="5"/>
  <c r="F34" i="5"/>
  <c r="F48" i="5"/>
  <c r="J48" i="5"/>
  <c r="L55" i="5"/>
  <c r="H26" i="5"/>
  <c r="H54" i="5"/>
  <c r="F5" i="5"/>
  <c r="F33" i="5"/>
  <c r="L54" i="5"/>
  <c r="H25" i="5"/>
  <c r="H53" i="5"/>
  <c r="F4" i="5"/>
  <c r="F32" i="5"/>
  <c r="H52" i="5"/>
  <c r="F3" i="5"/>
  <c r="F31" i="5"/>
  <c r="H23" i="5"/>
  <c r="H51" i="5"/>
  <c r="L51" i="5"/>
  <c r="H22" i="5"/>
  <c r="H50" i="5"/>
  <c r="F50" i="5"/>
  <c r="J50" i="5"/>
  <c r="H21" i="5"/>
  <c r="H49" i="5"/>
  <c r="H20" i="5"/>
  <c r="H48" i="5"/>
  <c r="H19" i="5"/>
  <c r="H47" i="5"/>
  <c r="H18" i="5"/>
  <c r="H46" i="5"/>
  <c r="L46" i="5"/>
  <c r="H17" i="5"/>
  <c r="H45" i="5"/>
  <c r="L45" i="5"/>
  <c r="H16" i="5"/>
  <c r="H44" i="5"/>
  <c r="L44" i="5"/>
  <c r="H15" i="5"/>
  <c r="H43" i="5"/>
  <c r="E43" i="5"/>
  <c r="I43" i="5"/>
  <c r="F43" i="5"/>
  <c r="J43" i="5"/>
  <c r="L43" i="5"/>
  <c r="H14" i="5"/>
  <c r="H42" i="5"/>
  <c r="H13" i="5"/>
  <c r="H41" i="5"/>
  <c r="H12" i="5"/>
  <c r="H40" i="5"/>
  <c r="H11" i="5"/>
  <c r="H39" i="5"/>
  <c r="H10" i="5"/>
  <c r="H38" i="5"/>
  <c r="L38" i="5"/>
  <c r="H37" i="5"/>
  <c r="L37" i="5"/>
  <c r="H36" i="5"/>
  <c r="J36" i="5"/>
  <c r="L36" i="5"/>
  <c r="H35" i="5"/>
  <c r="E35" i="5"/>
  <c r="I35" i="5"/>
  <c r="J35" i="5"/>
  <c r="L35" i="5"/>
  <c r="H34" i="5"/>
  <c r="L34" i="5"/>
  <c r="J34" i="5"/>
  <c r="H33" i="5"/>
  <c r="L33" i="5"/>
  <c r="H32" i="5"/>
  <c r="L32" i="5"/>
  <c r="H31" i="5"/>
  <c r="L31" i="5"/>
  <c r="H30" i="4"/>
  <c r="H29" i="4"/>
  <c r="K29" i="4"/>
  <c r="H28" i="4"/>
  <c r="H27" i="4"/>
  <c r="H26" i="4"/>
  <c r="J23" i="4"/>
  <c r="H22" i="4"/>
  <c r="J22" i="4"/>
  <c r="H21" i="4"/>
  <c r="K21" i="4"/>
  <c r="H20" i="4"/>
  <c r="H19" i="4"/>
  <c r="H18" i="4"/>
  <c r="H17" i="4"/>
  <c r="J17" i="4"/>
  <c r="H16" i="4"/>
  <c r="J16" i="4"/>
  <c r="H15" i="4"/>
  <c r="H14" i="4"/>
  <c r="K14" i="4"/>
  <c r="J14" i="4"/>
  <c r="H13" i="4"/>
  <c r="K13" i="4"/>
  <c r="H12" i="4"/>
  <c r="J12" i="4"/>
  <c r="H11" i="4"/>
  <c r="J11" i="4"/>
  <c r="AH4" i="1"/>
  <c r="AL4" i="1"/>
  <c r="G4" i="4"/>
  <c r="AH5" i="1"/>
  <c r="AL5" i="1"/>
  <c r="G5" i="4"/>
  <c r="AH6" i="1"/>
  <c r="AL6" i="1"/>
  <c r="G6" i="4"/>
  <c r="AH7" i="1"/>
  <c r="AL7" i="1"/>
  <c r="G7" i="4"/>
  <c r="AH8" i="1"/>
  <c r="AL8" i="1"/>
  <c r="G8" i="4"/>
  <c r="AH9" i="1"/>
  <c r="AL9" i="1"/>
  <c r="G9" i="4"/>
  <c r="AH3" i="1"/>
  <c r="AH10" i="1"/>
  <c r="G3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AK6" i="1"/>
  <c r="AK8" i="1"/>
  <c r="R4" i="1"/>
  <c r="R25" i="1"/>
  <c r="R5" i="1"/>
  <c r="R6" i="1"/>
  <c r="R7" i="1"/>
  <c r="R8" i="1"/>
  <c r="R9" i="1"/>
  <c r="R3" i="1"/>
  <c r="R17" i="1"/>
  <c r="R10" i="1"/>
  <c r="E10" i="4"/>
  <c r="R11" i="1"/>
  <c r="E11" i="4"/>
  <c r="R12" i="1"/>
  <c r="E12" i="4"/>
  <c r="E13" i="4"/>
  <c r="R14" i="1"/>
  <c r="E14" i="4"/>
  <c r="E15" i="4"/>
  <c r="R16" i="1"/>
  <c r="E16" i="4"/>
  <c r="E17" i="4"/>
  <c r="R18" i="1"/>
  <c r="E18" i="4"/>
  <c r="R19" i="1"/>
  <c r="E19" i="4"/>
  <c r="E20" i="4"/>
  <c r="R21" i="1"/>
  <c r="E21" i="4"/>
  <c r="R22" i="1"/>
  <c r="E22" i="4"/>
  <c r="R23" i="1"/>
  <c r="E23" i="4"/>
  <c r="R24" i="1"/>
  <c r="E24" i="4"/>
  <c r="E25" i="4"/>
  <c r="R26" i="1"/>
  <c r="E26" i="4"/>
  <c r="R27" i="1"/>
  <c r="E27" i="4"/>
  <c r="R28" i="1"/>
  <c r="E28" i="4"/>
  <c r="E29" i="4"/>
  <c r="R30" i="1"/>
  <c r="E30" i="4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H4" i="1"/>
  <c r="D4" i="4"/>
  <c r="D11" i="4"/>
  <c r="H5" i="1"/>
  <c r="D5" i="4"/>
  <c r="H6" i="1"/>
  <c r="D6" i="4"/>
  <c r="H7" i="1"/>
  <c r="D7" i="4"/>
  <c r="D14" i="4"/>
  <c r="H8" i="1"/>
  <c r="D8" i="4"/>
  <c r="D15" i="4"/>
  <c r="H9" i="1"/>
  <c r="D9" i="4"/>
  <c r="D10" i="1"/>
  <c r="H10" i="1"/>
  <c r="D10" i="4"/>
  <c r="D11" i="1"/>
  <c r="H11" i="1"/>
  <c r="D12" i="1"/>
  <c r="H12" i="1"/>
  <c r="D12" i="4"/>
  <c r="D13" i="1"/>
  <c r="H13" i="1"/>
  <c r="D13" i="4"/>
  <c r="D14" i="1"/>
  <c r="H14" i="1"/>
  <c r="D15" i="1"/>
  <c r="H15" i="1"/>
  <c r="D16" i="1"/>
  <c r="H16" i="1"/>
  <c r="D16" i="4"/>
  <c r="D17" i="1"/>
  <c r="H17" i="1"/>
  <c r="D17" i="4"/>
  <c r="D18" i="1"/>
  <c r="H18" i="1"/>
  <c r="D18" i="4"/>
  <c r="D19" i="1"/>
  <c r="H19" i="1"/>
  <c r="D19" i="4"/>
  <c r="D20" i="1"/>
  <c r="H20" i="1"/>
  <c r="D20" i="4"/>
  <c r="D21" i="1"/>
  <c r="H21" i="1"/>
  <c r="D22" i="1"/>
  <c r="H22" i="1"/>
  <c r="D22" i="4"/>
  <c r="D23" i="1"/>
  <c r="H23" i="1"/>
  <c r="D23" i="4"/>
  <c r="D24" i="1"/>
  <c r="H24" i="1"/>
  <c r="D24" i="4"/>
  <c r="D25" i="1"/>
  <c r="H25" i="1"/>
  <c r="D25" i="4"/>
  <c r="D26" i="1"/>
  <c r="H26" i="1"/>
  <c r="D26" i="4"/>
  <c r="D27" i="1"/>
  <c r="H27" i="1"/>
  <c r="D27" i="4"/>
  <c r="D28" i="1"/>
  <c r="H28" i="1"/>
  <c r="D29" i="1"/>
  <c r="H29" i="1"/>
  <c r="D29" i="4"/>
  <c r="D30" i="1"/>
  <c r="H30" i="1"/>
  <c r="D30" i="4"/>
  <c r="H3" i="1"/>
  <c r="G4" i="1"/>
  <c r="G5" i="1"/>
  <c r="G6" i="1"/>
  <c r="G7" i="1"/>
  <c r="G8" i="1"/>
  <c r="G9" i="1"/>
  <c r="G11" i="1"/>
  <c r="G13" i="1"/>
  <c r="G15" i="1"/>
  <c r="G17" i="1"/>
  <c r="G19" i="1"/>
  <c r="G21" i="1"/>
  <c r="G23" i="1"/>
  <c r="G25" i="1"/>
  <c r="G27" i="1"/>
  <c r="G29" i="1"/>
  <c r="G3" i="1"/>
  <c r="AB4" i="1"/>
  <c r="F4" i="4"/>
  <c r="AB5" i="1"/>
  <c r="F5" i="4"/>
  <c r="AB6" i="1"/>
  <c r="F6" i="4"/>
  <c r="AB7" i="1"/>
  <c r="F7" i="4"/>
  <c r="F14" i="4"/>
  <c r="AB8" i="1"/>
  <c r="F8" i="4"/>
  <c r="AB9" i="1"/>
  <c r="F9" i="4"/>
  <c r="X10" i="1"/>
  <c r="AB10" i="1"/>
  <c r="F3" i="4"/>
  <c r="F10" i="4"/>
  <c r="X11" i="1"/>
  <c r="AB11" i="1"/>
  <c r="F11" i="4"/>
  <c r="X12" i="1"/>
  <c r="AB12" i="1"/>
  <c r="F12" i="4"/>
  <c r="X13" i="1"/>
  <c r="AB13" i="1"/>
  <c r="F13" i="4"/>
  <c r="X14" i="1"/>
  <c r="AB14" i="1"/>
  <c r="X15" i="1"/>
  <c r="AB15" i="1"/>
  <c r="F15" i="4"/>
  <c r="X16" i="1"/>
  <c r="AB16" i="1"/>
  <c r="F16" i="4"/>
  <c r="X17" i="1"/>
  <c r="AB17" i="1"/>
  <c r="F17" i="4"/>
  <c r="X18" i="1"/>
  <c r="AB18" i="1"/>
  <c r="F18" i="4"/>
  <c r="X19" i="1"/>
  <c r="AB19" i="1"/>
  <c r="F19" i="4"/>
  <c r="X20" i="1"/>
  <c r="AB20" i="1"/>
  <c r="F20" i="4"/>
  <c r="X21" i="1"/>
  <c r="AB21" i="1"/>
  <c r="X22" i="1"/>
  <c r="AB22" i="1"/>
  <c r="F22" i="4"/>
  <c r="X23" i="1"/>
  <c r="AB23" i="1"/>
  <c r="F23" i="4"/>
  <c r="X24" i="1"/>
  <c r="AB24" i="1"/>
  <c r="F24" i="4"/>
  <c r="X25" i="1"/>
  <c r="AB25" i="1"/>
  <c r="F25" i="4"/>
  <c r="X26" i="1"/>
  <c r="AB26" i="1"/>
  <c r="F26" i="4"/>
  <c r="X27" i="1"/>
  <c r="AB27" i="1"/>
  <c r="F27" i="4"/>
  <c r="X28" i="1"/>
  <c r="AB28" i="1"/>
  <c r="X29" i="1"/>
  <c r="AB29" i="1"/>
  <c r="F29" i="4"/>
  <c r="X30" i="1"/>
  <c r="AB30" i="1"/>
  <c r="F30" i="4"/>
  <c r="AB3" i="1"/>
  <c r="AA4" i="1"/>
  <c r="AA5" i="1"/>
  <c r="AA6" i="1"/>
  <c r="AA7" i="1"/>
  <c r="AA8" i="1"/>
  <c r="AA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" i="6"/>
  <c r="Y3" i="1"/>
  <c r="G3" i="5"/>
  <c r="L3" i="5"/>
  <c r="Z3" i="1"/>
  <c r="AC3" i="1"/>
  <c r="AD3" i="1"/>
  <c r="AE3" i="1"/>
  <c r="AF3" i="1"/>
  <c r="AG3" i="1"/>
  <c r="E3" i="1"/>
  <c r="F3" i="1"/>
  <c r="I3" i="1"/>
  <c r="J3" i="1"/>
  <c r="K3" i="1"/>
  <c r="L3" i="1"/>
  <c r="M3" i="1"/>
  <c r="O3" i="1"/>
  <c r="P3" i="1"/>
  <c r="S3" i="1"/>
  <c r="T3" i="1"/>
  <c r="U3" i="1"/>
  <c r="V3" i="1"/>
  <c r="W3" i="1"/>
  <c r="AI3" i="1"/>
  <c r="AJ3" i="1"/>
  <c r="AM3" i="1"/>
  <c r="AN3" i="1"/>
  <c r="AO3" i="1"/>
  <c r="AP3" i="1"/>
  <c r="AQ3" i="1"/>
  <c r="AQ4" i="1"/>
  <c r="E4" i="5"/>
  <c r="J4" i="5"/>
  <c r="G4" i="5"/>
  <c r="K4" i="5"/>
  <c r="L4" i="5"/>
  <c r="AQ5" i="1"/>
  <c r="E5" i="5"/>
  <c r="J5" i="5"/>
  <c r="G5" i="5"/>
  <c r="K5" i="5"/>
  <c r="L5" i="5"/>
  <c r="AQ6" i="1"/>
  <c r="E6" i="5"/>
  <c r="J6" i="5"/>
  <c r="G6" i="5"/>
  <c r="K6" i="5"/>
  <c r="L6" i="5"/>
  <c r="AQ7" i="1"/>
  <c r="E7" i="5"/>
  <c r="J7" i="5"/>
  <c r="G7" i="5"/>
  <c r="K7" i="5"/>
  <c r="L7" i="5"/>
  <c r="AQ8" i="1"/>
  <c r="J8" i="5"/>
  <c r="G8" i="5"/>
  <c r="K8" i="5"/>
  <c r="L8" i="5"/>
  <c r="AQ9" i="1"/>
  <c r="J9" i="5"/>
  <c r="G9" i="5"/>
  <c r="K9" i="5"/>
  <c r="L9" i="5"/>
  <c r="AP4" i="1"/>
  <c r="AP5" i="1"/>
  <c r="AP6" i="1"/>
  <c r="AP7" i="1"/>
  <c r="AP8" i="1"/>
  <c r="AP9" i="1"/>
  <c r="AO4" i="1"/>
  <c r="AO5" i="1"/>
  <c r="AO6" i="1"/>
  <c r="AO7" i="1"/>
  <c r="AO8" i="1"/>
  <c r="AO9" i="1"/>
  <c r="AN4" i="1"/>
  <c r="AN5" i="1"/>
  <c r="AN6" i="1"/>
  <c r="AN7" i="1"/>
  <c r="AN8" i="1"/>
  <c r="AN9" i="1"/>
  <c r="AM4" i="1"/>
  <c r="AM5" i="1"/>
  <c r="AM6" i="1"/>
  <c r="AM7" i="1"/>
  <c r="AM8" i="1"/>
  <c r="AM9" i="1"/>
  <c r="AJ4" i="1"/>
  <c r="AJ5" i="1"/>
  <c r="AJ6" i="1"/>
  <c r="AJ7" i="1"/>
  <c r="AJ8" i="1"/>
  <c r="AJ9" i="1"/>
  <c r="AI4" i="1"/>
  <c r="AI5" i="1"/>
  <c r="AI6" i="1"/>
  <c r="AI7" i="1"/>
  <c r="AI8" i="1"/>
  <c r="AI9" i="1"/>
  <c r="W4" i="1"/>
  <c r="W5" i="1"/>
  <c r="W6" i="1"/>
  <c r="W7" i="1"/>
  <c r="W8" i="1"/>
  <c r="W9" i="1"/>
  <c r="V4" i="1"/>
  <c r="V5" i="1"/>
  <c r="V6" i="1"/>
  <c r="V7" i="1"/>
  <c r="V8" i="1"/>
  <c r="V9" i="1"/>
  <c r="T4" i="1"/>
  <c r="T5" i="1"/>
  <c r="T6" i="1"/>
  <c r="T7" i="1"/>
  <c r="T8" i="1"/>
  <c r="T9" i="1"/>
  <c r="U4" i="1"/>
  <c r="U5" i="1"/>
  <c r="U6" i="1"/>
  <c r="U7" i="1"/>
  <c r="U8" i="1"/>
  <c r="U9" i="1"/>
  <c r="S4" i="1"/>
  <c r="S5" i="1"/>
  <c r="S6" i="1"/>
  <c r="S7" i="1"/>
  <c r="S8" i="1"/>
  <c r="S9" i="1"/>
  <c r="P4" i="1"/>
  <c r="P5" i="1"/>
  <c r="P6" i="1"/>
  <c r="P7" i="1"/>
  <c r="P8" i="1"/>
  <c r="P9" i="1"/>
  <c r="O4" i="1"/>
  <c r="O5" i="1"/>
  <c r="O6" i="1"/>
  <c r="O7" i="1"/>
  <c r="O8" i="1"/>
  <c r="O9" i="1"/>
  <c r="M6" i="1"/>
  <c r="M7" i="1"/>
  <c r="M8" i="1"/>
  <c r="M9" i="1"/>
  <c r="L6" i="1"/>
  <c r="L7" i="1"/>
  <c r="L8" i="1"/>
  <c r="L9" i="1"/>
  <c r="K6" i="1"/>
  <c r="K7" i="1"/>
  <c r="K8" i="1"/>
  <c r="K9" i="1"/>
  <c r="J6" i="1"/>
  <c r="J7" i="1"/>
  <c r="J8" i="1"/>
  <c r="J9" i="1"/>
  <c r="I6" i="1"/>
  <c r="I7" i="1"/>
  <c r="I8" i="1"/>
  <c r="I9" i="1"/>
  <c r="F6" i="1"/>
  <c r="F7" i="1"/>
  <c r="F8" i="1"/>
  <c r="F9" i="1"/>
  <c r="E6" i="1"/>
  <c r="E7" i="1"/>
  <c r="E8" i="1"/>
  <c r="E9" i="1"/>
  <c r="M5" i="1"/>
  <c r="L5" i="1"/>
  <c r="K5" i="1"/>
  <c r="J5" i="1"/>
  <c r="I5" i="1"/>
  <c r="F5" i="1"/>
  <c r="E5" i="1"/>
  <c r="M4" i="1"/>
  <c r="L4" i="1"/>
  <c r="K4" i="1"/>
  <c r="J4" i="1"/>
  <c r="I4" i="1"/>
  <c r="F4" i="1"/>
  <c r="E4" i="1"/>
  <c r="AG4" i="1"/>
  <c r="AF4" i="1"/>
  <c r="AE4" i="1"/>
  <c r="AD4" i="1"/>
  <c r="AC4" i="1"/>
  <c r="Z4" i="1"/>
  <c r="Y4" i="1"/>
  <c r="AG5" i="1"/>
  <c r="AF5" i="1"/>
  <c r="AE5" i="1"/>
  <c r="AD5" i="1"/>
  <c r="AC5" i="1"/>
  <c r="Z5" i="1"/>
  <c r="Y5" i="1"/>
  <c r="AG6" i="1"/>
  <c r="AF6" i="1"/>
  <c r="AE6" i="1"/>
  <c r="AD6" i="1"/>
  <c r="AC6" i="1"/>
  <c r="Z6" i="1"/>
  <c r="Y6" i="1"/>
  <c r="AG7" i="1"/>
  <c r="AF7" i="1"/>
  <c r="AE7" i="1"/>
  <c r="AD7" i="1"/>
  <c r="AC7" i="1"/>
  <c r="Z7" i="1"/>
  <c r="Y7" i="1"/>
  <c r="AG8" i="1"/>
  <c r="AF8" i="1"/>
  <c r="AE8" i="1"/>
  <c r="AD8" i="1"/>
  <c r="AC8" i="1"/>
  <c r="Z8" i="1"/>
  <c r="Y8" i="1"/>
  <c r="AG9" i="1"/>
  <c r="AF9" i="1"/>
  <c r="AE9" i="1"/>
  <c r="AD9" i="1"/>
  <c r="AC9" i="1"/>
  <c r="Z9" i="1"/>
  <c r="Y9" i="1"/>
  <c r="AQ10" i="1"/>
  <c r="F10" i="5"/>
  <c r="J10" i="5"/>
  <c r="E10" i="5"/>
  <c r="G10" i="5"/>
  <c r="K10" i="5"/>
  <c r="L10" i="5"/>
  <c r="AP10" i="1"/>
  <c r="AO10" i="1"/>
  <c r="AN10" i="1"/>
  <c r="AM10" i="1"/>
  <c r="AJ10" i="1"/>
  <c r="AI10" i="1"/>
  <c r="N10" i="1"/>
  <c r="M10" i="1"/>
  <c r="L10" i="1"/>
  <c r="K10" i="1"/>
  <c r="J10" i="1"/>
  <c r="I10" i="1"/>
  <c r="F10" i="1"/>
  <c r="E10" i="1"/>
  <c r="AG10" i="1"/>
  <c r="AF10" i="1"/>
  <c r="AE10" i="1"/>
  <c r="AD10" i="1"/>
  <c r="AC10" i="1"/>
  <c r="Z10" i="1"/>
  <c r="Y10" i="1"/>
  <c r="M16" i="1"/>
  <c r="F16" i="5"/>
  <c r="J16" i="5"/>
  <c r="E16" i="5"/>
  <c r="I16" i="5"/>
  <c r="G16" i="5"/>
  <c r="K16" i="5"/>
  <c r="L16" i="5"/>
  <c r="F11" i="5"/>
  <c r="J11" i="5"/>
  <c r="E11" i="5"/>
  <c r="I11" i="5"/>
  <c r="M11" i="5"/>
  <c r="G11" i="5"/>
  <c r="K11" i="5"/>
  <c r="L11" i="5"/>
  <c r="F12" i="5"/>
  <c r="J12" i="5"/>
  <c r="E12" i="5"/>
  <c r="I12" i="5"/>
  <c r="L12" i="5"/>
  <c r="F13" i="5"/>
  <c r="E13" i="5"/>
  <c r="I13" i="5"/>
  <c r="G13" i="5"/>
  <c r="K13" i="5"/>
  <c r="L13" i="5"/>
  <c r="F14" i="5"/>
  <c r="J14" i="5"/>
  <c r="E14" i="5"/>
  <c r="I14" i="5"/>
  <c r="L14" i="5"/>
  <c r="F15" i="5"/>
  <c r="E15" i="5"/>
  <c r="I15" i="5"/>
  <c r="G15" i="5"/>
  <c r="K15" i="5"/>
  <c r="L15" i="5"/>
  <c r="N11" i="1"/>
  <c r="W11" i="1"/>
  <c r="N12" i="1"/>
  <c r="W12" i="1"/>
  <c r="N13" i="1"/>
  <c r="N14" i="1"/>
  <c r="V14" i="1"/>
  <c r="W14" i="1"/>
  <c r="N15" i="1"/>
  <c r="W15" i="1"/>
  <c r="N16" i="1"/>
  <c r="W16" i="1"/>
  <c r="V11" i="1"/>
  <c r="V12" i="1"/>
  <c r="V15" i="1"/>
  <c r="V16" i="1"/>
  <c r="T11" i="1"/>
  <c r="T12" i="1"/>
  <c r="T15" i="1"/>
  <c r="T16" i="1"/>
  <c r="U11" i="1"/>
  <c r="U12" i="1"/>
  <c r="U15" i="1"/>
  <c r="U16" i="1"/>
  <c r="S11" i="1"/>
  <c r="S12" i="1"/>
  <c r="S15" i="1"/>
  <c r="S16" i="1"/>
  <c r="P11" i="1"/>
  <c r="P12" i="1"/>
  <c r="P15" i="1"/>
  <c r="P16" i="1"/>
  <c r="O11" i="1"/>
  <c r="O12" i="1"/>
  <c r="O15" i="1"/>
  <c r="O16" i="1"/>
  <c r="I12" i="4"/>
  <c r="AR12" i="6"/>
  <c r="I14" i="4"/>
  <c r="AR14" i="6"/>
  <c r="M13" i="1"/>
  <c r="M14" i="1"/>
  <c r="M15" i="1"/>
  <c r="L13" i="1"/>
  <c r="L14" i="1"/>
  <c r="L15" i="1"/>
  <c r="L16" i="1"/>
  <c r="K13" i="1"/>
  <c r="K14" i="1"/>
  <c r="K15" i="1"/>
  <c r="K16" i="1"/>
  <c r="J13" i="1"/>
  <c r="J14" i="1"/>
  <c r="J15" i="1"/>
  <c r="J16" i="1"/>
  <c r="I13" i="1"/>
  <c r="I14" i="1"/>
  <c r="I15" i="1"/>
  <c r="I16" i="1"/>
  <c r="F13" i="1"/>
  <c r="F14" i="1"/>
  <c r="F15" i="1"/>
  <c r="F16" i="1"/>
  <c r="E13" i="1"/>
  <c r="E14" i="1"/>
  <c r="E15" i="1"/>
  <c r="E16" i="1"/>
  <c r="M12" i="1"/>
  <c r="L12" i="1"/>
  <c r="K12" i="1"/>
  <c r="J12" i="1"/>
  <c r="I12" i="1"/>
  <c r="F12" i="1"/>
  <c r="E12" i="1"/>
  <c r="M11" i="1"/>
  <c r="L11" i="1"/>
  <c r="K11" i="1"/>
  <c r="J11" i="1"/>
  <c r="I11" i="1"/>
  <c r="F11" i="1"/>
  <c r="E11" i="1"/>
  <c r="AG11" i="1"/>
  <c r="AF11" i="1"/>
  <c r="AE11" i="1"/>
  <c r="AD11" i="1"/>
  <c r="AC11" i="1"/>
  <c r="Z11" i="1"/>
  <c r="Y11" i="1"/>
  <c r="AG12" i="1"/>
  <c r="AF12" i="1"/>
  <c r="AE12" i="1"/>
  <c r="AD12" i="1"/>
  <c r="AC12" i="1"/>
  <c r="Z12" i="1"/>
  <c r="Y12" i="1"/>
  <c r="AG13" i="1"/>
  <c r="AF13" i="1"/>
  <c r="AE13" i="1"/>
  <c r="AD13" i="1"/>
  <c r="AC13" i="1"/>
  <c r="Z13" i="1"/>
  <c r="Y13" i="1"/>
  <c r="AG14" i="1"/>
  <c r="AF14" i="1"/>
  <c r="AE14" i="1"/>
  <c r="AD14" i="1"/>
  <c r="AC14" i="1"/>
  <c r="Z14" i="1"/>
  <c r="Y14" i="1"/>
  <c r="AG15" i="1"/>
  <c r="AF15" i="1"/>
  <c r="AE15" i="1"/>
  <c r="AD15" i="1"/>
  <c r="AC15" i="1"/>
  <c r="Z15" i="1"/>
  <c r="Y15" i="1"/>
  <c r="AG16" i="1"/>
  <c r="AF16" i="1"/>
  <c r="AE16" i="1"/>
  <c r="AD16" i="1"/>
  <c r="AC16" i="1"/>
  <c r="Z16" i="1"/>
  <c r="Y16" i="1"/>
  <c r="F17" i="5"/>
  <c r="J17" i="5"/>
  <c r="L17" i="5"/>
  <c r="N17" i="1"/>
  <c r="V17" i="1"/>
  <c r="U17" i="1"/>
  <c r="P17" i="1"/>
  <c r="I17" i="4"/>
  <c r="AR17" i="6"/>
  <c r="M17" i="1"/>
  <c r="L17" i="1"/>
  <c r="K17" i="1"/>
  <c r="J17" i="1"/>
  <c r="I17" i="1"/>
  <c r="F17" i="1"/>
  <c r="E17" i="1"/>
  <c r="AG17" i="1"/>
  <c r="AF17" i="1"/>
  <c r="AE17" i="1"/>
  <c r="AD17" i="1"/>
  <c r="AC17" i="1"/>
  <c r="Z17" i="1"/>
  <c r="Y17" i="1"/>
  <c r="F18" i="5"/>
  <c r="E18" i="5"/>
  <c r="I18" i="5"/>
  <c r="G18" i="5"/>
  <c r="K18" i="5"/>
  <c r="L18" i="5"/>
  <c r="F19" i="5"/>
  <c r="J19" i="5"/>
  <c r="L19" i="5"/>
  <c r="F20" i="5"/>
  <c r="E20" i="5"/>
  <c r="I20" i="5"/>
  <c r="L20" i="5"/>
  <c r="F21" i="5"/>
  <c r="J21" i="5"/>
  <c r="E21" i="5"/>
  <c r="I21" i="5"/>
  <c r="G21" i="5"/>
  <c r="K21" i="5"/>
  <c r="L21" i="5"/>
  <c r="F22" i="5"/>
  <c r="E22" i="5"/>
  <c r="I22" i="5"/>
  <c r="G22" i="5"/>
  <c r="K22" i="5"/>
  <c r="L22" i="5"/>
  <c r="F23" i="5"/>
  <c r="J23" i="5"/>
  <c r="L23" i="5"/>
  <c r="N18" i="1"/>
  <c r="W18" i="1"/>
  <c r="N19" i="1"/>
  <c r="W19" i="1"/>
  <c r="N20" i="1"/>
  <c r="W20" i="1"/>
  <c r="N21" i="1"/>
  <c r="V21" i="1"/>
  <c r="W21" i="1"/>
  <c r="N22" i="1"/>
  <c r="W22" i="1"/>
  <c r="N23" i="1"/>
  <c r="W23" i="1"/>
  <c r="V18" i="1"/>
  <c r="V20" i="1"/>
  <c r="V22" i="1"/>
  <c r="T18" i="1"/>
  <c r="T20" i="1"/>
  <c r="T22" i="1"/>
  <c r="U18" i="1"/>
  <c r="U20" i="1"/>
  <c r="U22" i="1"/>
  <c r="S18" i="1"/>
  <c r="S20" i="1"/>
  <c r="S22" i="1"/>
  <c r="P18" i="1"/>
  <c r="P20" i="1"/>
  <c r="P22" i="1"/>
  <c r="O18" i="1"/>
  <c r="O20" i="1"/>
  <c r="O22" i="1"/>
  <c r="I19" i="4"/>
  <c r="AR19" i="6"/>
  <c r="I20" i="4"/>
  <c r="AR20" i="6"/>
  <c r="I21" i="4"/>
  <c r="AR21" i="6"/>
  <c r="I22" i="4"/>
  <c r="AR22" i="6"/>
  <c r="M20" i="1"/>
  <c r="M21" i="1"/>
  <c r="M22" i="1"/>
  <c r="M23" i="1"/>
  <c r="L20" i="1"/>
  <c r="L21" i="1"/>
  <c r="L22" i="1"/>
  <c r="L23" i="1"/>
  <c r="K20" i="1"/>
  <c r="K21" i="1"/>
  <c r="K22" i="1"/>
  <c r="K23" i="1"/>
  <c r="J20" i="1"/>
  <c r="J21" i="1"/>
  <c r="J22" i="1"/>
  <c r="J23" i="1"/>
  <c r="I20" i="1"/>
  <c r="I21" i="1"/>
  <c r="I22" i="1"/>
  <c r="I23" i="1"/>
  <c r="F20" i="1"/>
  <c r="F21" i="1"/>
  <c r="F22" i="1"/>
  <c r="F23" i="1"/>
  <c r="E20" i="1"/>
  <c r="E21" i="1"/>
  <c r="E22" i="1"/>
  <c r="E23" i="1"/>
  <c r="M19" i="1"/>
  <c r="L19" i="1"/>
  <c r="K19" i="1"/>
  <c r="J19" i="1"/>
  <c r="I19" i="1"/>
  <c r="F19" i="1"/>
  <c r="E19" i="1"/>
  <c r="M18" i="1"/>
  <c r="L18" i="1"/>
  <c r="K18" i="1"/>
  <c r="J18" i="1"/>
  <c r="I18" i="1"/>
  <c r="F18" i="1"/>
  <c r="E18" i="1"/>
  <c r="AG18" i="1"/>
  <c r="AF18" i="1"/>
  <c r="AE18" i="1"/>
  <c r="AD18" i="1"/>
  <c r="AC18" i="1"/>
  <c r="Z18" i="1"/>
  <c r="Y18" i="1"/>
  <c r="AG19" i="1"/>
  <c r="AF19" i="1"/>
  <c r="AE19" i="1"/>
  <c r="AD19" i="1"/>
  <c r="AC19" i="1"/>
  <c r="Z19" i="1"/>
  <c r="Y19" i="1"/>
  <c r="AG20" i="1"/>
  <c r="AF20" i="1"/>
  <c r="AE20" i="1"/>
  <c r="AD20" i="1"/>
  <c r="AC20" i="1"/>
  <c r="Z20" i="1"/>
  <c r="Y20" i="1"/>
  <c r="AG21" i="1"/>
  <c r="AF21" i="1"/>
  <c r="AE21" i="1"/>
  <c r="AD21" i="1"/>
  <c r="AC21" i="1"/>
  <c r="Z21" i="1"/>
  <c r="Y21" i="1"/>
  <c r="AG22" i="1"/>
  <c r="AF22" i="1"/>
  <c r="AE22" i="1"/>
  <c r="AD22" i="1"/>
  <c r="AC22" i="1"/>
  <c r="Z22" i="1"/>
  <c r="Y22" i="1"/>
  <c r="AG23" i="1"/>
  <c r="AF23" i="1"/>
  <c r="AE23" i="1"/>
  <c r="AD23" i="1"/>
  <c r="AC23" i="1"/>
  <c r="Z23" i="1"/>
  <c r="Y23" i="1"/>
  <c r="F24" i="5"/>
  <c r="J24" i="5"/>
  <c r="I24" i="5"/>
  <c r="G24" i="5"/>
  <c r="K24" i="5"/>
  <c r="N24" i="1"/>
  <c r="V24" i="1"/>
  <c r="P24" i="1"/>
  <c r="M24" i="1"/>
  <c r="L24" i="1"/>
  <c r="K24" i="1"/>
  <c r="J24" i="1"/>
  <c r="I24" i="1"/>
  <c r="F24" i="1"/>
  <c r="E24" i="1"/>
  <c r="AG24" i="1"/>
  <c r="AF24" i="1"/>
  <c r="AE24" i="1"/>
  <c r="AD24" i="1"/>
  <c r="AC24" i="1"/>
  <c r="Z24" i="1"/>
  <c r="Y24" i="1"/>
  <c r="F25" i="5"/>
  <c r="G25" i="5"/>
  <c r="K25" i="5"/>
  <c r="L25" i="5"/>
  <c r="F26" i="5"/>
  <c r="E26" i="5"/>
  <c r="I26" i="5"/>
  <c r="J26" i="5"/>
  <c r="G26" i="5"/>
  <c r="K26" i="5"/>
  <c r="L26" i="5"/>
  <c r="F27" i="5"/>
  <c r="J27" i="5"/>
  <c r="L27" i="5"/>
  <c r="F28" i="5"/>
  <c r="E28" i="5"/>
  <c r="I28" i="5"/>
  <c r="J28" i="5"/>
  <c r="G28" i="5"/>
  <c r="K28" i="5"/>
  <c r="L28" i="5"/>
  <c r="F29" i="5"/>
  <c r="E29" i="5"/>
  <c r="I29" i="5"/>
  <c r="J29" i="5"/>
  <c r="L29" i="5"/>
  <c r="F30" i="5"/>
  <c r="E30" i="5"/>
  <c r="I30" i="5"/>
  <c r="J30" i="5"/>
  <c r="G30" i="5"/>
  <c r="K30" i="5"/>
  <c r="L30" i="5"/>
  <c r="N25" i="1"/>
  <c r="W25" i="1"/>
  <c r="N26" i="1"/>
  <c r="V26" i="1"/>
  <c r="W26" i="1"/>
  <c r="N27" i="1"/>
  <c r="W27" i="1"/>
  <c r="N28" i="1"/>
  <c r="W28" i="1"/>
  <c r="N29" i="1"/>
  <c r="W29" i="1"/>
  <c r="N30" i="1"/>
  <c r="W30" i="1"/>
  <c r="V25" i="1"/>
  <c r="V27" i="1"/>
  <c r="V28" i="1"/>
  <c r="V30" i="1"/>
  <c r="T25" i="1"/>
  <c r="T27" i="1"/>
  <c r="T28" i="1"/>
  <c r="T30" i="1"/>
  <c r="U25" i="1"/>
  <c r="U26" i="1"/>
  <c r="U27" i="1"/>
  <c r="U28" i="1"/>
  <c r="U29" i="1"/>
  <c r="U30" i="1"/>
  <c r="S25" i="1"/>
  <c r="S26" i="1"/>
  <c r="S27" i="1"/>
  <c r="S28" i="1"/>
  <c r="S29" i="1"/>
  <c r="S30" i="1"/>
  <c r="P25" i="1"/>
  <c r="P27" i="1"/>
  <c r="P28" i="1"/>
  <c r="P30" i="1"/>
  <c r="O25" i="1"/>
  <c r="O27" i="1"/>
  <c r="O28" i="1"/>
  <c r="O30" i="1"/>
  <c r="I25" i="4"/>
  <c r="AR25" i="6"/>
  <c r="I26" i="4"/>
  <c r="AR26" i="6"/>
  <c r="I27" i="4"/>
  <c r="AR27" i="6"/>
  <c r="I28" i="4"/>
  <c r="AR28" i="6"/>
  <c r="I29" i="4"/>
  <c r="AR29" i="6"/>
  <c r="I30" i="4"/>
  <c r="AR30" i="6"/>
  <c r="M27" i="1"/>
  <c r="M28" i="1"/>
  <c r="M29" i="1"/>
  <c r="M30" i="1"/>
  <c r="L27" i="1"/>
  <c r="L28" i="1"/>
  <c r="L29" i="1"/>
  <c r="L30" i="1"/>
  <c r="K27" i="1"/>
  <c r="K28" i="1"/>
  <c r="K29" i="1"/>
  <c r="K30" i="1"/>
  <c r="J27" i="1"/>
  <c r="J28" i="1"/>
  <c r="J29" i="1"/>
  <c r="J30" i="1"/>
  <c r="I27" i="1"/>
  <c r="I28" i="1"/>
  <c r="I29" i="1"/>
  <c r="I30" i="1"/>
  <c r="F27" i="1"/>
  <c r="F28" i="1"/>
  <c r="F29" i="1"/>
  <c r="F30" i="1"/>
  <c r="E27" i="1"/>
  <c r="E28" i="1"/>
  <c r="E29" i="1"/>
  <c r="E30" i="1"/>
  <c r="M26" i="1"/>
  <c r="L26" i="1"/>
  <c r="K26" i="1"/>
  <c r="J26" i="1"/>
  <c r="I26" i="1"/>
  <c r="F26" i="1"/>
  <c r="E26" i="1"/>
  <c r="M25" i="1"/>
  <c r="L25" i="1"/>
  <c r="K25" i="1"/>
  <c r="J25" i="1"/>
  <c r="I25" i="1"/>
  <c r="F25" i="1"/>
  <c r="E25" i="1"/>
  <c r="AG25" i="1"/>
  <c r="AF25" i="1"/>
  <c r="AE25" i="1"/>
  <c r="AD25" i="1"/>
  <c r="AC25" i="1"/>
  <c r="Z25" i="1"/>
  <c r="Y25" i="1"/>
  <c r="AG26" i="1"/>
  <c r="AF26" i="1"/>
  <c r="AE26" i="1"/>
  <c r="AD26" i="1"/>
  <c r="AC26" i="1"/>
  <c r="Z26" i="1"/>
  <c r="Y26" i="1"/>
  <c r="AG27" i="1"/>
  <c r="AF27" i="1"/>
  <c r="AE27" i="1"/>
  <c r="AD27" i="1"/>
  <c r="AC27" i="1"/>
  <c r="Z27" i="1"/>
  <c r="Y27" i="1"/>
  <c r="AG28" i="1"/>
  <c r="AF28" i="1"/>
  <c r="AE28" i="1"/>
  <c r="AD28" i="1"/>
  <c r="AC28" i="1"/>
  <c r="Z28" i="1"/>
  <c r="Y28" i="1"/>
  <c r="AG29" i="1"/>
  <c r="AF29" i="1"/>
  <c r="AE29" i="1"/>
  <c r="AD29" i="1"/>
  <c r="AC29" i="1"/>
  <c r="Z29" i="1"/>
  <c r="Y29" i="1"/>
  <c r="AG30" i="1"/>
  <c r="AF30" i="1"/>
  <c r="AE30" i="1"/>
  <c r="AD30" i="1"/>
  <c r="AC30" i="1"/>
  <c r="Z30" i="1"/>
  <c r="Y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3" i="5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4" i="4"/>
  <c r="C5" i="4"/>
  <c r="C6" i="4"/>
  <c r="C7" i="4"/>
  <c r="C8" i="4"/>
  <c r="C9" i="4"/>
  <c r="C3" i="4"/>
  <c r="J40" i="7"/>
  <c r="G40" i="7"/>
  <c r="K40" i="7"/>
  <c r="E40" i="7"/>
  <c r="I40" i="7"/>
  <c r="M40" i="7"/>
  <c r="G42" i="7"/>
  <c r="K42" i="7"/>
  <c r="J42" i="7"/>
  <c r="E42" i="7"/>
  <c r="I42" i="7"/>
  <c r="M42" i="7"/>
  <c r="G41" i="7"/>
  <c r="K41" i="7"/>
  <c r="J41" i="7"/>
  <c r="G52" i="7"/>
  <c r="K52" i="7"/>
  <c r="J52" i="7"/>
  <c r="E52" i="7"/>
  <c r="I52" i="7"/>
  <c r="M52" i="7"/>
  <c r="G47" i="7"/>
  <c r="K47" i="7"/>
  <c r="J47" i="7"/>
  <c r="G43" i="7"/>
  <c r="K43" i="7"/>
  <c r="J43" i="7"/>
  <c r="M43" i="7"/>
  <c r="G56" i="7"/>
  <c r="K56" i="7"/>
  <c r="J56" i="7"/>
  <c r="M3" i="7"/>
  <c r="G48" i="7"/>
  <c r="K48" i="7"/>
  <c r="J48" i="7"/>
  <c r="E48" i="7"/>
  <c r="I48" i="7"/>
  <c r="G44" i="7"/>
  <c r="K44" i="7"/>
  <c r="J44" i="7"/>
  <c r="E44" i="7"/>
  <c r="I44" i="7"/>
  <c r="J38" i="7"/>
  <c r="G38" i="7"/>
  <c r="K38" i="7"/>
  <c r="E38" i="7"/>
  <c r="I38" i="7"/>
  <c r="G54" i="7"/>
  <c r="K54" i="7"/>
  <c r="J54" i="7"/>
  <c r="M54" i="7"/>
  <c r="G57" i="7"/>
  <c r="K57" i="7"/>
  <c r="J57" i="7"/>
  <c r="E57" i="7"/>
  <c r="I57" i="7"/>
  <c r="M57" i="7"/>
  <c r="M39" i="7"/>
  <c r="G49" i="7"/>
  <c r="K49" i="7"/>
  <c r="J49" i="7"/>
  <c r="M49" i="7"/>
  <c r="G55" i="7"/>
  <c r="K55" i="7"/>
  <c r="J55" i="7"/>
  <c r="E55" i="7"/>
  <c r="I55" i="7"/>
  <c r="E56" i="7"/>
  <c r="I56" i="7"/>
  <c r="M56" i="7"/>
  <c r="G58" i="7"/>
  <c r="K58" i="7"/>
  <c r="J58" i="7"/>
  <c r="G39" i="7"/>
  <c r="K39" i="7"/>
  <c r="J39" i="7"/>
  <c r="G53" i="7"/>
  <c r="K53" i="7"/>
  <c r="J53" i="7"/>
  <c r="M53" i="7"/>
  <c r="M20" i="7"/>
  <c r="M29" i="7"/>
  <c r="G45" i="7"/>
  <c r="K45" i="7"/>
  <c r="J45" i="7"/>
  <c r="M45" i="7"/>
  <c r="M22" i="7"/>
  <c r="G50" i="7"/>
  <c r="K50" i="7"/>
  <c r="J50" i="7"/>
  <c r="E50" i="7"/>
  <c r="I50" i="7"/>
  <c r="M50" i="7"/>
  <c r="E41" i="7"/>
  <c r="I41" i="7"/>
  <c r="M41" i="7"/>
  <c r="M24" i="7"/>
  <c r="M18" i="7"/>
  <c r="M37" i="7"/>
  <c r="G51" i="7"/>
  <c r="K51" i="7"/>
  <c r="J51" i="7"/>
  <c r="M51" i="7"/>
  <c r="E47" i="7"/>
  <c r="I47" i="7"/>
  <c r="M47" i="7"/>
  <c r="J46" i="7"/>
  <c r="M46" i="7"/>
  <c r="G46" i="7"/>
  <c r="K46" i="7"/>
  <c r="M27" i="7"/>
  <c r="E58" i="7"/>
  <c r="I58" i="7"/>
  <c r="M21" i="5"/>
  <c r="L11" i="6"/>
  <c r="N11" i="6"/>
  <c r="D11" i="6"/>
  <c r="J25" i="5"/>
  <c r="I11" i="6"/>
  <c r="M10" i="5"/>
  <c r="M8" i="5"/>
  <c r="M3" i="5"/>
  <c r="AN3" i="6"/>
  <c r="O3" i="6"/>
  <c r="F3" i="6"/>
  <c r="G29" i="5"/>
  <c r="K29" i="5"/>
  <c r="M29" i="5"/>
  <c r="S29" i="6"/>
  <c r="E27" i="5"/>
  <c r="I27" i="5"/>
  <c r="E25" i="5"/>
  <c r="I25" i="5"/>
  <c r="G23" i="5"/>
  <c r="K23" i="5"/>
  <c r="E19" i="5"/>
  <c r="I19" i="5"/>
  <c r="J15" i="5"/>
  <c r="M15" i="5"/>
  <c r="J13" i="5"/>
  <c r="M13" i="5"/>
  <c r="AM3" i="6"/>
  <c r="T3" i="6"/>
  <c r="F55" i="5"/>
  <c r="M28" i="5"/>
  <c r="N28" i="6"/>
  <c r="O11" i="6"/>
  <c r="P11" i="6"/>
  <c r="S11" i="6"/>
  <c r="U11" i="6"/>
  <c r="T11" i="6"/>
  <c r="V11" i="6"/>
  <c r="AP3" i="6"/>
  <c r="AJ3" i="6"/>
  <c r="W3" i="6"/>
  <c r="S3" i="6"/>
  <c r="E23" i="5"/>
  <c r="I23" i="5"/>
  <c r="M23" i="5"/>
  <c r="G20" i="5"/>
  <c r="K20" i="5"/>
  <c r="G19" i="5"/>
  <c r="K19" i="5"/>
  <c r="G14" i="5"/>
  <c r="K14" i="5"/>
  <c r="G12" i="5"/>
  <c r="K12" i="5"/>
  <c r="AO3" i="6"/>
  <c r="AI3" i="6"/>
  <c r="V3" i="6"/>
  <c r="P3" i="6"/>
  <c r="G48" i="5"/>
  <c r="K48" i="5"/>
  <c r="V28" i="6"/>
  <c r="M26" i="5"/>
  <c r="V26" i="6"/>
  <c r="M25" i="5"/>
  <c r="E11" i="6"/>
  <c r="J11" i="6"/>
  <c r="AN10" i="6"/>
  <c r="M7" i="5"/>
  <c r="M6" i="5"/>
  <c r="AQ6" i="6"/>
  <c r="M5" i="5"/>
  <c r="S28" i="6"/>
  <c r="M30" i="5"/>
  <c r="E30" i="6"/>
  <c r="E23" i="6"/>
  <c r="F11" i="6"/>
  <c r="M11" i="6"/>
  <c r="M12" i="5"/>
  <c r="AQ8" i="6"/>
  <c r="M24" i="5"/>
  <c r="V24" i="6"/>
  <c r="I23" i="6"/>
  <c r="K11" i="6"/>
  <c r="J12" i="6"/>
  <c r="W11" i="6"/>
  <c r="J15" i="4"/>
  <c r="J21" i="4"/>
  <c r="K20" i="4"/>
  <c r="J13" i="4"/>
  <c r="J20" i="4"/>
  <c r="K19" i="4"/>
  <c r="J19" i="4"/>
  <c r="J18" i="4"/>
  <c r="K17" i="4"/>
  <c r="N30" i="6"/>
  <c r="D30" i="6"/>
  <c r="N25" i="6"/>
  <c r="D25" i="6"/>
  <c r="I25" i="6"/>
  <c r="W25" i="6"/>
  <c r="U25" i="6"/>
  <c r="L25" i="6"/>
  <c r="J25" i="6"/>
  <c r="F25" i="6"/>
  <c r="V25" i="6"/>
  <c r="M25" i="6"/>
  <c r="S25" i="6"/>
  <c r="P25" i="6"/>
  <c r="K25" i="6"/>
  <c r="E25" i="6"/>
  <c r="D29" i="6"/>
  <c r="I29" i="6"/>
  <c r="L29" i="6"/>
  <c r="J29" i="6"/>
  <c r="F29" i="6"/>
  <c r="E29" i="6"/>
  <c r="M29" i="6"/>
  <c r="W29" i="6"/>
  <c r="U29" i="6"/>
  <c r="N29" i="6"/>
  <c r="K29" i="6"/>
  <c r="O25" i="6"/>
  <c r="T25" i="6"/>
  <c r="O30" i="6"/>
  <c r="F26" i="6"/>
  <c r="F30" i="6"/>
  <c r="J30" i="6"/>
  <c r="L30" i="6"/>
  <c r="P30" i="6"/>
  <c r="V30" i="6"/>
  <c r="F24" i="6"/>
  <c r="W24" i="1"/>
  <c r="T24" i="1"/>
  <c r="T24" i="6"/>
  <c r="S24" i="1"/>
  <c r="S24" i="6"/>
  <c r="O24" i="1"/>
  <c r="W21" i="6"/>
  <c r="N21" i="6"/>
  <c r="T30" i="6"/>
  <c r="O29" i="1"/>
  <c r="O29" i="6"/>
  <c r="O26" i="1"/>
  <c r="S30" i="6"/>
  <c r="U28" i="6"/>
  <c r="T29" i="1"/>
  <c r="T29" i="6"/>
  <c r="T26" i="1"/>
  <c r="W30" i="6"/>
  <c r="W28" i="6"/>
  <c r="G27" i="5"/>
  <c r="K27" i="5"/>
  <c r="M27" i="5"/>
  <c r="K24" i="6"/>
  <c r="N24" i="6"/>
  <c r="U24" i="1"/>
  <c r="F23" i="6"/>
  <c r="M19" i="5"/>
  <c r="J26" i="6"/>
  <c r="N23" i="6"/>
  <c r="M23" i="6"/>
  <c r="L23" i="6"/>
  <c r="L26" i="6"/>
  <c r="I30" i="6"/>
  <c r="K30" i="6"/>
  <c r="M30" i="6"/>
  <c r="O28" i="6"/>
  <c r="P29" i="1"/>
  <c r="P29" i="6"/>
  <c r="P26" i="1"/>
  <c r="U30" i="6"/>
  <c r="T28" i="6"/>
  <c r="V29" i="1"/>
  <c r="V29" i="6"/>
  <c r="I24" i="6"/>
  <c r="L24" i="6"/>
  <c r="D23" i="6"/>
  <c r="W23" i="6"/>
  <c r="V21" i="6"/>
  <c r="J22" i="5"/>
  <c r="M22" i="5"/>
  <c r="J20" i="5"/>
  <c r="M20" i="5"/>
  <c r="J18" i="5"/>
  <c r="M18" i="5"/>
  <c r="AQ10" i="6"/>
  <c r="AO10" i="6"/>
  <c r="AM10" i="6"/>
  <c r="AI10" i="6"/>
  <c r="D10" i="6"/>
  <c r="AH10" i="6"/>
  <c r="L10" i="6"/>
  <c r="J10" i="6"/>
  <c r="F10" i="6"/>
  <c r="AH8" i="6"/>
  <c r="N8" i="6"/>
  <c r="AP8" i="6"/>
  <c r="AO8" i="6"/>
  <c r="AN8" i="6"/>
  <c r="AM8" i="6"/>
  <c r="AJ8" i="6"/>
  <c r="AI8" i="6"/>
  <c r="W8" i="6"/>
  <c r="V8" i="6"/>
  <c r="T8" i="6"/>
  <c r="U8" i="6"/>
  <c r="S8" i="6"/>
  <c r="P8" i="6"/>
  <c r="O8" i="6"/>
  <c r="E8" i="6"/>
  <c r="G17" i="5"/>
  <c r="K17" i="5"/>
  <c r="W13" i="1"/>
  <c r="V12" i="6"/>
  <c r="E10" i="6"/>
  <c r="K10" i="6"/>
  <c r="AJ10" i="6"/>
  <c r="F8" i="6"/>
  <c r="I8" i="6"/>
  <c r="J8" i="6"/>
  <c r="K8" i="6"/>
  <c r="L8" i="6"/>
  <c r="M8" i="6"/>
  <c r="AQ7" i="6"/>
  <c r="J7" i="6"/>
  <c r="AP6" i="6"/>
  <c r="AO6" i="6"/>
  <c r="AN6" i="6"/>
  <c r="AM6" i="6"/>
  <c r="AJ6" i="6"/>
  <c r="AI6" i="6"/>
  <c r="W6" i="6"/>
  <c r="V6" i="6"/>
  <c r="T6" i="6"/>
  <c r="U6" i="6"/>
  <c r="S6" i="6"/>
  <c r="P6" i="6"/>
  <c r="O6" i="6"/>
  <c r="D6" i="6"/>
  <c r="E6" i="6"/>
  <c r="AH6" i="6"/>
  <c r="N6" i="6"/>
  <c r="D5" i="6"/>
  <c r="AH5" i="6"/>
  <c r="N5" i="6"/>
  <c r="M5" i="6"/>
  <c r="K5" i="6"/>
  <c r="I5" i="6"/>
  <c r="E5" i="6"/>
  <c r="O23" i="1"/>
  <c r="O23" i="6"/>
  <c r="O21" i="1"/>
  <c r="O21" i="6"/>
  <c r="O19" i="1"/>
  <c r="O19" i="6"/>
  <c r="P23" i="1"/>
  <c r="P23" i="6"/>
  <c r="P21" i="1"/>
  <c r="P21" i="6"/>
  <c r="P19" i="1"/>
  <c r="P19" i="6"/>
  <c r="S23" i="1"/>
  <c r="S23" i="6"/>
  <c r="S21" i="1"/>
  <c r="S21" i="6"/>
  <c r="S19" i="1"/>
  <c r="S19" i="6"/>
  <c r="U23" i="1"/>
  <c r="U23" i="6"/>
  <c r="U21" i="1"/>
  <c r="U21" i="6"/>
  <c r="U19" i="1"/>
  <c r="U19" i="6"/>
  <c r="T23" i="1"/>
  <c r="T23" i="6"/>
  <c r="T21" i="1"/>
  <c r="T21" i="6"/>
  <c r="T19" i="1"/>
  <c r="T19" i="6"/>
  <c r="V23" i="1"/>
  <c r="V23" i="6"/>
  <c r="V19" i="1"/>
  <c r="V19" i="6"/>
  <c r="O13" i="1"/>
  <c r="P13" i="1"/>
  <c r="S13" i="1"/>
  <c r="U13" i="1"/>
  <c r="T13" i="1"/>
  <c r="J5" i="6"/>
  <c r="D8" i="6"/>
  <c r="U5" i="6"/>
  <c r="AH7" i="6"/>
  <c r="AJ5" i="6"/>
  <c r="AP5" i="6"/>
  <c r="AQ5" i="6"/>
  <c r="W17" i="1"/>
  <c r="T17" i="1"/>
  <c r="T17" i="6"/>
  <c r="S17" i="1"/>
  <c r="O17" i="1"/>
  <c r="E17" i="5"/>
  <c r="I17" i="5"/>
  <c r="M17" i="5"/>
  <c r="L17" i="6"/>
  <c r="U12" i="6"/>
  <c r="V13" i="1"/>
  <c r="M14" i="5"/>
  <c r="M16" i="5"/>
  <c r="I10" i="6"/>
  <c r="M10" i="6"/>
  <c r="W10" i="1"/>
  <c r="W10" i="6"/>
  <c r="T10" i="1"/>
  <c r="T10" i="6"/>
  <c r="S10" i="1"/>
  <c r="S10" i="6"/>
  <c r="O10" i="1"/>
  <c r="O10" i="6"/>
  <c r="V10" i="1"/>
  <c r="V10" i="6"/>
  <c r="U10" i="1"/>
  <c r="U10" i="6"/>
  <c r="P10" i="1"/>
  <c r="P10" i="6"/>
  <c r="N10" i="6"/>
  <c r="AP10" i="6"/>
  <c r="F5" i="6"/>
  <c r="F6" i="6"/>
  <c r="I6" i="6"/>
  <c r="J6" i="6"/>
  <c r="K6" i="6"/>
  <c r="L6" i="6"/>
  <c r="M6" i="6"/>
  <c r="O5" i="6"/>
  <c r="T5" i="6"/>
  <c r="AJ7" i="6"/>
  <c r="AM5" i="6"/>
  <c r="O14" i="1"/>
  <c r="O14" i="6"/>
  <c r="P14" i="1"/>
  <c r="P14" i="6"/>
  <c r="S14" i="1"/>
  <c r="U14" i="1"/>
  <c r="T14" i="1"/>
  <c r="T14" i="6"/>
  <c r="M4" i="5"/>
  <c r="K26" i="4"/>
  <c r="K30" i="4"/>
  <c r="L49" i="5"/>
  <c r="F53" i="5"/>
  <c r="J32" i="5"/>
  <c r="G32" i="5"/>
  <c r="K32" i="5"/>
  <c r="F54" i="5"/>
  <c r="F40" i="5"/>
  <c r="E40" i="5"/>
  <c r="I40" i="5"/>
  <c r="G33" i="5"/>
  <c r="K33" i="5"/>
  <c r="J55" i="5"/>
  <c r="G55" i="5"/>
  <c r="K55" i="5"/>
  <c r="AA10" i="1"/>
  <c r="F28" i="4"/>
  <c r="F21" i="4"/>
  <c r="E32" i="5"/>
  <c r="I32" i="5"/>
  <c r="L41" i="5"/>
  <c r="E48" i="5"/>
  <c r="I48" i="5"/>
  <c r="L48" i="5"/>
  <c r="G31" i="5"/>
  <c r="K31" i="5"/>
  <c r="F52" i="5"/>
  <c r="F45" i="5"/>
  <c r="G30" i="1"/>
  <c r="G28" i="1"/>
  <c r="G26" i="1"/>
  <c r="G24" i="1"/>
  <c r="G22" i="1"/>
  <c r="G20" i="1"/>
  <c r="G18" i="1"/>
  <c r="G16" i="1"/>
  <c r="G14" i="1"/>
  <c r="G12" i="1"/>
  <c r="G10" i="1"/>
  <c r="D28" i="4"/>
  <c r="F28" i="6"/>
  <c r="D21" i="4"/>
  <c r="R29" i="1"/>
  <c r="R15" i="1"/>
  <c r="R13" i="1"/>
  <c r="R20" i="1"/>
  <c r="AL10" i="1"/>
  <c r="AK10" i="1"/>
  <c r="J31" i="5"/>
  <c r="E36" i="5"/>
  <c r="I36" i="5"/>
  <c r="G36" i="5"/>
  <c r="K36" i="5"/>
  <c r="L40" i="5"/>
  <c r="F46" i="5"/>
  <c r="F47" i="5"/>
  <c r="E47" i="5"/>
  <c r="I47" i="5"/>
  <c r="E52" i="5"/>
  <c r="I52" i="5"/>
  <c r="L52" i="5"/>
  <c r="L57" i="5"/>
  <c r="E57" i="5"/>
  <c r="I57" i="5"/>
  <c r="J33" i="5"/>
  <c r="E34" i="5"/>
  <c r="I34" i="5"/>
  <c r="G34" i="5"/>
  <c r="K34" i="5"/>
  <c r="F38" i="5"/>
  <c r="E38" i="5"/>
  <c r="I38" i="5"/>
  <c r="F39" i="5"/>
  <c r="E39" i="5"/>
  <c r="I39" i="5"/>
  <c r="L42" i="5"/>
  <c r="E50" i="5"/>
  <c r="I50" i="5"/>
  <c r="G50" i="5"/>
  <c r="K50" i="5"/>
  <c r="L50" i="5"/>
  <c r="AH17" i="1"/>
  <c r="AH24" i="1"/>
  <c r="AL3" i="1"/>
  <c r="AK3" i="1"/>
  <c r="AH16" i="1"/>
  <c r="AH23" i="1"/>
  <c r="AH30" i="1"/>
  <c r="AK9" i="1"/>
  <c r="AH15" i="1"/>
  <c r="AH22" i="1"/>
  <c r="AH29" i="1"/>
  <c r="AH14" i="1"/>
  <c r="AH21" i="1"/>
  <c r="AH28" i="1"/>
  <c r="AK7" i="1"/>
  <c r="AH13" i="1"/>
  <c r="AH20" i="1"/>
  <c r="AH27" i="1"/>
  <c r="AH12" i="1"/>
  <c r="AH19" i="1"/>
  <c r="AH26" i="1"/>
  <c r="AK5" i="1"/>
  <c r="AH11" i="1"/>
  <c r="AH18" i="1"/>
  <c r="AH25" i="1"/>
  <c r="K12" i="4"/>
  <c r="K16" i="4"/>
  <c r="K22" i="4"/>
  <c r="E46" i="5"/>
  <c r="I46" i="5"/>
  <c r="E53" i="5"/>
  <c r="I53" i="5"/>
  <c r="I18" i="4"/>
  <c r="AR18" i="6"/>
  <c r="I11" i="4"/>
  <c r="AR11" i="6"/>
  <c r="J10" i="4"/>
  <c r="K18" i="4"/>
  <c r="K28" i="4"/>
  <c r="E31" i="5"/>
  <c r="I31" i="5"/>
  <c r="E33" i="5"/>
  <c r="I33" i="5"/>
  <c r="F42" i="5"/>
  <c r="L53" i="5"/>
  <c r="E54" i="5"/>
  <c r="I54" i="5"/>
  <c r="G56" i="5"/>
  <c r="K56" i="5"/>
  <c r="G57" i="5"/>
  <c r="K57" i="5"/>
  <c r="J57" i="5"/>
  <c r="D3" i="6"/>
  <c r="I23" i="4"/>
  <c r="AR23" i="6"/>
  <c r="I16" i="4"/>
  <c r="AR16" i="6"/>
  <c r="K25" i="4"/>
  <c r="J28" i="4"/>
  <c r="K27" i="4"/>
  <c r="AK4" i="1"/>
  <c r="G35" i="5"/>
  <c r="K35" i="5"/>
  <c r="M35" i="5"/>
  <c r="L39" i="5"/>
  <c r="F41" i="5"/>
  <c r="E41" i="5"/>
  <c r="I41" i="5"/>
  <c r="G43" i="5"/>
  <c r="K43" i="5"/>
  <c r="M43" i="5"/>
  <c r="L47" i="5"/>
  <c r="F49" i="5"/>
  <c r="E49" i="5"/>
  <c r="I49" i="5"/>
  <c r="E55" i="5"/>
  <c r="I55" i="5"/>
  <c r="E56" i="5"/>
  <c r="I56" i="5"/>
  <c r="M9" i="5"/>
  <c r="F37" i="5"/>
  <c r="E37" i="5"/>
  <c r="I37" i="5"/>
  <c r="K11" i="4"/>
  <c r="K15" i="4"/>
  <c r="H24" i="4"/>
  <c r="J24" i="4"/>
  <c r="M58" i="7"/>
  <c r="M38" i="7"/>
  <c r="M48" i="7"/>
  <c r="M55" i="7"/>
  <c r="M44" i="7"/>
  <c r="D13" i="6"/>
  <c r="I13" i="6"/>
  <c r="N13" i="6"/>
  <c r="L13" i="6"/>
  <c r="K13" i="6"/>
  <c r="E13" i="6"/>
  <c r="M13" i="6"/>
  <c r="F13" i="6"/>
  <c r="J13" i="6"/>
  <c r="W15" i="6"/>
  <c r="S15" i="6"/>
  <c r="N15" i="6"/>
  <c r="L15" i="6"/>
  <c r="I15" i="6"/>
  <c r="M15" i="6"/>
  <c r="U15" i="6"/>
  <c r="J15" i="6"/>
  <c r="E15" i="6"/>
  <c r="D15" i="6"/>
  <c r="F15" i="6"/>
  <c r="O15" i="6"/>
  <c r="T15" i="6"/>
  <c r="K15" i="6"/>
  <c r="P15" i="6"/>
  <c r="V15" i="6"/>
  <c r="P13" i="6"/>
  <c r="W13" i="6"/>
  <c r="M36" i="5"/>
  <c r="AL8" i="6"/>
  <c r="V13" i="6"/>
  <c r="T13" i="6"/>
  <c r="O13" i="6"/>
  <c r="W19" i="6"/>
  <c r="U13" i="6"/>
  <c r="S13" i="6"/>
  <c r="P28" i="6"/>
  <c r="J23" i="6"/>
  <c r="K23" i="6"/>
  <c r="I3" i="6"/>
  <c r="K3" i="6"/>
  <c r="M3" i="6"/>
  <c r="E3" i="6"/>
  <c r="N3" i="6"/>
  <c r="J3" i="6"/>
  <c r="L3" i="6"/>
  <c r="AH3" i="6"/>
  <c r="AQ3" i="6"/>
  <c r="U3" i="6"/>
  <c r="E12" i="6"/>
  <c r="M12" i="6"/>
  <c r="L16" i="6"/>
  <c r="F16" i="6"/>
  <c r="L14" i="6"/>
  <c r="D7" i="6"/>
  <c r="K7" i="6"/>
  <c r="W12" i="6"/>
  <c r="I14" i="6"/>
  <c r="T26" i="6"/>
  <c r="O26" i="6"/>
  <c r="D26" i="6"/>
  <c r="J24" i="6"/>
  <c r="P24" i="6"/>
  <c r="S12" i="6"/>
  <c r="AO7" i="6"/>
  <c r="W7" i="6"/>
  <c r="U14" i="6"/>
  <c r="AP7" i="6"/>
  <c r="U7" i="6"/>
  <c r="E7" i="6"/>
  <c r="W14" i="6"/>
  <c r="P12" i="6"/>
  <c r="I12" i="6"/>
  <c r="K12" i="6"/>
  <c r="F7" i="6"/>
  <c r="L7" i="6"/>
  <c r="N12" i="6"/>
  <c r="P26" i="6"/>
  <c r="U24" i="6"/>
  <c r="W24" i="6"/>
  <c r="D24" i="6"/>
  <c r="M26" i="6"/>
  <c r="I26" i="6"/>
  <c r="AN5" i="6"/>
  <c r="V5" i="6"/>
  <c r="P5" i="6"/>
  <c r="L5" i="6"/>
  <c r="AO5" i="6"/>
  <c r="AI5" i="6"/>
  <c r="W5" i="6"/>
  <c r="S5" i="6"/>
  <c r="L12" i="6"/>
  <c r="E24" i="6"/>
  <c r="P7" i="6"/>
  <c r="N7" i="6"/>
  <c r="AN7" i="6"/>
  <c r="V7" i="6"/>
  <c r="AM7" i="6"/>
  <c r="T7" i="6"/>
  <c r="O7" i="6"/>
  <c r="S14" i="6"/>
  <c r="O12" i="6"/>
  <c r="J16" i="6"/>
  <c r="D12" i="6"/>
  <c r="AI7" i="6"/>
  <c r="S7" i="6"/>
  <c r="F12" i="6"/>
  <c r="I7" i="6"/>
  <c r="M7" i="6"/>
  <c r="T12" i="6"/>
  <c r="W26" i="6"/>
  <c r="N26" i="6"/>
  <c r="S26" i="6"/>
  <c r="O24" i="6"/>
  <c r="M24" i="6"/>
  <c r="U26" i="6"/>
  <c r="E26" i="6"/>
  <c r="K26" i="6"/>
  <c r="Q7" i="6"/>
  <c r="R7" i="6"/>
  <c r="H7" i="6"/>
  <c r="AL7" i="6"/>
  <c r="G7" i="6"/>
  <c r="Q15" i="6"/>
  <c r="H15" i="6"/>
  <c r="G15" i="6"/>
  <c r="D27" i="6"/>
  <c r="S27" i="6"/>
  <c r="E27" i="6"/>
  <c r="O27" i="6"/>
  <c r="W27" i="6"/>
  <c r="V27" i="6"/>
  <c r="P27" i="6"/>
  <c r="N27" i="6"/>
  <c r="L27" i="6"/>
  <c r="J27" i="6"/>
  <c r="F27" i="6"/>
  <c r="T27" i="6"/>
  <c r="K27" i="6"/>
  <c r="I27" i="6"/>
  <c r="M27" i="6"/>
  <c r="U27" i="6"/>
  <c r="V18" i="6"/>
  <c r="T18" i="6"/>
  <c r="U18" i="6"/>
  <c r="S18" i="6"/>
  <c r="P18" i="6"/>
  <c r="O18" i="6"/>
  <c r="D18" i="6"/>
  <c r="W18" i="6"/>
  <c r="N18" i="6"/>
  <c r="L18" i="6"/>
  <c r="J18" i="6"/>
  <c r="F18" i="6"/>
  <c r="K18" i="6"/>
  <c r="E18" i="6"/>
  <c r="I18" i="6"/>
  <c r="M18" i="6"/>
  <c r="G42" i="5"/>
  <c r="K42" i="5"/>
  <c r="J42" i="5"/>
  <c r="AK28" i="1"/>
  <c r="AL28" i="1"/>
  <c r="AH28" i="6"/>
  <c r="AN28" i="1"/>
  <c r="AN28" i="6"/>
  <c r="AI28" i="1"/>
  <c r="AI28" i="6"/>
  <c r="AM28" i="1"/>
  <c r="AM28" i="6"/>
  <c r="AQ28" i="1"/>
  <c r="AQ28" i="6"/>
  <c r="AP28" i="1"/>
  <c r="AP28" i="6"/>
  <c r="AJ28" i="1"/>
  <c r="AJ28" i="6"/>
  <c r="AO28" i="1"/>
  <c r="AO28" i="6"/>
  <c r="J21" i="6"/>
  <c r="F21" i="6"/>
  <c r="AK25" i="1"/>
  <c r="AL25" i="1"/>
  <c r="AM25" i="1"/>
  <c r="AM25" i="6"/>
  <c r="AP25" i="1"/>
  <c r="AP25" i="6"/>
  <c r="AJ25" i="1"/>
  <c r="AJ25" i="6"/>
  <c r="AN25" i="1"/>
  <c r="AN25" i="6"/>
  <c r="AH25" i="6"/>
  <c r="AO25" i="1"/>
  <c r="AO25" i="6"/>
  <c r="AI25" i="1"/>
  <c r="AI25" i="6"/>
  <c r="AQ25" i="1"/>
  <c r="AQ25" i="6"/>
  <c r="AK21" i="1"/>
  <c r="AL21" i="1"/>
  <c r="AQ21" i="1"/>
  <c r="AQ21" i="6"/>
  <c r="AP21" i="1"/>
  <c r="AP21" i="6"/>
  <c r="AO21" i="1"/>
  <c r="AO21" i="6"/>
  <c r="AN21" i="1"/>
  <c r="AN21" i="6"/>
  <c r="AM21" i="1"/>
  <c r="AM21" i="6"/>
  <c r="AJ21" i="1"/>
  <c r="AJ21" i="6"/>
  <c r="AI21" i="1"/>
  <c r="AI21" i="6"/>
  <c r="AH21" i="6"/>
  <c r="E42" i="5"/>
  <c r="I42" i="5"/>
  <c r="P17" i="6"/>
  <c r="U17" i="6"/>
  <c r="M17" i="6"/>
  <c r="K17" i="6"/>
  <c r="I17" i="6"/>
  <c r="E17" i="6"/>
  <c r="V17" i="6"/>
  <c r="N17" i="6"/>
  <c r="D17" i="6"/>
  <c r="W17" i="6"/>
  <c r="K16" i="6"/>
  <c r="E14" i="6"/>
  <c r="F17" i="6"/>
  <c r="M28" i="6"/>
  <c r="J28" i="6"/>
  <c r="K21" i="6"/>
  <c r="V22" i="6"/>
  <c r="T22" i="6"/>
  <c r="U22" i="6"/>
  <c r="S22" i="6"/>
  <c r="P22" i="6"/>
  <c r="O22" i="6"/>
  <c r="M22" i="6"/>
  <c r="L22" i="6"/>
  <c r="K22" i="6"/>
  <c r="J22" i="6"/>
  <c r="I22" i="6"/>
  <c r="F22" i="6"/>
  <c r="E22" i="6"/>
  <c r="W22" i="6"/>
  <c r="N22" i="6"/>
  <c r="D22" i="6"/>
  <c r="AH9" i="6"/>
  <c r="N9" i="6"/>
  <c r="M9" i="6"/>
  <c r="L9" i="6"/>
  <c r="K9" i="6"/>
  <c r="J9" i="6"/>
  <c r="I9" i="6"/>
  <c r="F9" i="6"/>
  <c r="AO9" i="6"/>
  <c r="AI9" i="6"/>
  <c r="W9" i="6"/>
  <c r="S9" i="6"/>
  <c r="D9" i="6"/>
  <c r="AN9" i="6"/>
  <c r="V9" i="6"/>
  <c r="P9" i="6"/>
  <c r="AQ9" i="6"/>
  <c r="AM9" i="6"/>
  <c r="T9" i="6"/>
  <c r="O9" i="6"/>
  <c r="AP9" i="6"/>
  <c r="AJ9" i="6"/>
  <c r="U9" i="6"/>
  <c r="E9" i="6"/>
  <c r="AK27" i="1"/>
  <c r="AL27" i="1"/>
  <c r="AP27" i="1"/>
  <c r="AP27" i="6"/>
  <c r="AJ27" i="1"/>
  <c r="AJ27" i="6"/>
  <c r="AM27" i="1"/>
  <c r="AM27" i="6"/>
  <c r="AQ27" i="1"/>
  <c r="AQ27" i="6"/>
  <c r="AO27" i="1"/>
  <c r="AO27" i="6"/>
  <c r="AI27" i="1"/>
  <c r="AI27" i="6"/>
  <c r="AH27" i="6"/>
  <c r="AN27" i="1"/>
  <c r="AN27" i="6"/>
  <c r="AK23" i="1"/>
  <c r="AL23" i="1"/>
  <c r="AH23" i="6"/>
  <c r="AQ23" i="1"/>
  <c r="AQ23" i="6"/>
  <c r="AP23" i="1"/>
  <c r="AP23" i="6"/>
  <c r="AO23" i="1"/>
  <c r="AO23" i="6"/>
  <c r="AN23" i="1"/>
  <c r="AN23" i="6"/>
  <c r="AM23" i="1"/>
  <c r="AM23" i="6"/>
  <c r="AJ23" i="1"/>
  <c r="AJ23" i="6"/>
  <c r="AI23" i="1"/>
  <c r="AI23" i="6"/>
  <c r="V20" i="6"/>
  <c r="T20" i="6"/>
  <c r="U20" i="6"/>
  <c r="S20" i="6"/>
  <c r="P20" i="6"/>
  <c r="O20" i="6"/>
  <c r="D20" i="6"/>
  <c r="M20" i="6"/>
  <c r="L20" i="6"/>
  <c r="K20" i="6"/>
  <c r="J20" i="6"/>
  <c r="I20" i="6"/>
  <c r="F20" i="6"/>
  <c r="E20" i="6"/>
  <c r="W20" i="6"/>
  <c r="M56" i="5"/>
  <c r="AK20" i="1"/>
  <c r="AL20" i="1"/>
  <c r="AH20" i="6"/>
  <c r="AQ20" i="1"/>
  <c r="AQ20" i="6"/>
  <c r="AP20" i="1"/>
  <c r="AP20" i="6"/>
  <c r="AO20" i="1"/>
  <c r="AO20" i="6"/>
  <c r="AN20" i="1"/>
  <c r="AN20" i="6"/>
  <c r="AM20" i="1"/>
  <c r="AM20" i="6"/>
  <c r="AJ20" i="1"/>
  <c r="AJ20" i="6"/>
  <c r="AI20" i="1"/>
  <c r="AI20" i="6"/>
  <c r="AL16" i="1"/>
  <c r="AK16" i="1"/>
  <c r="AH16" i="6"/>
  <c r="AQ16" i="1"/>
  <c r="AQ16" i="6"/>
  <c r="AP16" i="1"/>
  <c r="AP16" i="6"/>
  <c r="AO16" i="1"/>
  <c r="AO16" i="6"/>
  <c r="AN16" i="1"/>
  <c r="AN16" i="6"/>
  <c r="AM16" i="1"/>
  <c r="AM16" i="6"/>
  <c r="AJ16" i="1"/>
  <c r="AJ16" i="6"/>
  <c r="AI16" i="1"/>
  <c r="AI16" i="6"/>
  <c r="AK17" i="1"/>
  <c r="AL17" i="1"/>
  <c r="AQ17" i="1"/>
  <c r="AQ17" i="6"/>
  <c r="AO17" i="1"/>
  <c r="AO17" i="6"/>
  <c r="AM17" i="1"/>
  <c r="AM17" i="6"/>
  <c r="AI17" i="1"/>
  <c r="AI17" i="6"/>
  <c r="AJ17" i="1"/>
  <c r="AJ17" i="6"/>
  <c r="AN17" i="1"/>
  <c r="AN17" i="6"/>
  <c r="AP17" i="1"/>
  <c r="AP17" i="6"/>
  <c r="AH17" i="6"/>
  <c r="D28" i="6"/>
  <c r="E28" i="6"/>
  <c r="M55" i="5"/>
  <c r="J41" i="5"/>
  <c r="M41" i="5"/>
  <c r="G41" i="5"/>
  <c r="K41" i="5"/>
  <c r="M33" i="5"/>
  <c r="AL18" i="1"/>
  <c r="AK18" i="1"/>
  <c r="AQ18" i="1"/>
  <c r="AQ18" i="6"/>
  <c r="AP18" i="1"/>
  <c r="AP18" i="6"/>
  <c r="AO18" i="1"/>
  <c r="AO18" i="6"/>
  <c r="AN18" i="1"/>
  <c r="AN18" i="6"/>
  <c r="AM18" i="1"/>
  <c r="AM18" i="6"/>
  <c r="AJ18" i="1"/>
  <c r="AJ18" i="6"/>
  <c r="AI18" i="1"/>
  <c r="AI18" i="6"/>
  <c r="AH18" i="6"/>
  <c r="AK19" i="1"/>
  <c r="AL19" i="1"/>
  <c r="AH19" i="6"/>
  <c r="AQ19" i="1"/>
  <c r="AQ19" i="6"/>
  <c r="AP19" i="1"/>
  <c r="AP19" i="6"/>
  <c r="AO19" i="1"/>
  <c r="AO19" i="6"/>
  <c r="AN19" i="1"/>
  <c r="AN19" i="6"/>
  <c r="AM19" i="1"/>
  <c r="AM19" i="6"/>
  <c r="AJ19" i="1"/>
  <c r="AJ19" i="6"/>
  <c r="AI19" i="1"/>
  <c r="AI19" i="6"/>
  <c r="AK13" i="1"/>
  <c r="AL13" i="1"/>
  <c r="AH13" i="6"/>
  <c r="AN13" i="1"/>
  <c r="AN13" i="6"/>
  <c r="AO13" i="1"/>
  <c r="AO13" i="6"/>
  <c r="AI13" i="1"/>
  <c r="AI13" i="6"/>
  <c r="AQ13" i="1"/>
  <c r="AQ13" i="6"/>
  <c r="AP13" i="1"/>
  <c r="AP13" i="6"/>
  <c r="AJ13" i="1"/>
  <c r="AJ13" i="6"/>
  <c r="AM13" i="1"/>
  <c r="AM13" i="6"/>
  <c r="AL14" i="1"/>
  <c r="AK14" i="1"/>
  <c r="AQ14" i="1"/>
  <c r="AQ14" i="6"/>
  <c r="AP14" i="1"/>
  <c r="AP14" i="6"/>
  <c r="AO14" i="1"/>
  <c r="AO14" i="6"/>
  <c r="AN14" i="1"/>
  <c r="AN14" i="6"/>
  <c r="AM14" i="1"/>
  <c r="AM14" i="6"/>
  <c r="AJ14" i="1"/>
  <c r="AJ14" i="6"/>
  <c r="AI14" i="1"/>
  <c r="AI14" i="6"/>
  <c r="AH14" i="6"/>
  <c r="M50" i="5"/>
  <c r="J39" i="5"/>
  <c r="M39" i="5"/>
  <c r="G39" i="5"/>
  <c r="K39" i="5"/>
  <c r="M57" i="5"/>
  <c r="J47" i="5"/>
  <c r="G47" i="5"/>
  <c r="K47" i="5"/>
  <c r="R15" i="6"/>
  <c r="J45" i="5"/>
  <c r="G45" i="5"/>
  <c r="K45" i="5"/>
  <c r="E45" i="5"/>
  <c r="I45" i="5"/>
  <c r="M45" i="5"/>
  <c r="M48" i="5"/>
  <c r="R20" i="6"/>
  <c r="J40" i="5"/>
  <c r="G40" i="5"/>
  <c r="K40" i="5"/>
  <c r="G53" i="5"/>
  <c r="K53" i="5"/>
  <c r="J53" i="5"/>
  <c r="AH4" i="6"/>
  <c r="N4" i="6"/>
  <c r="AP4" i="6"/>
  <c r="AO4" i="6"/>
  <c r="AN4" i="6"/>
  <c r="AM4" i="6"/>
  <c r="AJ4" i="6"/>
  <c r="AI4" i="6"/>
  <c r="W4" i="6"/>
  <c r="V4" i="6"/>
  <c r="T4" i="6"/>
  <c r="U4" i="6"/>
  <c r="S4" i="6"/>
  <c r="P4" i="6"/>
  <c r="O4" i="6"/>
  <c r="L4" i="6"/>
  <c r="J4" i="6"/>
  <c r="F4" i="6"/>
  <c r="D4" i="6"/>
  <c r="E4" i="6"/>
  <c r="I4" i="6"/>
  <c r="K4" i="6"/>
  <c r="M4" i="6"/>
  <c r="N16" i="6"/>
  <c r="D16" i="6"/>
  <c r="M16" i="6"/>
  <c r="W16" i="6"/>
  <c r="V16" i="6"/>
  <c r="T16" i="6"/>
  <c r="U16" i="6"/>
  <c r="S16" i="6"/>
  <c r="P16" i="6"/>
  <c r="O16" i="6"/>
  <c r="O17" i="6"/>
  <c r="J14" i="6"/>
  <c r="I16" i="6"/>
  <c r="V14" i="6"/>
  <c r="I21" i="6"/>
  <c r="J17" i="6"/>
  <c r="K28" i="6"/>
  <c r="L21" i="6"/>
  <c r="N20" i="6"/>
  <c r="AK5" i="6"/>
  <c r="AL22" i="1"/>
  <c r="AK22" i="1"/>
  <c r="AK22" i="6"/>
  <c r="AQ22" i="1"/>
  <c r="AQ22" i="6"/>
  <c r="AP22" i="1"/>
  <c r="AP22" i="6"/>
  <c r="AO22" i="1"/>
  <c r="AO22" i="6"/>
  <c r="AN22" i="1"/>
  <c r="AN22" i="6"/>
  <c r="AM22" i="1"/>
  <c r="AM22" i="6"/>
  <c r="AJ22" i="1"/>
  <c r="AJ22" i="6"/>
  <c r="AI22" i="1"/>
  <c r="AI22" i="6"/>
  <c r="AH22" i="6"/>
  <c r="AK24" i="1"/>
  <c r="AL24" i="1"/>
  <c r="AQ24" i="1"/>
  <c r="AQ24" i="6"/>
  <c r="AO24" i="1"/>
  <c r="AO24" i="6"/>
  <c r="AM24" i="1"/>
  <c r="AM24" i="6"/>
  <c r="AI24" i="1"/>
  <c r="AI24" i="6"/>
  <c r="AP24" i="1"/>
  <c r="AP24" i="6"/>
  <c r="AJ24" i="1"/>
  <c r="AJ24" i="6"/>
  <c r="AN24" i="1"/>
  <c r="AN24" i="6"/>
  <c r="AH24" i="6"/>
  <c r="AL26" i="1"/>
  <c r="AK26" i="1"/>
  <c r="AQ26" i="1"/>
  <c r="AQ26" i="6"/>
  <c r="AO26" i="1"/>
  <c r="AO26" i="6"/>
  <c r="AI26" i="1"/>
  <c r="AI26" i="6"/>
  <c r="AH26" i="6"/>
  <c r="AP26" i="1"/>
  <c r="AP26" i="6"/>
  <c r="AN26" i="1"/>
  <c r="AN26" i="6"/>
  <c r="AJ26" i="1"/>
  <c r="AJ26" i="6"/>
  <c r="AM26" i="1"/>
  <c r="AM26" i="6"/>
  <c r="AK15" i="1"/>
  <c r="AK15" i="6"/>
  <c r="AL15" i="1"/>
  <c r="AL15" i="6"/>
  <c r="AQ15" i="1"/>
  <c r="AQ15" i="6"/>
  <c r="AM15" i="1"/>
  <c r="AM15" i="6"/>
  <c r="AH15" i="6"/>
  <c r="AN15" i="1"/>
  <c r="AN15" i="6"/>
  <c r="AO15" i="1"/>
  <c r="AO15" i="6"/>
  <c r="AI15" i="1"/>
  <c r="AI15" i="6"/>
  <c r="AP15" i="1"/>
  <c r="AP15" i="6"/>
  <c r="AJ15" i="1"/>
  <c r="AJ15" i="6"/>
  <c r="M34" i="5"/>
  <c r="F58" i="5"/>
  <c r="G37" i="5"/>
  <c r="K37" i="5"/>
  <c r="F51" i="5"/>
  <c r="F44" i="5"/>
  <c r="J37" i="5"/>
  <c r="J49" i="5"/>
  <c r="G49" i="5"/>
  <c r="K49" i="5"/>
  <c r="M31" i="5"/>
  <c r="AK11" i="1"/>
  <c r="AL11" i="1"/>
  <c r="AQ11" i="1"/>
  <c r="AQ11" i="6"/>
  <c r="AO11" i="1"/>
  <c r="AO11" i="6"/>
  <c r="AI11" i="1"/>
  <c r="AI11" i="6"/>
  <c r="AP11" i="1"/>
  <c r="AP11" i="6"/>
  <c r="AJ11" i="1"/>
  <c r="AJ11" i="6"/>
  <c r="AM11" i="1"/>
  <c r="AM11" i="6"/>
  <c r="AN11" i="1"/>
  <c r="AN11" i="6"/>
  <c r="AH11" i="6"/>
  <c r="AK12" i="1"/>
  <c r="AL12" i="1"/>
  <c r="AH12" i="6"/>
  <c r="AQ12" i="1"/>
  <c r="AQ12" i="6"/>
  <c r="AP12" i="1"/>
  <c r="AP12" i="6"/>
  <c r="AO12" i="1"/>
  <c r="AO12" i="6"/>
  <c r="AN12" i="1"/>
  <c r="AN12" i="6"/>
  <c r="AM12" i="1"/>
  <c r="AM12" i="6"/>
  <c r="AJ12" i="1"/>
  <c r="AJ12" i="6"/>
  <c r="AI12" i="1"/>
  <c r="AI12" i="6"/>
  <c r="AK7" i="6"/>
  <c r="AK29" i="1"/>
  <c r="AK29" i="6"/>
  <c r="AL29" i="1"/>
  <c r="AL29" i="6"/>
  <c r="AO29" i="1"/>
  <c r="AO29" i="6"/>
  <c r="AI29" i="1"/>
  <c r="AI29" i="6"/>
  <c r="AJ29" i="1"/>
  <c r="AJ29" i="6"/>
  <c r="AN29" i="1"/>
  <c r="AN29" i="6"/>
  <c r="AM29" i="1"/>
  <c r="AM29" i="6"/>
  <c r="AH29" i="6"/>
  <c r="AQ29" i="1"/>
  <c r="AQ29" i="6"/>
  <c r="AP29" i="1"/>
  <c r="AP29" i="6"/>
  <c r="AL30" i="1"/>
  <c r="AK30" i="1"/>
  <c r="AQ30" i="1"/>
  <c r="AQ30" i="6"/>
  <c r="AM30" i="1"/>
  <c r="AM30" i="6"/>
  <c r="AN30" i="1"/>
  <c r="AN30" i="6"/>
  <c r="AP30" i="1"/>
  <c r="AP30" i="6"/>
  <c r="AJ30" i="1"/>
  <c r="AJ30" i="6"/>
  <c r="AO30" i="1"/>
  <c r="AO30" i="6"/>
  <c r="AI30" i="1"/>
  <c r="AI30" i="6"/>
  <c r="AH30" i="6"/>
  <c r="AL3" i="6"/>
  <c r="M47" i="5"/>
  <c r="J38" i="5"/>
  <c r="G38" i="5"/>
  <c r="K38" i="5"/>
  <c r="J46" i="5"/>
  <c r="G46" i="5"/>
  <c r="K46" i="5"/>
  <c r="Q8" i="6"/>
  <c r="R8" i="6"/>
  <c r="G8" i="6"/>
  <c r="H8" i="6"/>
  <c r="R29" i="6"/>
  <c r="G20" i="6"/>
  <c r="G28" i="6"/>
  <c r="J52" i="5"/>
  <c r="G52" i="5"/>
  <c r="K52" i="5"/>
  <c r="M32" i="5"/>
  <c r="J54" i="5"/>
  <c r="G54" i="5"/>
  <c r="K54" i="5"/>
  <c r="AK8" i="6"/>
  <c r="M14" i="6"/>
  <c r="N14" i="6"/>
  <c r="D14" i="6"/>
  <c r="S17" i="6"/>
  <c r="F14" i="6"/>
  <c r="E16" i="6"/>
  <c r="AQ4" i="6"/>
  <c r="K14" i="6"/>
  <c r="E21" i="6"/>
  <c r="L28" i="6"/>
  <c r="N19" i="6"/>
  <c r="M19" i="6"/>
  <c r="K19" i="6"/>
  <c r="I19" i="6"/>
  <c r="E19" i="6"/>
  <c r="D19" i="6"/>
  <c r="F19" i="6"/>
  <c r="J19" i="6"/>
  <c r="L19" i="6"/>
  <c r="I28" i="6"/>
  <c r="D21" i="6"/>
  <c r="M21" i="6"/>
  <c r="M46" i="5"/>
  <c r="M49" i="5"/>
  <c r="Q21" i="6"/>
  <c r="M52" i="5"/>
  <c r="M40" i="5"/>
  <c r="Q12" i="6"/>
  <c r="M37" i="5"/>
  <c r="M54" i="5"/>
  <c r="Q26" i="6"/>
  <c r="M38" i="5"/>
  <c r="H10" i="6"/>
  <c r="AL22" i="6"/>
  <c r="M53" i="5"/>
  <c r="R10" i="6"/>
  <c r="AL10" i="6"/>
  <c r="R25" i="6"/>
  <c r="Q25" i="6"/>
  <c r="H25" i="6"/>
  <c r="G25" i="6"/>
  <c r="R26" i="6"/>
  <c r="H26" i="6"/>
  <c r="G13" i="6"/>
  <c r="Q13" i="6"/>
  <c r="H13" i="6"/>
  <c r="R13" i="6"/>
  <c r="R12" i="6"/>
  <c r="H12" i="6"/>
  <c r="Q18" i="6"/>
  <c r="R18" i="6"/>
  <c r="H18" i="6"/>
  <c r="G18" i="6"/>
  <c r="R21" i="6"/>
  <c r="G21" i="6"/>
  <c r="H21" i="6"/>
  <c r="R24" i="6"/>
  <c r="Q24" i="6"/>
  <c r="H24" i="6"/>
  <c r="G24" i="6"/>
  <c r="Q9" i="6"/>
  <c r="R9" i="6"/>
  <c r="H9" i="6"/>
  <c r="AL9" i="6"/>
  <c r="G9" i="6"/>
  <c r="AK9" i="6"/>
  <c r="G11" i="6"/>
  <c r="Q11" i="6"/>
  <c r="R11" i="6"/>
  <c r="H11" i="6"/>
  <c r="Q3" i="6"/>
  <c r="R3" i="6"/>
  <c r="G3" i="6"/>
  <c r="H3" i="6"/>
  <c r="J44" i="5"/>
  <c r="G44" i="5"/>
  <c r="K44" i="5"/>
  <c r="E44" i="5"/>
  <c r="I44" i="5"/>
  <c r="R17" i="6"/>
  <c r="H17" i="6"/>
  <c r="Q17" i="6"/>
  <c r="G17" i="6"/>
  <c r="AL19" i="6"/>
  <c r="AL21" i="6"/>
  <c r="AK28" i="6"/>
  <c r="AL11" i="6"/>
  <c r="J51" i="5"/>
  <c r="G51" i="5"/>
  <c r="K51" i="5"/>
  <c r="E51" i="5"/>
  <c r="I51" i="5"/>
  <c r="AK26" i="6"/>
  <c r="Q22" i="6"/>
  <c r="H22" i="6"/>
  <c r="R22" i="6"/>
  <c r="AK19" i="6"/>
  <c r="Q27" i="6"/>
  <c r="H27" i="6"/>
  <c r="R27" i="6"/>
  <c r="G27" i="6"/>
  <c r="AL17" i="6"/>
  <c r="AL20" i="6"/>
  <c r="Q28" i="6"/>
  <c r="R28" i="6"/>
  <c r="H28" i="6"/>
  <c r="AK21" i="6"/>
  <c r="Q19" i="6"/>
  <c r="R19" i="6"/>
  <c r="H19" i="6"/>
  <c r="G19" i="6"/>
  <c r="R4" i="6"/>
  <c r="G4" i="6"/>
  <c r="Q4" i="6"/>
  <c r="H4" i="6"/>
  <c r="AL4" i="6"/>
  <c r="AK11" i="6"/>
  <c r="Q6" i="6"/>
  <c r="R6" i="6"/>
  <c r="G6" i="6"/>
  <c r="AK6" i="6"/>
  <c r="AL6" i="6"/>
  <c r="H6" i="6"/>
  <c r="AL26" i="6"/>
  <c r="AL24" i="6"/>
  <c r="Q29" i="6"/>
  <c r="G29" i="6"/>
  <c r="H29" i="6"/>
  <c r="AK3" i="6"/>
  <c r="AL13" i="6"/>
  <c r="AK18" i="6"/>
  <c r="Q5" i="6"/>
  <c r="R5" i="6"/>
  <c r="H5" i="6"/>
  <c r="G5" i="6"/>
  <c r="AL5" i="6"/>
  <c r="AK17" i="6"/>
  <c r="AK20" i="6"/>
  <c r="AL27" i="6"/>
  <c r="AL25" i="6"/>
  <c r="G58" i="5"/>
  <c r="K58" i="5"/>
  <c r="E58" i="5"/>
  <c r="I58" i="5"/>
  <c r="J58" i="5"/>
  <c r="AK4" i="6"/>
  <c r="AK24" i="6"/>
  <c r="Q20" i="6"/>
  <c r="H20" i="6"/>
  <c r="AK13" i="6"/>
  <c r="AL18" i="6"/>
  <c r="G22" i="6"/>
  <c r="AK27" i="6"/>
  <c r="M42" i="5"/>
  <c r="AK25" i="6"/>
  <c r="AL28" i="6"/>
  <c r="AK12" i="6"/>
  <c r="AK10" i="6"/>
  <c r="Q10" i="6"/>
  <c r="AL12" i="6"/>
  <c r="G12" i="6"/>
  <c r="G26" i="6"/>
  <c r="G10" i="6"/>
  <c r="M51" i="5"/>
  <c r="M44" i="5"/>
  <c r="Q14" i="6"/>
  <c r="H14" i="6"/>
  <c r="R14" i="6"/>
  <c r="G14" i="6"/>
  <c r="M58" i="5"/>
  <c r="AL14" i="6"/>
  <c r="AK14" i="6"/>
  <c r="Q16" i="6"/>
  <c r="H16" i="6"/>
  <c r="R16" i="6"/>
  <c r="G16" i="6"/>
  <c r="AK16" i="6"/>
  <c r="AL16" i="6"/>
  <c r="Q30" i="6"/>
  <c r="H30" i="6"/>
  <c r="R30" i="6"/>
  <c r="G30" i="6"/>
  <c r="AL30" i="6"/>
  <c r="AK30" i="6"/>
  <c r="Q23" i="6"/>
  <c r="R23" i="6"/>
  <c r="G23" i="6"/>
  <c r="H23" i="6"/>
  <c r="AK23" i="6"/>
  <c r="AL23" i="6"/>
</calcChain>
</file>

<file path=xl/sharedStrings.xml><?xml version="1.0" encoding="utf-8"?>
<sst xmlns="http://schemas.openxmlformats.org/spreadsheetml/2006/main" count="722" uniqueCount="111">
  <si>
    <t>Ectopic_Sterilization</t>
    <phoneticPr fontId="1" type="noConversion"/>
  </si>
  <si>
    <r>
      <t>Ectopic_Baseline</t>
    </r>
    <r>
      <rPr>
        <vertAlign val="superscript"/>
        <sz val="11"/>
        <color indexed="8"/>
        <rFont val="Calibri"/>
        <family val="2"/>
      </rPr>
      <t>3</t>
    </r>
    <phoneticPr fontId="1" type="noConversion"/>
  </si>
  <si>
    <t>Ectopic_IUD_1</t>
    <phoneticPr fontId="1" type="noConversion"/>
  </si>
  <si>
    <t>Ectopic_IUD_2</t>
    <phoneticPr fontId="1" type="noConversion"/>
  </si>
  <si>
    <t>A24_29</t>
  </si>
  <si>
    <t>Obesity</t>
  </si>
  <si>
    <t>Htn</t>
  </si>
  <si>
    <t>Smoker</t>
  </si>
  <si>
    <t>Pregnant</t>
  </si>
  <si>
    <t>Birth</t>
  </si>
  <si>
    <t>Miscarriage</t>
  </si>
  <si>
    <t>Abortions</t>
  </si>
  <si>
    <t>Time:</t>
  </si>
  <si>
    <t>No IUD</t>
  </si>
  <si>
    <t>= OR not significant</t>
    <phoneticPr fontId="1" type="noConversion"/>
  </si>
  <si>
    <t>= need to search for data</t>
    <phoneticPr fontId="1" type="noConversion"/>
  </si>
  <si>
    <t>= plan to look at claims data</t>
    <phoneticPr fontId="1" type="noConversion"/>
  </si>
  <si>
    <t>A24_29</t>
    <phoneticPr fontId="1" type="noConversion"/>
  </si>
  <si>
    <r>
      <t>MI</t>
    </r>
    <r>
      <rPr>
        <vertAlign val="superscript"/>
        <sz val="11"/>
        <color indexed="8"/>
        <rFont val="Calibri"/>
        <family val="2"/>
      </rPr>
      <t>1</t>
    </r>
    <phoneticPr fontId="1" type="noConversion"/>
  </si>
  <si>
    <r>
      <t>CVA</t>
    </r>
    <r>
      <rPr>
        <vertAlign val="superscript"/>
        <sz val="11"/>
        <color indexed="8"/>
        <rFont val="Calibri"/>
        <family val="2"/>
      </rPr>
      <t>1</t>
    </r>
    <phoneticPr fontId="1" type="noConversion"/>
  </si>
  <si>
    <r>
      <t>VTE</t>
    </r>
    <r>
      <rPr>
        <vertAlign val="superscript"/>
        <sz val="11"/>
        <color indexed="8"/>
        <rFont val="Calibri"/>
        <family val="2"/>
      </rPr>
      <t>2</t>
    </r>
    <phoneticPr fontId="1" type="noConversion"/>
  </si>
  <si>
    <t>A24_29</t>
    <phoneticPr fontId="1" type="noConversion"/>
  </si>
  <si>
    <t>miscarriage</t>
    <phoneticPr fontId="1" type="noConversion"/>
  </si>
  <si>
    <t>Jones (2007) Underreporting of induced and spontaneous abortion</t>
    <phoneticPr fontId="1" type="noConversion"/>
  </si>
  <si>
    <t>unint-&gt;abort</t>
    <phoneticPr fontId="1" type="noConversion"/>
  </si>
  <si>
    <t>*Finer (2016)</t>
    <phoneticPr fontId="1" type="noConversion"/>
  </si>
  <si>
    <t>6.2 = overall rate, not 15-19</t>
    <phoneticPr fontId="1" type="noConversion"/>
  </si>
  <si>
    <t>IUD_1</t>
    <phoneticPr fontId="1" type="noConversion"/>
  </si>
  <si>
    <t>IUD_2</t>
    <phoneticPr fontId="1" type="noConversion"/>
  </si>
  <si>
    <t>A24_29</t>
    <phoneticPr fontId="1" type="noConversion"/>
  </si>
  <si>
    <t>A24_29</t>
    <phoneticPr fontId="1" type="noConversion"/>
  </si>
  <si>
    <t>*Latest Cochrane, no association</t>
    <phoneticPr fontId="1" type="noConversion"/>
  </si>
  <si>
    <t>*Enter different pill assumptions</t>
    <phoneticPr fontId="1" type="noConversion"/>
  </si>
  <si>
    <t>*per 100,000 wy</t>
    <phoneticPr fontId="1" type="noConversion"/>
  </si>
  <si>
    <r>
      <t>IUD_1</t>
    </r>
    <r>
      <rPr>
        <vertAlign val="superscript"/>
        <sz val="11"/>
        <color indexed="8"/>
        <rFont val="Calibri"/>
        <family val="2"/>
      </rPr>
      <t>3</t>
    </r>
    <phoneticPr fontId="1" type="noConversion"/>
  </si>
  <si>
    <r>
      <t>IUD_2</t>
    </r>
    <r>
      <rPr>
        <vertAlign val="superscript"/>
        <sz val="11"/>
        <color indexed="8"/>
        <rFont val="Calibri"/>
        <family val="2"/>
      </rPr>
      <t>4</t>
    </r>
    <phoneticPr fontId="1" type="noConversion"/>
  </si>
  <si>
    <r>
      <t>3</t>
    </r>
    <r>
      <rPr>
        <sz val="11"/>
        <color indexed="8"/>
        <rFont val="Calibri"/>
        <family val="2"/>
      </rPr>
      <t>Copper</t>
    </r>
    <phoneticPr fontId="1" type="noConversion"/>
  </si>
  <si>
    <r>
      <t>4</t>
    </r>
    <r>
      <rPr>
        <sz val="11"/>
        <color indexed="8"/>
        <rFont val="Calibri"/>
        <family val="2"/>
      </rPr>
      <t>Levonorgestrel</t>
    </r>
    <phoneticPr fontId="1" type="noConversion"/>
  </si>
  <si>
    <t>3month_injection</t>
    <phoneticPr fontId="1" type="noConversion"/>
  </si>
  <si>
    <t>NoMethod</t>
    <phoneticPr fontId="1" type="noConversion"/>
  </si>
  <si>
    <t>Withdrawal</t>
    <phoneticPr fontId="1" type="noConversion"/>
  </si>
  <si>
    <t>Condom</t>
    <phoneticPr fontId="1" type="noConversion"/>
  </si>
  <si>
    <t>Implant</t>
    <phoneticPr fontId="1" type="noConversion"/>
  </si>
  <si>
    <t>*per 100,000 wy</t>
    <phoneticPr fontId="1" type="noConversion"/>
  </si>
  <si>
    <t>*per 1,000 wy</t>
    <phoneticPr fontId="1" type="noConversion"/>
  </si>
  <si>
    <t>*per 100,000 women</t>
    <phoneticPr fontId="1" type="noConversion"/>
  </si>
  <si>
    <t>*Need to make separate column for sterilization and IUD since that rate is per user instead of % of pregnancy</t>
    <phoneticPr fontId="1" type="noConversion"/>
  </si>
  <si>
    <t>= assume no relationship (and/or no data)</t>
  </si>
  <si>
    <t>Pill_2*</t>
    <phoneticPr fontId="1" type="noConversion"/>
  </si>
  <si>
    <t>*Used general pill failure rates and assumed the same for progesterone pills</t>
    <phoneticPr fontId="1" type="noConversion"/>
  </si>
  <si>
    <t>Person months pregnant</t>
    <phoneticPr fontId="1" type="noConversion"/>
  </si>
  <si>
    <t>*PID rates: we found no increase with pregnancy and no association across methods, thus the rates are the same across methods</t>
    <phoneticPr fontId="1" type="noConversion"/>
  </si>
  <si>
    <t>*Remaining failure rates from Trussel</t>
    <phoneticPr fontId="1" type="noConversion"/>
  </si>
  <si>
    <t>= assume no relationship (and/or no data)</t>
    <phoneticPr fontId="1" type="noConversion"/>
  </si>
  <si>
    <r>
      <t>Pill_1</t>
    </r>
    <r>
      <rPr>
        <vertAlign val="superscript"/>
        <sz val="11"/>
        <color indexed="8"/>
        <rFont val="Calibri"/>
        <family val="2"/>
      </rPr>
      <t>1</t>
    </r>
    <phoneticPr fontId="1" type="noConversion"/>
  </si>
  <si>
    <r>
      <t>1</t>
    </r>
    <r>
      <rPr>
        <sz val="11"/>
        <color indexed="8"/>
        <rFont val="Calibri"/>
        <family val="2"/>
      </rPr>
      <t>COC</t>
    </r>
    <phoneticPr fontId="1" type="noConversion"/>
  </si>
  <si>
    <r>
      <t>Pill_2</t>
    </r>
    <r>
      <rPr>
        <vertAlign val="superscript"/>
        <sz val="11"/>
        <color indexed="8"/>
        <rFont val="Calibri"/>
        <family val="2"/>
      </rPr>
      <t>2</t>
    </r>
    <phoneticPr fontId="1" type="noConversion"/>
  </si>
  <si>
    <r>
      <t>2</t>
    </r>
    <r>
      <rPr>
        <sz val="11"/>
        <color indexed="8"/>
        <rFont val="Calibri"/>
        <family val="2"/>
      </rPr>
      <t>POP</t>
    </r>
    <phoneticPr fontId="1" type="noConversion"/>
  </si>
  <si>
    <t>Implant</t>
    <phoneticPr fontId="1" type="noConversion"/>
  </si>
  <si>
    <t>Condom</t>
    <phoneticPr fontId="1" type="noConversion"/>
  </si>
  <si>
    <t>Withdrawal</t>
    <phoneticPr fontId="1" type="noConversion"/>
  </si>
  <si>
    <t>No_method</t>
    <phoneticPr fontId="1" type="noConversion"/>
  </si>
  <si>
    <t>= uncertain/have question</t>
    <phoneticPr fontId="1" type="noConversion"/>
  </si>
  <si>
    <t>Demographic Groups</t>
  </si>
  <si>
    <t>Age</t>
  </si>
  <si>
    <t>RF</t>
  </si>
  <si>
    <t>A15_19</t>
  </si>
  <si>
    <t>A20_24</t>
  </si>
  <si>
    <t>A30_34</t>
  </si>
  <si>
    <t>A35_39</t>
  </si>
  <si>
    <t>A40_44</t>
  </si>
  <si>
    <t>A45_49</t>
  </si>
  <si>
    <t>Methods</t>
  </si>
  <si>
    <t>Sterilization</t>
  </si>
  <si>
    <t>Pill_1</t>
  </si>
  <si>
    <t>Pill_2</t>
  </si>
  <si>
    <t>IUD</t>
  </si>
  <si>
    <r>
      <t>PID</t>
    </r>
    <r>
      <rPr>
        <vertAlign val="superscript"/>
        <sz val="11"/>
        <color indexed="8"/>
        <rFont val="Calibri"/>
        <family val="2"/>
      </rPr>
      <t>3</t>
    </r>
    <phoneticPr fontId="1" type="noConversion"/>
  </si>
  <si>
    <t>*Age-specific pill (1 and 2), condom, and withdrawal from Guttmacher paper</t>
    <phoneticPr fontId="1" type="noConversion"/>
  </si>
  <si>
    <t xml:space="preserve">*Overall injectable from Guttmacher paper </t>
    <phoneticPr fontId="1" type="noConversion"/>
  </si>
  <si>
    <t>(multiplied by 100)</t>
    <phoneticPr fontId="1" type="noConversion"/>
  </si>
  <si>
    <t>(multiplied rates by 100)</t>
    <phoneticPr fontId="1" type="noConversion"/>
  </si>
  <si>
    <t>Ectopic</t>
  </si>
  <si>
    <t>*How to account for the fact that overall rate includes all ages? Weight by age distribution?</t>
    <phoneticPr fontId="1" type="noConversion"/>
  </si>
  <si>
    <t>IUD_1</t>
    <phoneticPr fontId="1" type="noConversion"/>
  </si>
  <si>
    <t>IUD_2</t>
    <phoneticPr fontId="1" type="noConversion"/>
  </si>
  <si>
    <t>IUD_1</t>
    <phoneticPr fontId="1" type="noConversion"/>
  </si>
  <si>
    <t>IUD_2</t>
    <phoneticPr fontId="1" type="noConversion"/>
  </si>
  <si>
    <t>Implant</t>
    <phoneticPr fontId="1" type="noConversion"/>
  </si>
  <si>
    <t>Condom</t>
    <phoneticPr fontId="1" type="noConversion"/>
  </si>
  <si>
    <t>Withdrawal</t>
    <phoneticPr fontId="1" type="noConversion"/>
  </si>
  <si>
    <t>No_method</t>
    <phoneticPr fontId="1" type="noConversion"/>
  </si>
  <si>
    <t>3month_injection</t>
    <phoneticPr fontId="1" type="noConversion"/>
  </si>
  <si>
    <t>3month_injection</t>
    <phoneticPr fontId="1" type="noConversion"/>
  </si>
  <si>
    <t>Condom</t>
    <phoneticPr fontId="1" type="noConversion"/>
  </si>
  <si>
    <t>Pregnant</t>
    <phoneticPr fontId="1" type="noConversion"/>
  </si>
  <si>
    <t>Proportion pregnant by age</t>
    <phoneticPr fontId="1" type="noConversion"/>
  </si>
  <si>
    <t>*per 100,000 users per year</t>
    <phoneticPr fontId="1" type="noConversion"/>
  </si>
  <si>
    <t>MI</t>
    <phoneticPr fontId="1" type="noConversion"/>
  </si>
  <si>
    <t>CVA</t>
    <phoneticPr fontId="1" type="noConversion"/>
  </si>
  <si>
    <t>VTE</t>
    <phoneticPr fontId="1" type="noConversion"/>
  </si>
  <si>
    <t>PID</t>
    <phoneticPr fontId="1" type="noConversion"/>
  </si>
  <si>
    <t>Preg_Ectopic</t>
    <phoneticPr fontId="1" type="noConversion"/>
  </si>
  <si>
    <r>
      <t xml:space="preserve">3 </t>
    </r>
    <r>
      <rPr>
        <sz val="11"/>
        <color theme="1"/>
        <rFont val="Calibri"/>
        <family val="2"/>
        <scheme val="minor"/>
      </rPr>
      <t>percent of pregnancies</t>
    </r>
  </si>
  <si>
    <t>*per 100,000 users per year</t>
  </si>
  <si>
    <t>*OR=1.87 relative to non users (+3.9 for smokers)</t>
  </si>
  <si>
    <r>
      <t>3</t>
    </r>
    <r>
      <rPr>
        <sz val="11"/>
        <color theme="1"/>
        <rFont val="Calibri"/>
        <family val="2"/>
        <scheme val="minor"/>
      </rPr>
      <t>original estimate percent of pregnancies</t>
    </r>
    <r>
      <rPr>
        <vertAlign val="superscript"/>
        <sz val="11"/>
        <color indexed="8"/>
        <rFont val="Calibri"/>
        <family val="2"/>
      </rPr>
      <t>, thus per 100 pregnancies</t>
    </r>
  </si>
  <si>
    <t>*original estimate 0.7 per 1,000 sterilizations</t>
  </si>
  <si>
    <r>
      <t>3</t>
    </r>
    <r>
      <rPr>
        <sz val="11"/>
        <color indexed="8"/>
        <rFont val="Calibri"/>
        <family val="2"/>
      </rPr>
      <t>original estimate per 1,000 (pregnant) women</t>
    </r>
  </si>
  <si>
    <r>
      <t>2</t>
    </r>
    <r>
      <rPr>
        <sz val="11"/>
        <color theme="1"/>
        <rFont val="Calibri"/>
        <family val="2"/>
        <scheme val="minor"/>
      </rPr>
      <t>original estimate per 1,000 deliveries</t>
    </r>
  </si>
  <si>
    <r>
      <t>1</t>
    </r>
    <r>
      <rPr>
        <sz val="11"/>
        <color theme="1"/>
        <rFont val="Calibri"/>
        <family val="2"/>
        <scheme val="minor"/>
      </rPr>
      <t>original estimate per 100,000 deliveries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</si>
</sst>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164" fontId="0" fillId="5" borderId="1" xfId="0" applyNumberFormat="1" applyFill="1" applyBorder="1"/>
    <xf numFmtId="164" fontId="0" fillId="3" borderId="1" xfId="0" applyNumberFormat="1" applyFill="1" applyBorder="1"/>
    <xf numFmtId="164" fontId="0" fillId="6" borderId="1" xfId="0" applyNumberFormat="1" applyFill="1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3" fillId="0" borderId="0" xfId="0" applyFon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8" borderId="0" xfId="0" applyNumberFormat="1" applyFill="1"/>
    <xf numFmtId="164" fontId="0" fillId="6" borderId="0" xfId="0" applyNumberFormat="1" applyFill="1"/>
    <xf numFmtId="0" fontId="0" fillId="9" borderId="0" xfId="0" applyFill="1"/>
    <xf numFmtId="0" fontId="0" fillId="9" borderId="0" xfId="0" applyFill="1" applyAlignment="1"/>
    <xf numFmtId="0" fontId="0" fillId="0" borderId="0" xfId="0" applyAlignment="1">
      <alignment horizontal="right"/>
    </xf>
    <xf numFmtId="0" fontId="0" fillId="0" borderId="0" xfId="0" applyFill="1"/>
    <xf numFmtId="0" fontId="2" fillId="0" borderId="0" xfId="0" applyFont="1"/>
    <xf numFmtId="164" fontId="0" fillId="10" borderId="0" xfId="0" applyNumberFormat="1" applyFill="1"/>
    <xf numFmtId="0" fontId="0" fillId="10" borderId="0" xfId="0" applyFill="1"/>
    <xf numFmtId="164" fontId="2" fillId="5" borderId="0" xfId="0" applyNumberFormat="1" applyFont="1" applyFill="1"/>
    <xf numFmtId="2" fontId="0" fillId="10" borderId="0" xfId="0" applyNumberFormat="1" applyFill="1"/>
    <xf numFmtId="165" fontId="0" fillId="1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65" fontId="0" fillId="8" borderId="0" xfId="0" applyNumberFormat="1" applyFill="1"/>
    <xf numFmtId="164" fontId="0" fillId="8" borderId="1" xfId="0" applyNumberFormat="1" applyFill="1" applyBorder="1"/>
    <xf numFmtId="164" fontId="0" fillId="0" borderId="1" xfId="0" applyNumberFormat="1" applyFill="1" applyBorder="1"/>
    <xf numFmtId="0" fontId="2" fillId="10" borderId="0" xfId="0" applyFont="1" applyFill="1"/>
    <xf numFmtId="166" fontId="0" fillId="9" borderId="0" xfId="0" applyNumberFormat="1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ill="1"/>
    <xf numFmtId="166" fontId="0" fillId="10" borderId="0" xfId="0" applyNumberFormat="1" applyFill="1"/>
    <xf numFmtId="0" fontId="0" fillId="11" borderId="0" xfId="0" applyFill="1" applyAlignment="1"/>
    <xf numFmtId="0" fontId="0" fillId="11" borderId="0" xfId="0" applyFill="1"/>
    <xf numFmtId="166" fontId="0" fillId="11" borderId="0" xfId="0" applyNumberFormat="1" applyFill="1"/>
    <xf numFmtId="0" fontId="0" fillId="0" borderId="1" xfId="0" applyFill="1" applyBorder="1"/>
    <xf numFmtId="0" fontId="2" fillId="0" borderId="0" xfId="0" applyFont="1" applyAlignment="1">
      <alignment horizontal="left"/>
    </xf>
    <xf numFmtId="1" fontId="0" fillId="2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166" fontId="0" fillId="0" borderId="0" xfId="0" applyNumberFormat="1"/>
    <xf numFmtId="166" fontId="4" fillId="0" borderId="0" xfId="0" applyNumberFormat="1" applyFont="1" applyFill="1"/>
    <xf numFmtId="9" fontId="0" fillId="0" borderId="0" xfId="1" applyFont="1"/>
    <xf numFmtId="9" fontId="0" fillId="0" borderId="0" xfId="1" applyFont="1" applyFill="1"/>
    <xf numFmtId="165" fontId="8" fillId="0" borderId="0" xfId="0" applyNumberFormat="1" applyFont="1" applyFill="1"/>
    <xf numFmtId="165" fontId="8" fillId="0" borderId="0" xfId="0" applyNumberFormat="1" applyFont="1"/>
    <xf numFmtId="1" fontId="9" fillId="2" borderId="0" xfId="0" applyNumberFormat="1" applyFont="1" applyFill="1"/>
    <xf numFmtId="0" fontId="9" fillId="11" borderId="0" xfId="0" applyFont="1" applyFill="1"/>
    <xf numFmtId="164" fontId="9" fillId="3" borderId="1" xfId="0" applyNumberFormat="1" applyFont="1" applyFill="1" applyBorder="1"/>
    <xf numFmtId="164" fontId="9" fillId="5" borderId="1" xfId="0" applyNumberFormat="1" applyFont="1" applyFill="1" applyBorder="1"/>
    <xf numFmtId="164" fontId="9" fillId="12" borderId="1" xfId="0" applyNumberFormat="1" applyFont="1" applyFill="1" applyBorder="1"/>
    <xf numFmtId="164" fontId="9" fillId="8" borderId="1" xfId="0" applyNumberFormat="1" applyFont="1" applyFill="1" applyBorder="1"/>
    <xf numFmtId="0" fontId="0" fillId="0" borderId="0" xfId="0" applyFill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A37"/>
  <sheetViews>
    <sheetView tabSelected="1" zoomScaleNormal="58" zoomScalePageLayoutView="58" workbookViewId="0">
      <pane xSplit="3" ySplit="2" topLeftCell="D26" activePane="bottomRight" state="frozen"/>
      <selection pane="topRight" activeCell="D1" sqref="D1"/>
      <selection pane="bottomLeft" activeCell="A3" sqref="A3"/>
      <selection pane="bottomRight" activeCell="D45" sqref="D45"/>
    </sheetView>
  </sheetViews>
  <sheetFormatPr baseColWidth="10" defaultColWidth="8.6640625" defaultRowHeight="15" x14ac:dyDescent="0.2"/>
  <cols>
    <col min="3" max="3" width="15.6640625" customWidth="1"/>
    <col min="4" max="4" width="14" customWidth="1"/>
  </cols>
  <sheetData>
    <row r="1" spans="1:53" x14ac:dyDescent="0.2">
      <c r="D1" s="1" t="s">
        <v>98</v>
      </c>
      <c r="E1" s="1"/>
      <c r="F1" s="1"/>
      <c r="G1" s="1"/>
      <c r="H1" s="1"/>
      <c r="I1" s="1"/>
      <c r="J1" s="1"/>
      <c r="K1" s="1"/>
      <c r="L1" s="1"/>
      <c r="M1" s="1"/>
      <c r="N1" t="s">
        <v>99</v>
      </c>
      <c r="X1" t="s">
        <v>100</v>
      </c>
      <c r="AH1" t="s">
        <v>101</v>
      </c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 spans="1:53" ht="17" x14ac:dyDescent="0.2">
      <c r="A2" t="s">
        <v>64</v>
      </c>
      <c r="B2" t="s">
        <v>65</v>
      </c>
      <c r="C2" t="s">
        <v>63</v>
      </c>
      <c r="D2" s="1" t="s">
        <v>73</v>
      </c>
      <c r="E2" s="1" t="s">
        <v>54</v>
      </c>
      <c r="F2" s="1" t="s">
        <v>56</v>
      </c>
      <c r="G2" s="1" t="s">
        <v>34</v>
      </c>
      <c r="H2" s="1" t="s">
        <v>35</v>
      </c>
      <c r="I2" s="1" t="s">
        <v>38</v>
      </c>
      <c r="J2" s="1" t="s">
        <v>42</v>
      </c>
      <c r="K2" s="1" t="s">
        <v>41</v>
      </c>
      <c r="L2" s="1" t="s">
        <v>40</v>
      </c>
      <c r="M2" s="1" t="s">
        <v>39</v>
      </c>
      <c r="N2" t="s">
        <v>73</v>
      </c>
      <c r="O2" t="s">
        <v>74</v>
      </c>
      <c r="P2" t="s">
        <v>75</v>
      </c>
      <c r="Q2" t="s">
        <v>86</v>
      </c>
      <c r="R2" t="s">
        <v>87</v>
      </c>
      <c r="S2" t="s">
        <v>93</v>
      </c>
      <c r="T2" t="s">
        <v>58</v>
      </c>
      <c r="U2" t="s">
        <v>89</v>
      </c>
      <c r="V2" t="s">
        <v>90</v>
      </c>
      <c r="W2" t="s">
        <v>61</v>
      </c>
      <c r="X2" s="1" t="s">
        <v>73</v>
      </c>
      <c r="Y2" s="1" t="s">
        <v>74</v>
      </c>
      <c r="Z2" s="1" t="s">
        <v>75</v>
      </c>
      <c r="AA2" s="1" t="s">
        <v>84</v>
      </c>
      <c r="AB2" s="1" t="s">
        <v>85</v>
      </c>
      <c r="AC2" s="1" t="s">
        <v>92</v>
      </c>
      <c r="AD2" s="1" t="s">
        <v>58</v>
      </c>
      <c r="AE2" s="1" t="s">
        <v>89</v>
      </c>
      <c r="AF2" s="1" t="s">
        <v>90</v>
      </c>
      <c r="AG2" s="1" t="s">
        <v>61</v>
      </c>
      <c r="AH2" t="s">
        <v>73</v>
      </c>
      <c r="AI2" t="s">
        <v>74</v>
      </c>
      <c r="AJ2" t="s">
        <v>75</v>
      </c>
      <c r="AK2" t="s">
        <v>86</v>
      </c>
      <c r="AL2" t="s">
        <v>87</v>
      </c>
      <c r="AM2" t="s">
        <v>93</v>
      </c>
      <c r="AN2" t="s">
        <v>58</v>
      </c>
      <c r="AO2" t="s">
        <v>89</v>
      </c>
      <c r="AP2" t="s">
        <v>90</v>
      </c>
      <c r="AQ2" t="s">
        <v>61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</row>
    <row r="3" spans="1:53" x14ac:dyDescent="0.2">
      <c r="A3" t="s">
        <v>66</v>
      </c>
      <c r="B3" s="12">
        <v>0</v>
      </c>
      <c r="C3" t="str">
        <f>CONCATENATE(A3,"_",B3)</f>
        <v>A15_19_0</v>
      </c>
      <c r="D3" s="17">
        <v>1</v>
      </c>
      <c r="E3" s="15">
        <f>D3</f>
        <v>1</v>
      </c>
      <c r="F3" s="15">
        <f>D3</f>
        <v>1</v>
      </c>
      <c r="G3" s="24">
        <f>D3</f>
        <v>1</v>
      </c>
      <c r="H3" s="24">
        <f>D3</f>
        <v>1</v>
      </c>
      <c r="I3" s="18">
        <f>D3</f>
        <v>1</v>
      </c>
      <c r="J3" s="18">
        <f>D3</f>
        <v>1</v>
      </c>
      <c r="K3" s="24">
        <f>D3</f>
        <v>1</v>
      </c>
      <c r="L3" s="24">
        <f>D3</f>
        <v>1</v>
      </c>
      <c r="M3" s="24">
        <f>D3</f>
        <v>1</v>
      </c>
      <c r="N3" s="24">
        <v>2.95</v>
      </c>
      <c r="O3" s="26">
        <f>N3</f>
        <v>2.95</v>
      </c>
      <c r="P3" s="15">
        <f>N3</f>
        <v>2.95</v>
      </c>
      <c r="Q3" s="24">
        <v>2.95</v>
      </c>
      <c r="R3" s="16">
        <f>2.95*0.7</f>
        <v>2.0649999999999999</v>
      </c>
      <c r="S3" s="18">
        <f>N3</f>
        <v>2.95</v>
      </c>
      <c r="T3" s="18">
        <f>N3</f>
        <v>2.95</v>
      </c>
      <c r="U3" s="24">
        <f>N3</f>
        <v>2.95</v>
      </c>
      <c r="V3" s="24">
        <f>N3</f>
        <v>2.95</v>
      </c>
      <c r="W3" s="24">
        <f>N3</f>
        <v>2.95</v>
      </c>
      <c r="X3" s="24">
        <v>27</v>
      </c>
      <c r="Y3" s="15">
        <f>X3*3.5</f>
        <v>94.5</v>
      </c>
      <c r="Z3" s="15">
        <f>X3</f>
        <v>27</v>
      </c>
      <c r="AA3" s="24">
        <f>X3</f>
        <v>27</v>
      </c>
      <c r="AB3" s="18">
        <f>X3</f>
        <v>27</v>
      </c>
      <c r="AC3" s="14">
        <f>X3*2.67</f>
        <v>72.09</v>
      </c>
      <c r="AD3" s="18">
        <f>X3</f>
        <v>27</v>
      </c>
      <c r="AE3" s="24">
        <f>X3</f>
        <v>27</v>
      </c>
      <c r="AF3" s="24">
        <f>X3</f>
        <v>27</v>
      </c>
      <c r="AG3" s="24">
        <f>X3</f>
        <v>27</v>
      </c>
      <c r="AH3" s="16">
        <f>7.6*100</f>
        <v>760</v>
      </c>
      <c r="AI3" s="17">
        <f>AH3</f>
        <v>760</v>
      </c>
      <c r="AJ3" s="24">
        <f>AH3</f>
        <v>760</v>
      </c>
      <c r="AK3" s="24">
        <f>AH3</f>
        <v>760</v>
      </c>
      <c r="AL3" s="15">
        <f>AH3</f>
        <v>760</v>
      </c>
      <c r="AM3" s="24">
        <f>AH3</f>
        <v>760</v>
      </c>
      <c r="AN3" s="24">
        <f>AH3</f>
        <v>760</v>
      </c>
      <c r="AO3" s="24">
        <f>AH3</f>
        <v>760</v>
      </c>
      <c r="AP3" s="24">
        <f>AH3</f>
        <v>760</v>
      </c>
      <c r="AQ3" s="24">
        <f>AH3</f>
        <v>760</v>
      </c>
      <c r="AR3" s="16"/>
    </row>
    <row r="4" spans="1:53" x14ac:dyDescent="0.2">
      <c r="A4" t="s">
        <v>67</v>
      </c>
      <c r="B4" s="12">
        <v>0</v>
      </c>
      <c r="C4" t="str">
        <f t="shared" ref="C4:C30" si="0">CONCATENATE(A4,"_",B4)</f>
        <v>A20_24_0</v>
      </c>
      <c r="D4" s="17">
        <v>2.25</v>
      </c>
      <c r="E4" s="15">
        <f t="shared" ref="E4:E30" si="1">D4</f>
        <v>2.25</v>
      </c>
      <c r="F4" s="15">
        <f t="shared" ref="F4:F30" si="2">D4</f>
        <v>2.25</v>
      </c>
      <c r="G4" s="24">
        <f t="shared" ref="G4:G30" si="3">D4</f>
        <v>2.25</v>
      </c>
      <c r="H4" s="24">
        <f t="shared" ref="H4:H30" si="4">D4</f>
        <v>2.25</v>
      </c>
      <c r="I4" s="18">
        <f t="shared" ref="I4:I30" si="5">D4</f>
        <v>2.25</v>
      </c>
      <c r="J4" s="18">
        <f t="shared" ref="J4:J30" si="6">D4</f>
        <v>2.25</v>
      </c>
      <c r="K4" s="24">
        <f t="shared" ref="K4:K30" si="7">D4</f>
        <v>2.25</v>
      </c>
      <c r="L4" s="24">
        <f t="shared" ref="L4:L30" si="8">D4</f>
        <v>2.25</v>
      </c>
      <c r="M4" s="24">
        <f t="shared" ref="M4:M30" si="9">D4</f>
        <v>2.25</v>
      </c>
      <c r="N4" s="24">
        <v>2.95</v>
      </c>
      <c r="O4" s="26">
        <f t="shared" ref="O4:O30" si="10">N4</f>
        <v>2.95</v>
      </c>
      <c r="P4" s="15">
        <f t="shared" ref="P4:P30" si="11">N4</f>
        <v>2.95</v>
      </c>
      <c r="Q4" s="24">
        <v>2.95</v>
      </c>
      <c r="R4" s="16">
        <f>2.95*0.7</f>
        <v>2.0649999999999999</v>
      </c>
      <c r="S4" s="18">
        <f t="shared" ref="S4:S30" si="12">N4</f>
        <v>2.95</v>
      </c>
      <c r="T4" s="18">
        <f t="shared" ref="T4:T30" si="13">N4</f>
        <v>2.95</v>
      </c>
      <c r="U4" s="24">
        <f t="shared" ref="U4:U30" si="14">N4</f>
        <v>2.95</v>
      </c>
      <c r="V4" s="24">
        <f t="shared" ref="V4:V30" si="15">N4</f>
        <v>2.95</v>
      </c>
      <c r="W4" s="24">
        <f t="shared" ref="W4:W30" si="16">N4</f>
        <v>2.95</v>
      </c>
      <c r="X4" s="24">
        <v>51</v>
      </c>
      <c r="Y4" s="15">
        <f>X4*3.5</f>
        <v>178.5</v>
      </c>
      <c r="Z4" s="15">
        <f t="shared" ref="Z4:Z30" si="17">X4</f>
        <v>51</v>
      </c>
      <c r="AA4" s="24">
        <f t="shared" ref="AA4:AA30" si="18">X4</f>
        <v>51</v>
      </c>
      <c r="AB4" s="18">
        <f t="shared" ref="AB4:AB30" si="19">X4</f>
        <v>51</v>
      </c>
      <c r="AC4" s="14">
        <f t="shared" ref="AC4:AC30" si="20">X4*2.67</f>
        <v>136.16999999999999</v>
      </c>
      <c r="AD4" s="18">
        <f t="shared" ref="AD4:AD30" si="21">X4</f>
        <v>51</v>
      </c>
      <c r="AE4" s="24">
        <f t="shared" ref="AE4:AE30" si="22">X4</f>
        <v>51</v>
      </c>
      <c r="AF4" s="24">
        <f t="shared" ref="AF4:AF30" si="23">X4</f>
        <v>51</v>
      </c>
      <c r="AG4" s="24">
        <f t="shared" ref="AG4:AG30" si="24">X4</f>
        <v>51</v>
      </c>
      <c r="AH4" s="16">
        <f>10.1*100</f>
        <v>1010</v>
      </c>
      <c r="AI4" s="17">
        <f t="shared" ref="AI4:AI30" si="25">AH4</f>
        <v>1010</v>
      </c>
      <c r="AJ4" s="24">
        <f t="shared" ref="AJ4:AJ30" si="26">AH4</f>
        <v>1010</v>
      </c>
      <c r="AK4" s="24">
        <f t="shared" ref="AK4:AK30" si="27">AH4</f>
        <v>1010</v>
      </c>
      <c r="AL4" s="15">
        <f t="shared" ref="AL4:AL30" si="28">AH4</f>
        <v>1010</v>
      </c>
      <c r="AM4" s="24">
        <f t="shared" ref="AM4:AM30" si="29">AH4</f>
        <v>1010</v>
      </c>
      <c r="AN4" s="24">
        <f t="shared" ref="AN4:AN30" si="30">AH4</f>
        <v>1010</v>
      </c>
      <c r="AO4" s="24">
        <f t="shared" ref="AO4:AO30" si="31">AH4</f>
        <v>1010</v>
      </c>
      <c r="AP4" s="24">
        <f t="shared" ref="AP4:AP30" si="32">AH4</f>
        <v>1010</v>
      </c>
      <c r="AQ4" s="24">
        <f t="shared" ref="AQ4:AQ30" si="33">AH4</f>
        <v>1010</v>
      </c>
      <c r="AR4" s="16"/>
    </row>
    <row r="5" spans="1:53" x14ac:dyDescent="0.2">
      <c r="A5" t="s">
        <v>4</v>
      </c>
      <c r="B5" s="12">
        <v>0</v>
      </c>
      <c r="C5" t="str">
        <f t="shared" si="0"/>
        <v>A24_29_0</v>
      </c>
      <c r="D5" s="17">
        <v>4</v>
      </c>
      <c r="E5" s="15">
        <f t="shared" si="1"/>
        <v>4</v>
      </c>
      <c r="F5" s="15">
        <f t="shared" si="2"/>
        <v>4</v>
      </c>
      <c r="G5" s="24">
        <f t="shared" si="3"/>
        <v>4</v>
      </c>
      <c r="H5" s="24">
        <f t="shared" si="4"/>
        <v>4</v>
      </c>
      <c r="I5" s="18">
        <f t="shared" si="5"/>
        <v>4</v>
      </c>
      <c r="J5" s="18">
        <f t="shared" si="6"/>
        <v>4</v>
      </c>
      <c r="K5" s="24">
        <f t="shared" si="7"/>
        <v>4</v>
      </c>
      <c r="L5" s="24">
        <f t="shared" si="8"/>
        <v>4</v>
      </c>
      <c r="M5" s="24">
        <f t="shared" si="9"/>
        <v>4</v>
      </c>
      <c r="N5" s="24">
        <v>7.67</v>
      </c>
      <c r="O5" s="26">
        <f t="shared" si="10"/>
        <v>7.67</v>
      </c>
      <c r="P5" s="15">
        <f t="shared" si="11"/>
        <v>7.67</v>
      </c>
      <c r="Q5" s="24">
        <v>7.67</v>
      </c>
      <c r="R5" s="16">
        <f>7.67*0.7</f>
        <v>5.3689999999999998</v>
      </c>
      <c r="S5" s="18">
        <f t="shared" si="12"/>
        <v>7.67</v>
      </c>
      <c r="T5" s="18">
        <f t="shared" si="13"/>
        <v>7.67</v>
      </c>
      <c r="U5" s="24">
        <f t="shared" si="14"/>
        <v>7.67</v>
      </c>
      <c r="V5" s="24">
        <f t="shared" si="15"/>
        <v>7.67</v>
      </c>
      <c r="W5" s="24">
        <f t="shared" si="16"/>
        <v>7.67</v>
      </c>
      <c r="X5" s="24">
        <v>72</v>
      </c>
      <c r="Y5" s="15">
        <f t="shared" ref="Y5:Y9" si="34">X5*3.5</f>
        <v>252</v>
      </c>
      <c r="Z5" s="15">
        <f t="shared" si="17"/>
        <v>72</v>
      </c>
      <c r="AA5" s="24">
        <f t="shared" si="18"/>
        <v>72</v>
      </c>
      <c r="AB5" s="18">
        <f t="shared" si="19"/>
        <v>72</v>
      </c>
      <c r="AC5" s="14">
        <f t="shared" si="20"/>
        <v>192.24</v>
      </c>
      <c r="AD5" s="18">
        <f t="shared" si="21"/>
        <v>72</v>
      </c>
      <c r="AE5" s="24">
        <f t="shared" si="22"/>
        <v>72</v>
      </c>
      <c r="AF5" s="24">
        <f t="shared" si="23"/>
        <v>72</v>
      </c>
      <c r="AG5" s="24">
        <f t="shared" si="24"/>
        <v>72</v>
      </c>
      <c r="AH5" s="16">
        <f>10.1*100</f>
        <v>1010</v>
      </c>
      <c r="AI5" s="17">
        <f t="shared" si="25"/>
        <v>1010</v>
      </c>
      <c r="AJ5" s="24">
        <f t="shared" si="26"/>
        <v>1010</v>
      </c>
      <c r="AK5" s="24">
        <f t="shared" si="27"/>
        <v>1010</v>
      </c>
      <c r="AL5" s="15">
        <f t="shared" si="28"/>
        <v>1010</v>
      </c>
      <c r="AM5" s="24">
        <f t="shared" si="29"/>
        <v>1010</v>
      </c>
      <c r="AN5" s="24">
        <f t="shared" si="30"/>
        <v>1010</v>
      </c>
      <c r="AO5" s="24">
        <f t="shared" si="31"/>
        <v>1010</v>
      </c>
      <c r="AP5" s="24">
        <f t="shared" si="32"/>
        <v>1010</v>
      </c>
      <c r="AQ5" s="24">
        <f t="shared" si="33"/>
        <v>1010</v>
      </c>
      <c r="AR5" s="16"/>
    </row>
    <row r="6" spans="1:53" x14ac:dyDescent="0.2">
      <c r="A6" t="s">
        <v>68</v>
      </c>
      <c r="B6" s="12">
        <v>0</v>
      </c>
      <c r="C6" t="str">
        <f t="shared" si="0"/>
        <v>A30_34_0</v>
      </c>
      <c r="D6" s="24">
        <v>9</v>
      </c>
      <c r="E6" s="15">
        <f t="shared" si="1"/>
        <v>9</v>
      </c>
      <c r="F6" s="15">
        <f t="shared" si="2"/>
        <v>9</v>
      </c>
      <c r="G6" s="24">
        <f t="shared" si="3"/>
        <v>9</v>
      </c>
      <c r="H6" s="24">
        <f t="shared" si="4"/>
        <v>9</v>
      </c>
      <c r="I6" s="18">
        <f t="shared" si="5"/>
        <v>9</v>
      </c>
      <c r="J6" s="18">
        <f t="shared" si="6"/>
        <v>9</v>
      </c>
      <c r="K6" s="24">
        <f t="shared" si="7"/>
        <v>9</v>
      </c>
      <c r="L6" s="24">
        <f t="shared" si="8"/>
        <v>9</v>
      </c>
      <c r="M6" s="24">
        <f t="shared" si="9"/>
        <v>9</v>
      </c>
      <c r="N6" s="24">
        <v>7.67</v>
      </c>
      <c r="O6" s="26">
        <f t="shared" si="10"/>
        <v>7.67</v>
      </c>
      <c r="P6" s="15">
        <f t="shared" si="11"/>
        <v>7.67</v>
      </c>
      <c r="Q6" s="24">
        <v>7.67</v>
      </c>
      <c r="R6" s="16">
        <f>7.67*0.7</f>
        <v>5.3689999999999998</v>
      </c>
      <c r="S6" s="18">
        <f t="shared" si="12"/>
        <v>7.67</v>
      </c>
      <c r="T6" s="18">
        <f t="shared" si="13"/>
        <v>7.67</v>
      </c>
      <c r="U6" s="24">
        <f t="shared" si="14"/>
        <v>7.67</v>
      </c>
      <c r="V6" s="24">
        <f t="shared" si="15"/>
        <v>7.67</v>
      </c>
      <c r="W6" s="24">
        <f t="shared" si="16"/>
        <v>7.67</v>
      </c>
      <c r="X6" s="24">
        <v>75</v>
      </c>
      <c r="Y6" s="15">
        <f t="shared" si="34"/>
        <v>262.5</v>
      </c>
      <c r="Z6" s="15">
        <f t="shared" si="17"/>
        <v>75</v>
      </c>
      <c r="AA6" s="24">
        <f t="shared" si="18"/>
        <v>75</v>
      </c>
      <c r="AB6" s="18">
        <f t="shared" si="19"/>
        <v>75</v>
      </c>
      <c r="AC6" s="14">
        <f t="shared" si="20"/>
        <v>200.25</v>
      </c>
      <c r="AD6" s="18">
        <f t="shared" si="21"/>
        <v>75</v>
      </c>
      <c r="AE6" s="24">
        <f t="shared" si="22"/>
        <v>75</v>
      </c>
      <c r="AF6" s="24">
        <f t="shared" si="23"/>
        <v>75</v>
      </c>
      <c r="AG6" s="24">
        <f t="shared" si="24"/>
        <v>75</v>
      </c>
      <c r="AH6" s="16">
        <f>4.3*100</f>
        <v>430</v>
      </c>
      <c r="AI6" s="17">
        <f t="shared" si="25"/>
        <v>430</v>
      </c>
      <c r="AJ6" s="24">
        <f t="shared" si="26"/>
        <v>430</v>
      </c>
      <c r="AK6" s="24">
        <f t="shared" si="27"/>
        <v>430</v>
      </c>
      <c r="AL6" s="15">
        <f t="shared" si="28"/>
        <v>430</v>
      </c>
      <c r="AM6" s="24">
        <f t="shared" si="29"/>
        <v>430</v>
      </c>
      <c r="AN6" s="24">
        <f t="shared" si="30"/>
        <v>430</v>
      </c>
      <c r="AO6" s="24">
        <f t="shared" si="31"/>
        <v>430</v>
      </c>
      <c r="AP6" s="24">
        <f t="shared" si="32"/>
        <v>430</v>
      </c>
      <c r="AQ6" s="24">
        <f t="shared" si="33"/>
        <v>430</v>
      </c>
      <c r="AR6" s="16"/>
    </row>
    <row r="7" spans="1:53" x14ac:dyDescent="0.2">
      <c r="A7" t="s">
        <v>69</v>
      </c>
      <c r="B7" s="12">
        <v>0</v>
      </c>
      <c r="C7" t="str">
        <f t="shared" si="0"/>
        <v>A35_39_0</v>
      </c>
      <c r="D7" s="24">
        <v>22</v>
      </c>
      <c r="E7" s="15">
        <f t="shared" si="1"/>
        <v>22</v>
      </c>
      <c r="F7" s="15">
        <f t="shared" si="2"/>
        <v>22</v>
      </c>
      <c r="G7" s="24">
        <f t="shared" si="3"/>
        <v>22</v>
      </c>
      <c r="H7" s="24">
        <f t="shared" si="4"/>
        <v>22</v>
      </c>
      <c r="I7" s="18">
        <f t="shared" si="5"/>
        <v>22</v>
      </c>
      <c r="J7" s="18">
        <f t="shared" si="6"/>
        <v>22</v>
      </c>
      <c r="K7" s="24">
        <f t="shared" si="7"/>
        <v>22</v>
      </c>
      <c r="L7" s="24">
        <f t="shared" si="8"/>
        <v>22</v>
      </c>
      <c r="M7" s="24">
        <f t="shared" si="9"/>
        <v>22</v>
      </c>
      <c r="N7" s="24">
        <v>23.99</v>
      </c>
      <c r="O7" s="26">
        <f t="shared" si="10"/>
        <v>23.99</v>
      </c>
      <c r="P7" s="15">
        <f t="shared" si="11"/>
        <v>23.99</v>
      </c>
      <c r="Q7" s="24">
        <v>23.99</v>
      </c>
      <c r="R7" s="16">
        <f>23.99*0.7</f>
        <v>16.792999999999999</v>
      </c>
      <c r="S7" s="18">
        <f t="shared" si="12"/>
        <v>23.99</v>
      </c>
      <c r="T7" s="18">
        <f t="shared" si="13"/>
        <v>23.99</v>
      </c>
      <c r="U7" s="24">
        <f t="shared" si="14"/>
        <v>23.99</v>
      </c>
      <c r="V7" s="24">
        <f t="shared" si="15"/>
        <v>23.99</v>
      </c>
      <c r="W7" s="24">
        <f t="shared" si="16"/>
        <v>23.99</v>
      </c>
      <c r="X7" s="24">
        <v>74</v>
      </c>
      <c r="Y7" s="15">
        <f t="shared" si="34"/>
        <v>259</v>
      </c>
      <c r="Z7" s="15">
        <f t="shared" si="17"/>
        <v>74</v>
      </c>
      <c r="AA7" s="24">
        <f t="shared" si="18"/>
        <v>74</v>
      </c>
      <c r="AB7" s="18">
        <f t="shared" si="19"/>
        <v>74</v>
      </c>
      <c r="AC7" s="14">
        <f t="shared" si="20"/>
        <v>197.57999999999998</v>
      </c>
      <c r="AD7" s="18">
        <f t="shared" si="21"/>
        <v>74</v>
      </c>
      <c r="AE7" s="24">
        <f t="shared" si="22"/>
        <v>74</v>
      </c>
      <c r="AF7" s="24">
        <f t="shared" si="23"/>
        <v>74</v>
      </c>
      <c r="AG7" s="24">
        <f t="shared" si="24"/>
        <v>74</v>
      </c>
      <c r="AH7" s="16">
        <f>4.4*100</f>
        <v>440.00000000000006</v>
      </c>
      <c r="AI7" s="17">
        <f t="shared" si="25"/>
        <v>440.00000000000006</v>
      </c>
      <c r="AJ7" s="24">
        <f t="shared" si="26"/>
        <v>440.00000000000006</v>
      </c>
      <c r="AK7" s="24">
        <f t="shared" si="27"/>
        <v>440.00000000000006</v>
      </c>
      <c r="AL7" s="15">
        <f t="shared" si="28"/>
        <v>440.00000000000006</v>
      </c>
      <c r="AM7" s="24">
        <f t="shared" si="29"/>
        <v>440.00000000000006</v>
      </c>
      <c r="AN7" s="24">
        <f t="shared" si="30"/>
        <v>440.00000000000006</v>
      </c>
      <c r="AO7" s="24">
        <f t="shared" si="31"/>
        <v>440.00000000000006</v>
      </c>
      <c r="AP7" s="24">
        <f t="shared" si="32"/>
        <v>440.00000000000006</v>
      </c>
      <c r="AQ7" s="24">
        <f t="shared" si="33"/>
        <v>440.00000000000006</v>
      </c>
      <c r="AR7" s="16"/>
    </row>
    <row r="8" spans="1:53" x14ac:dyDescent="0.2">
      <c r="A8" t="s">
        <v>70</v>
      </c>
      <c r="B8" s="12">
        <v>0</v>
      </c>
      <c r="C8" t="str">
        <f t="shared" si="0"/>
        <v>A40_44_0</v>
      </c>
      <c r="D8" s="24">
        <v>50</v>
      </c>
      <c r="E8" s="15">
        <f t="shared" si="1"/>
        <v>50</v>
      </c>
      <c r="F8" s="15">
        <f t="shared" si="2"/>
        <v>50</v>
      </c>
      <c r="G8" s="24">
        <f t="shared" si="3"/>
        <v>50</v>
      </c>
      <c r="H8" s="24">
        <f t="shared" si="4"/>
        <v>50</v>
      </c>
      <c r="I8" s="18">
        <f t="shared" si="5"/>
        <v>50</v>
      </c>
      <c r="J8" s="18">
        <f t="shared" si="6"/>
        <v>50</v>
      </c>
      <c r="K8" s="24">
        <f t="shared" si="7"/>
        <v>50</v>
      </c>
      <c r="L8" s="24">
        <f t="shared" si="8"/>
        <v>50</v>
      </c>
      <c r="M8" s="24">
        <f t="shared" si="9"/>
        <v>50</v>
      </c>
      <c r="N8" s="24">
        <v>23.99</v>
      </c>
      <c r="O8" s="26">
        <f t="shared" si="10"/>
        <v>23.99</v>
      </c>
      <c r="P8" s="15">
        <f t="shared" si="11"/>
        <v>23.99</v>
      </c>
      <c r="Q8" s="24">
        <v>23.99</v>
      </c>
      <c r="R8" s="16">
        <f>23.99*0.7</f>
        <v>16.792999999999999</v>
      </c>
      <c r="S8" s="18">
        <f t="shared" si="12"/>
        <v>23.99</v>
      </c>
      <c r="T8" s="18">
        <f t="shared" si="13"/>
        <v>23.99</v>
      </c>
      <c r="U8" s="24">
        <f t="shared" si="14"/>
        <v>23.99</v>
      </c>
      <c r="V8" s="24">
        <f t="shared" si="15"/>
        <v>23.99</v>
      </c>
      <c r="W8" s="24">
        <f t="shared" si="16"/>
        <v>23.99</v>
      </c>
      <c r="X8" s="24">
        <v>84</v>
      </c>
      <c r="Y8" s="15">
        <f t="shared" si="34"/>
        <v>294</v>
      </c>
      <c r="Z8" s="15">
        <f t="shared" si="17"/>
        <v>84</v>
      </c>
      <c r="AA8" s="24">
        <f t="shared" si="18"/>
        <v>84</v>
      </c>
      <c r="AB8" s="18">
        <f t="shared" si="19"/>
        <v>84</v>
      </c>
      <c r="AC8" s="14">
        <f t="shared" si="20"/>
        <v>224.28</v>
      </c>
      <c r="AD8" s="18">
        <f t="shared" si="21"/>
        <v>84</v>
      </c>
      <c r="AE8" s="24">
        <f t="shared" si="22"/>
        <v>84</v>
      </c>
      <c r="AF8" s="24">
        <f t="shared" si="23"/>
        <v>84</v>
      </c>
      <c r="AG8" s="24">
        <f t="shared" si="24"/>
        <v>84</v>
      </c>
      <c r="AH8" s="16">
        <f>2.8*100</f>
        <v>280</v>
      </c>
      <c r="AI8" s="17">
        <f t="shared" si="25"/>
        <v>280</v>
      </c>
      <c r="AJ8" s="24">
        <f t="shared" si="26"/>
        <v>280</v>
      </c>
      <c r="AK8" s="24">
        <f t="shared" si="27"/>
        <v>280</v>
      </c>
      <c r="AL8" s="15">
        <f t="shared" si="28"/>
        <v>280</v>
      </c>
      <c r="AM8" s="24">
        <f t="shared" si="29"/>
        <v>280</v>
      </c>
      <c r="AN8" s="24">
        <f t="shared" si="30"/>
        <v>280</v>
      </c>
      <c r="AO8" s="24">
        <f t="shared" si="31"/>
        <v>280</v>
      </c>
      <c r="AP8" s="24">
        <f t="shared" si="32"/>
        <v>280</v>
      </c>
      <c r="AQ8" s="24">
        <f t="shared" si="33"/>
        <v>280</v>
      </c>
      <c r="AR8" s="16"/>
    </row>
    <row r="9" spans="1:53" x14ac:dyDescent="0.2">
      <c r="A9" t="s">
        <v>71</v>
      </c>
      <c r="B9" s="12">
        <v>0</v>
      </c>
      <c r="C9" t="str">
        <f t="shared" si="0"/>
        <v>A45_49_0</v>
      </c>
      <c r="D9" s="24">
        <v>88</v>
      </c>
      <c r="E9" s="15">
        <f t="shared" si="1"/>
        <v>88</v>
      </c>
      <c r="F9" s="15">
        <f t="shared" si="2"/>
        <v>88</v>
      </c>
      <c r="G9" s="24">
        <f t="shared" si="3"/>
        <v>88</v>
      </c>
      <c r="H9" s="24">
        <f t="shared" si="4"/>
        <v>88</v>
      </c>
      <c r="I9" s="18">
        <f t="shared" si="5"/>
        <v>88</v>
      </c>
      <c r="J9" s="18">
        <f t="shared" si="6"/>
        <v>88</v>
      </c>
      <c r="K9" s="24">
        <f t="shared" si="7"/>
        <v>88</v>
      </c>
      <c r="L9" s="24">
        <f t="shared" si="8"/>
        <v>88</v>
      </c>
      <c r="M9" s="24">
        <f t="shared" si="9"/>
        <v>88</v>
      </c>
      <c r="N9" s="24">
        <v>23.99</v>
      </c>
      <c r="O9" s="26">
        <f t="shared" si="10"/>
        <v>23.99</v>
      </c>
      <c r="P9" s="15">
        <f t="shared" si="11"/>
        <v>23.99</v>
      </c>
      <c r="Q9" s="24">
        <v>23.99</v>
      </c>
      <c r="R9" s="16">
        <f>23.99*0.7</f>
        <v>16.792999999999999</v>
      </c>
      <c r="S9" s="18">
        <f t="shared" si="12"/>
        <v>23.99</v>
      </c>
      <c r="T9" s="18">
        <f t="shared" si="13"/>
        <v>23.99</v>
      </c>
      <c r="U9" s="24">
        <f t="shared" si="14"/>
        <v>23.99</v>
      </c>
      <c r="V9" s="24">
        <f t="shared" si="15"/>
        <v>23.99</v>
      </c>
      <c r="W9" s="24">
        <f t="shared" si="16"/>
        <v>23.99</v>
      </c>
      <c r="X9" s="24">
        <v>96</v>
      </c>
      <c r="Y9" s="15">
        <f t="shared" si="34"/>
        <v>336</v>
      </c>
      <c r="Z9" s="15">
        <f t="shared" si="17"/>
        <v>96</v>
      </c>
      <c r="AA9" s="24">
        <f t="shared" si="18"/>
        <v>96</v>
      </c>
      <c r="AB9" s="18">
        <f t="shared" si="19"/>
        <v>96</v>
      </c>
      <c r="AC9" s="14">
        <f t="shared" si="20"/>
        <v>256.32</v>
      </c>
      <c r="AD9" s="18">
        <f t="shared" si="21"/>
        <v>96</v>
      </c>
      <c r="AE9" s="24">
        <f t="shared" si="22"/>
        <v>96</v>
      </c>
      <c r="AF9" s="24">
        <f t="shared" si="23"/>
        <v>96</v>
      </c>
      <c r="AG9" s="24">
        <f t="shared" si="24"/>
        <v>96</v>
      </c>
      <c r="AH9" s="16">
        <f>2.8*100</f>
        <v>280</v>
      </c>
      <c r="AI9" s="17">
        <f t="shared" si="25"/>
        <v>280</v>
      </c>
      <c r="AJ9" s="24">
        <f t="shared" si="26"/>
        <v>280</v>
      </c>
      <c r="AK9" s="24">
        <f t="shared" si="27"/>
        <v>280</v>
      </c>
      <c r="AL9" s="15">
        <f t="shared" si="28"/>
        <v>280</v>
      </c>
      <c r="AM9" s="24">
        <f t="shared" si="29"/>
        <v>280</v>
      </c>
      <c r="AN9" s="24">
        <f t="shared" si="30"/>
        <v>280</v>
      </c>
      <c r="AO9" s="24">
        <f t="shared" si="31"/>
        <v>280</v>
      </c>
      <c r="AP9" s="24">
        <f t="shared" si="32"/>
        <v>280</v>
      </c>
      <c r="AQ9" s="24">
        <f t="shared" si="33"/>
        <v>280</v>
      </c>
      <c r="AR9" s="16"/>
    </row>
    <row r="10" spans="1:53" x14ac:dyDescent="0.2">
      <c r="A10" t="s">
        <v>66</v>
      </c>
      <c r="B10" t="s">
        <v>5</v>
      </c>
      <c r="C10" t="str">
        <f t="shared" si="0"/>
        <v>A15_19_Obesity</v>
      </c>
      <c r="D10" s="24">
        <f>D3*2.56</f>
        <v>2.56</v>
      </c>
      <c r="E10" s="15">
        <f t="shared" si="1"/>
        <v>2.56</v>
      </c>
      <c r="F10" s="15">
        <f t="shared" si="2"/>
        <v>2.56</v>
      </c>
      <c r="G10" s="24">
        <f t="shared" si="3"/>
        <v>2.56</v>
      </c>
      <c r="H10" s="24">
        <f t="shared" si="4"/>
        <v>2.56</v>
      </c>
      <c r="I10" s="18">
        <f t="shared" si="5"/>
        <v>2.56</v>
      </c>
      <c r="J10" s="18">
        <f t="shared" si="6"/>
        <v>2.56</v>
      </c>
      <c r="K10" s="24">
        <f t="shared" si="7"/>
        <v>2.56</v>
      </c>
      <c r="L10" s="24">
        <f t="shared" si="8"/>
        <v>2.56</v>
      </c>
      <c r="M10" s="24">
        <f t="shared" si="9"/>
        <v>2.56</v>
      </c>
      <c r="N10" s="24">
        <f>N3*1.26</f>
        <v>3.7170000000000001</v>
      </c>
      <c r="O10" s="26">
        <f t="shared" si="10"/>
        <v>3.7170000000000001</v>
      </c>
      <c r="P10" s="15">
        <f t="shared" si="11"/>
        <v>3.7170000000000001</v>
      </c>
      <c r="Q10" s="24">
        <f>Q3*1.26</f>
        <v>3.7170000000000001</v>
      </c>
      <c r="R10" s="16">
        <f>R3*1.26</f>
        <v>2.6019000000000001</v>
      </c>
      <c r="S10" s="18">
        <f t="shared" si="12"/>
        <v>3.7170000000000001</v>
      </c>
      <c r="T10" s="18">
        <f t="shared" si="13"/>
        <v>3.7170000000000001</v>
      </c>
      <c r="U10" s="24">
        <f t="shared" si="14"/>
        <v>3.7170000000000001</v>
      </c>
      <c r="V10" s="24">
        <f t="shared" si="15"/>
        <v>3.7170000000000001</v>
      </c>
      <c r="W10" s="24">
        <f t="shared" si="16"/>
        <v>3.7170000000000001</v>
      </c>
      <c r="X10" s="24">
        <f>X3</f>
        <v>27</v>
      </c>
      <c r="Y10" s="15">
        <f>Y3*1.9</f>
        <v>179.54999999999998</v>
      </c>
      <c r="Z10" s="15">
        <f t="shared" si="17"/>
        <v>27</v>
      </c>
      <c r="AA10" s="24">
        <f t="shared" si="18"/>
        <v>27</v>
      </c>
      <c r="AB10" s="18">
        <f t="shared" si="19"/>
        <v>27</v>
      </c>
      <c r="AC10" s="14">
        <f t="shared" si="20"/>
        <v>72.09</v>
      </c>
      <c r="AD10" s="18">
        <f t="shared" si="21"/>
        <v>27</v>
      </c>
      <c r="AE10" s="24">
        <f t="shared" si="22"/>
        <v>27</v>
      </c>
      <c r="AF10" s="24">
        <f t="shared" si="23"/>
        <v>27</v>
      </c>
      <c r="AG10" s="24">
        <f t="shared" si="24"/>
        <v>27</v>
      </c>
      <c r="AH10" s="17">
        <f>AH3</f>
        <v>760</v>
      </c>
      <c r="AI10" s="17">
        <f t="shared" si="25"/>
        <v>760</v>
      </c>
      <c r="AJ10" s="24">
        <f t="shared" si="26"/>
        <v>760</v>
      </c>
      <c r="AK10" s="24">
        <f t="shared" si="27"/>
        <v>760</v>
      </c>
      <c r="AL10" s="16">
        <f t="shared" si="28"/>
        <v>760</v>
      </c>
      <c r="AM10" s="24">
        <f t="shared" si="29"/>
        <v>760</v>
      </c>
      <c r="AN10" s="24">
        <f t="shared" si="30"/>
        <v>760</v>
      </c>
      <c r="AO10" s="24">
        <f t="shared" si="31"/>
        <v>760</v>
      </c>
      <c r="AP10" s="24">
        <f t="shared" si="32"/>
        <v>760</v>
      </c>
      <c r="AQ10" s="24">
        <f t="shared" si="33"/>
        <v>760</v>
      </c>
      <c r="AR10" s="16"/>
    </row>
    <row r="11" spans="1:53" x14ac:dyDescent="0.2">
      <c r="A11" t="s">
        <v>67</v>
      </c>
      <c r="B11" t="s">
        <v>5</v>
      </c>
      <c r="C11" t="str">
        <f t="shared" si="0"/>
        <v>A20_24_Obesity</v>
      </c>
      <c r="D11" s="24">
        <f t="shared" ref="D11:D16" si="35">D4*2.56</f>
        <v>5.76</v>
      </c>
      <c r="E11" s="15">
        <f t="shared" si="1"/>
        <v>5.76</v>
      </c>
      <c r="F11" s="15">
        <f t="shared" si="2"/>
        <v>5.76</v>
      </c>
      <c r="G11" s="24">
        <f t="shared" si="3"/>
        <v>5.76</v>
      </c>
      <c r="H11" s="24">
        <f t="shared" si="4"/>
        <v>5.76</v>
      </c>
      <c r="I11" s="18">
        <f t="shared" si="5"/>
        <v>5.76</v>
      </c>
      <c r="J11" s="18">
        <f t="shared" si="6"/>
        <v>5.76</v>
      </c>
      <c r="K11" s="24">
        <f t="shared" si="7"/>
        <v>5.76</v>
      </c>
      <c r="L11" s="24">
        <f t="shared" si="8"/>
        <v>5.76</v>
      </c>
      <c r="M11" s="24">
        <f t="shared" si="9"/>
        <v>5.76</v>
      </c>
      <c r="N11" s="24">
        <f t="shared" ref="N11:N16" si="36">N4*1.26</f>
        <v>3.7170000000000001</v>
      </c>
      <c r="O11" s="26">
        <f t="shared" si="10"/>
        <v>3.7170000000000001</v>
      </c>
      <c r="P11" s="15">
        <f t="shared" si="11"/>
        <v>3.7170000000000001</v>
      </c>
      <c r="Q11" s="24">
        <f t="shared" ref="Q11:Q16" si="37">Q4*1.26</f>
        <v>3.7170000000000001</v>
      </c>
      <c r="R11" s="16">
        <f t="shared" ref="R11:R16" si="38">R4*1.26</f>
        <v>2.6019000000000001</v>
      </c>
      <c r="S11" s="18">
        <f t="shared" si="12"/>
        <v>3.7170000000000001</v>
      </c>
      <c r="T11" s="18">
        <f t="shared" si="13"/>
        <v>3.7170000000000001</v>
      </c>
      <c r="U11" s="24">
        <f t="shared" si="14"/>
        <v>3.7170000000000001</v>
      </c>
      <c r="V11" s="24">
        <f t="shared" si="15"/>
        <v>3.7170000000000001</v>
      </c>
      <c r="W11" s="24">
        <f t="shared" si="16"/>
        <v>3.7170000000000001</v>
      </c>
      <c r="X11" s="24">
        <f t="shared" ref="X11:X16" si="39">X4</f>
        <v>51</v>
      </c>
      <c r="Y11" s="15">
        <f t="shared" ref="Y11:Y16" si="40">Y4*1.9</f>
        <v>339.15</v>
      </c>
      <c r="Z11" s="15">
        <f t="shared" si="17"/>
        <v>51</v>
      </c>
      <c r="AA11" s="24">
        <f t="shared" si="18"/>
        <v>51</v>
      </c>
      <c r="AB11" s="18">
        <f t="shared" si="19"/>
        <v>51</v>
      </c>
      <c r="AC11" s="14">
        <f t="shared" si="20"/>
        <v>136.16999999999999</v>
      </c>
      <c r="AD11" s="18">
        <f t="shared" si="21"/>
        <v>51</v>
      </c>
      <c r="AE11" s="24">
        <f t="shared" si="22"/>
        <v>51</v>
      </c>
      <c r="AF11" s="24">
        <f t="shared" si="23"/>
        <v>51</v>
      </c>
      <c r="AG11" s="24">
        <f t="shared" si="24"/>
        <v>51</v>
      </c>
      <c r="AH11" s="17">
        <f t="shared" ref="AH11:AH16" si="41">AH4</f>
        <v>1010</v>
      </c>
      <c r="AI11" s="17">
        <f t="shared" si="25"/>
        <v>1010</v>
      </c>
      <c r="AJ11" s="24">
        <f t="shared" si="26"/>
        <v>1010</v>
      </c>
      <c r="AK11" s="24">
        <f t="shared" si="27"/>
        <v>1010</v>
      </c>
      <c r="AL11" s="16">
        <f t="shared" si="28"/>
        <v>1010</v>
      </c>
      <c r="AM11" s="24">
        <f t="shared" si="29"/>
        <v>1010</v>
      </c>
      <c r="AN11" s="24">
        <f t="shared" si="30"/>
        <v>1010</v>
      </c>
      <c r="AO11" s="24">
        <f t="shared" si="31"/>
        <v>1010</v>
      </c>
      <c r="AP11" s="24">
        <f t="shared" si="32"/>
        <v>1010</v>
      </c>
      <c r="AQ11" s="24">
        <f t="shared" si="33"/>
        <v>1010</v>
      </c>
      <c r="AR11" s="16"/>
    </row>
    <row r="12" spans="1:53" x14ac:dyDescent="0.2">
      <c r="A12" t="s">
        <v>21</v>
      </c>
      <c r="B12" t="s">
        <v>5</v>
      </c>
      <c r="C12" t="str">
        <f t="shared" si="0"/>
        <v>A24_29_Obesity</v>
      </c>
      <c r="D12" s="24">
        <f t="shared" si="35"/>
        <v>10.24</v>
      </c>
      <c r="E12" s="15">
        <f t="shared" si="1"/>
        <v>10.24</v>
      </c>
      <c r="F12" s="15">
        <f t="shared" si="2"/>
        <v>10.24</v>
      </c>
      <c r="G12" s="24">
        <f t="shared" si="3"/>
        <v>10.24</v>
      </c>
      <c r="H12" s="24">
        <f t="shared" si="4"/>
        <v>10.24</v>
      </c>
      <c r="I12" s="18">
        <f t="shared" si="5"/>
        <v>10.24</v>
      </c>
      <c r="J12" s="18">
        <f t="shared" si="6"/>
        <v>10.24</v>
      </c>
      <c r="K12" s="24">
        <f t="shared" si="7"/>
        <v>10.24</v>
      </c>
      <c r="L12" s="24">
        <f t="shared" si="8"/>
        <v>10.24</v>
      </c>
      <c r="M12" s="24">
        <f t="shared" si="9"/>
        <v>10.24</v>
      </c>
      <c r="N12" s="24">
        <f t="shared" si="36"/>
        <v>9.6641999999999992</v>
      </c>
      <c r="O12" s="26">
        <f t="shared" si="10"/>
        <v>9.6641999999999992</v>
      </c>
      <c r="P12" s="15">
        <f t="shared" si="11"/>
        <v>9.6641999999999992</v>
      </c>
      <c r="Q12" s="24">
        <f t="shared" si="37"/>
        <v>9.6641999999999992</v>
      </c>
      <c r="R12" s="16">
        <f t="shared" si="38"/>
        <v>6.7649400000000002</v>
      </c>
      <c r="S12" s="18">
        <f t="shared" si="12"/>
        <v>9.6641999999999992</v>
      </c>
      <c r="T12" s="18">
        <f t="shared" si="13"/>
        <v>9.6641999999999992</v>
      </c>
      <c r="U12" s="24">
        <f t="shared" si="14"/>
        <v>9.6641999999999992</v>
      </c>
      <c r="V12" s="24">
        <f t="shared" si="15"/>
        <v>9.6641999999999992</v>
      </c>
      <c r="W12" s="24">
        <f t="shared" si="16"/>
        <v>9.6641999999999992</v>
      </c>
      <c r="X12" s="24">
        <f t="shared" si="39"/>
        <v>72</v>
      </c>
      <c r="Y12" s="15">
        <f t="shared" si="40"/>
        <v>478.79999999999995</v>
      </c>
      <c r="Z12" s="15">
        <f t="shared" si="17"/>
        <v>72</v>
      </c>
      <c r="AA12" s="24">
        <f t="shared" si="18"/>
        <v>72</v>
      </c>
      <c r="AB12" s="18">
        <f t="shared" si="19"/>
        <v>72</v>
      </c>
      <c r="AC12" s="14">
        <f t="shared" si="20"/>
        <v>192.24</v>
      </c>
      <c r="AD12" s="18">
        <f t="shared" si="21"/>
        <v>72</v>
      </c>
      <c r="AE12" s="24">
        <f t="shared" si="22"/>
        <v>72</v>
      </c>
      <c r="AF12" s="24">
        <f t="shared" si="23"/>
        <v>72</v>
      </c>
      <c r="AG12" s="24">
        <f t="shared" si="24"/>
        <v>72</v>
      </c>
      <c r="AH12" s="17">
        <f t="shared" si="41"/>
        <v>1010</v>
      </c>
      <c r="AI12" s="17">
        <f t="shared" si="25"/>
        <v>1010</v>
      </c>
      <c r="AJ12" s="24">
        <f t="shared" si="26"/>
        <v>1010</v>
      </c>
      <c r="AK12" s="24">
        <f t="shared" si="27"/>
        <v>1010</v>
      </c>
      <c r="AL12" s="16">
        <f t="shared" si="28"/>
        <v>1010</v>
      </c>
      <c r="AM12" s="24">
        <f t="shared" si="29"/>
        <v>1010</v>
      </c>
      <c r="AN12" s="24">
        <f t="shared" si="30"/>
        <v>1010</v>
      </c>
      <c r="AO12" s="24">
        <f t="shared" si="31"/>
        <v>1010</v>
      </c>
      <c r="AP12" s="24">
        <f t="shared" si="32"/>
        <v>1010</v>
      </c>
      <c r="AQ12" s="24">
        <f t="shared" si="33"/>
        <v>1010</v>
      </c>
      <c r="AR12" s="16"/>
    </row>
    <row r="13" spans="1:53" x14ac:dyDescent="0.2">
      <c r="A13" t="s">
        <v>68</v>
      </c>
      <c r="B13" t="s">
        <v>5</v>
      </c>
      <c r="C13" t="str">
        <f t="shared" si="0"/>
        <v>A30_34_Obesity</v>
      </c>
      <c r="D13" s="24">
        <f t="shared" si="35"/>
        <v>23.04</v>
      </c>
      <c r="E13" s="15">
        <f t="shared" si="1"/>
        <v>23.04</v>
      </c>
      <c r="F13" s="15">
        <f t="shared" si="2"/>
        <v>23.04</v>
      </c>
      <c r="G13" s="24">
        <f t="shared" si="3"/>
        <v>23.04</v>
      </c>
      <c r="H13" s="24">
        <f t="shared" si="4"/>
        <v>23.04</v>
      </c>
      <c r="I13" s="18">
        <f t="shared" si="5"/>
        <v>23.04</v>
      </c>
      <c r="J13" s="18">
        <f t="shared" si="6"/>
        <v>23.04</v>
      </c>
      <c r="K13" s="24">
        <f t="shared" si="7"/>
        <v>23.04</v>
      </c>
      <c r="L13" s="24">
        <f t="shared" si="8"/>
        <v>23.04</v>
      </c>
      <c r="M13" s="24">
        <f t="shared" si="9"/>
        <v>23.04</v>
      </c>
      <c r="N13" s="24">
        <f t="shared" si="36"/>
        <v>9.6641999999999992</v>
      </c>
      <c r="O13" s="26">
        <f t="shared" si="10"/>
        <v>9.6641999999999992</v>
      </c>
      <c r="P13" s="15">
        <f t="shared" si="11"/>
        <v>9.6641999999999992</v>
      </c>
      <c r="Q13" s="24">
        <f t="shared" si="37"/>
        <v>9.6641999999999992</v>
      </c>
      <c r="R13" s="16">
        <f t="shared" si="38"/>
        <v>6.7649400000000002</v>
      </c>
      <c r="S13" s="18">
        <f t="shared" si="12"/>
        <v>9.6641999999999992</v>
      </c>
      <c r="T13" s="18">
        <f t="shared" si="13"/>
        <v>9.6641999999999992</v>
      </c>
      <c r="U13" s="24">
        <f t="shared" si="14"/>
        <v>9.6641999999999992</v>
      </c>
      <c r="V13" s="24">
        <f t="shared" si="15"/>
        <v>9.6641999999999992</v>
      </c>
      <c r="W13" s="24">
        <f t="shared" si="16"/>
        <v>9.6641999999999992</v>
      </c>
      <c r="X13" s="24">
        <f t="shared" si="39"/>
        <v>75</v>
      </c>
      <c r="Y13" s="15">
        <f t="shared" si="40"/>
        <v>498.75</v>
      </c>
      <c r="Z13" s="15">
        <f t="shared" si="17"/>
        <v>75</v>
      </c>
      <c r="AA13" s="24">
        <f t="shared" si="18"/>
        <v>75</v>
      </c>
      <c r="AB13" s="18">
        <f t="shared" si="19"/>
        <v>75</v>
      </c>
      <c r="AC13" s="14">
        <f t="shared" si="20"/>
        <v>200.25</v>
      </c>
      <c r="AD13" s="18">
        <f t="shared" si="21"/>
        <v>75</v>
      </c>
      <c r="AE13" s="24">
        <f t="shared" si="22"/>
        <v>75</v>
      </c>
      <c r="AF13" s="24">
        <f t="shared" si="23"/>
        <v>75</v>
      </c>
      <c r="AG13" s="24">
        <f t="shared" si="24"/>
        <v>75</v>
      </c>
      <c r="AH13" s="17">
        <f t="shared" si="41"/>
        <v>430</v>
      </c>
      <c r="AI13" s="17">
        <f t="shared" si="25"/>
        <v>430</v>
      </c>
      <c r="AJ13" s="24">
        <f t="shared" si="26"/>
        <v>430</v>
      </c>
      <c r="AK13" s="24">
        <f t="shared" si="27"/>
        <v>430</v>
      </c>
      <c r="AL13" s="16">
        <f t="shared" si="28"/>
        <v>430</v>
      </c>
      <c r="AM13" s="24">
        <f t="shared" si="29"/>
        <v>430</v>
      </c>
      <c r="AN13" s="24">
        <f t="shared" si="30"/>
        <v>430</v>
      </c>
      <c r="AO13" s="24">
        <f t="shared" si="31"/>
        <v>430</v>
      </c>
      <c r="AP13" s="24">
        <f t="shared" si="32"/>
        <v>430</v>
      </c>
      <c r="AQ13" s="24">
        <f t="shared" si="33"/>
        <v>430</v>
      </c>
      <c r="AR13" s="16"/>
    </row>
    <row r="14" spans="1:53" x14ac:dyDescent="0.2">
      <c r="A14" t="s">
        <v>69</v>
      </c>
      <c r="B14" t="s">
        <v>5</v>
      </c>
      <c r="C14" t="str">
        <f t="shared" si="0"/>
        <v>A35_39_Obesity</v>
      </c>
      <c r="D14" s="24">
        <f t="shared" si="35"/>
        <v>56.32</v>
      </c>
      <c r="E14" s="15">
        <f t="shared" si="1"/>
        <v>56.32</v>
      </c>
      <c r="F14" s="15">
        <f t="shared" si="2"/>
        <v>56.32</v>
      </c>
      <c r="G14" s="24">
        <f t="shared" si="3"/>
        <v>56.32</v>
      </c>
      <c r="H14" s="24">
        <f t="shared" si="4"/>
        <v>56.32</v>
      </c>
      <c r="I14" s="18">
        <f t="shared" si="5"/>
        <v>56.32</v>
      </c>
      <c r="J14" s="18">
        <f t="shared" si="6"/>
        <v>56.32</v>
      </c>
      <c r="K14" s="24">
        <f t="shared" si="7"/>
        <v>56.32</v>
      </c>
      <c r="L14" s="24">
        <f t="shared" si="8"/>
        <v>56.32</v>
      </c>
      <c r="M14" s="24">
        <f t="shared" si="9"/>
        <v>56.32</v>
      </c>
      <c r="N14" s="24">
        <f t="shared" si="36"/>
        <v>30.227399999999999</v>
      </c>
      <c r="O14" s="26">
        <f t="shared" si="10"/>
        <v>30.227399999999999</v>
      </c>
      <c r="P14" s="15">
        <f t="shared" si="11"/>
        <v>30.227399999999999</v>
      </c>
      <c r="Q14" s="24">
        <f t="shared" si="37"/>
        <v>30.227399999999999</v>
      </c>
      <c r="R14" s="16">
        <f t="shared" si="38"/>
        <v>21.159179999999999</v>
      </c>
      <c r="S14" s="18">
        <f t="shared" si="12"/>
        <v>30.227399999999999</v>
      </c>
      <c r="T14" s="18">
        <f t="shared" si="13"/>
        <v>30.227399999999999</v>
      </c>
      <c r="U14" s="24">
        <f t="shared" si="14"/>
        <v>30.227399999999999</v>
      </c>
      <c r="V14" s="24">
        <f t="shared" si="15"/>
        <v>30.227399999999999</v>
      </c>
      <c r="W14" s="24">
        <f t="shared" si="16"/>
        <v>30.227399999999999</v>
      </c>
      <c r="X14" s="24">
        <f t="shared" si="39"/>
        <v>74</v>
      </c>
      <c r="Y14" s="15">
        <f t="shared" si="40"/>
        <v>492.09999999999997</v>
      </c>
      <c r="Z14" s="15">
        <f t="shared" si="17"/>
        <v>74</v>
      </c>
      <c r="AA14" s="24">
        <f t="shared" si="18"/>
        <v>74</v>
      </c>
      <c r="AB14" s="18">
        <f t="shared" si="19"/>
        <v>74</v>
      </c>
      <c r="AC14" s="14">
        <f t="shared" si="20"/>
        <v>197.57999999999998</v>
      </c>
      <c r="AD14" s="18">
        <f t="shared" si="21"/>
        <v>74</v>
      </c>
      <c r="AE14" s="24">
        <f t="shared" si="22"/>
        <v>74</v>
      </c>
      <c r="AF14" s="24">
        <f t="shared" si="23"/>
        <v>74</v>
      </c>
      <c r="AG14" s="24">
        <f t="shared" si="24"/>
        <v>74</v>
      </c>
      <c r="AH14" s="17">
        <f t="shared" si="41"/>
        <v>440.00000000000006</v>
      </c>
      <c r="AI14" s="17">
        <f t="shared" si="25"/>
        <v>440.00000000000006</v>
      </c>
      <c r="AJ14" s="24">
        <f t="shared" si="26"/>
        <v>440.00000000000006</v>
      </c>
      <c r="AK14" s="24">
        <f t="shared" si="27"/>
        <v>440.00000000000006</v>
      </c>
      <c r="AL14" s="16">
        <f t="shared" si="28"/>
        <v>440.00000000000006</v>
      </c>
      <c r="AM14" s="24">
        <f t="shared" si="29"/>
        <v>440.00000000000006</v>
      </c>
      <c r="AN14" s="24">
        <f t="shared" si="30"/>
        <v>440.00000000000006</v>
      </c>
      <c r="AO14" s="24">
        <f t="shared" si="31"/>
        <v>440.00000000000006</v>
      </c>
      <c r="AP14" s="24">
        <f t="shared" si="32"/>
        <v>440.00000000000006</v>
      </c>
      <c r="AQ14" s="24">
        <f t="shared" si="33"/>
        <v>440.00000000000006</v>
      </c>
      <c r="AR14" s="16"/>
    </row>
    <row r="15" spans="1:53" x14ac:dyDescent="0.2">
      <c r="A15" t="s">
        <v>70</v>
      </c>
      <c r="B15" t="s">
        <v>5</v>
      </c>
      <c r="C15" t="str">
        <f t="shared" si="0"/>
        <v>A40_44_Obesity</v>
      </c>
      <c r="D15" s="24">
        <f t="shared" si="35"/>
        <v>128</v>
      </c>
      <c r="E15" s="15">
        <f t="shared" si="1"/>
        <v>128</v>
      </c>
      <c r="F15" s="15">
        <f t="shared" si="2"/>
        <v>128</v>
      </c>
      <c r="G15" s="24">
        <f t="shared" si="3"/>
        <v>128</v>
      </c>
      <c r="H15" s="24">
        <f t="shared" si="4"/>
        <v>128</v>
      </c>
      <c r="I15" s="18">
        <f t="shared" si="5"/>
        <v>128</v>
      </c>
      <c r="J15" s="18">
        <f t="shared" si="6"/>
        <v>128</v>
      </c>
      <c r="K15" s="24">
        <f t="shared" si="7"/>
        <v>128</v>
      </c>
      <c r="L15" s="24">
        <f t="shared" si="8"/>
        <v>128</v>
      </c>
      <c r="M15" s="24">
        <f t="shared" si="9"/>
        <v>128</v>
      </c>
      <c r="N15" s="24">
        <f t="shared" si="36"/>
        <v>30.227399999999999</v>
      </c>
      <c r="O15" s="26">
        <f t="shared" si="10"/>
        <v>30.227399999999999</v>
      </c>
      <c r="P15" s="15">
        <f t="shared" si="11"/>
        <v>30.227399999999999</v>
      </c>
      <c r="Q15" s="24">
        <f t="shared" si="37"/>
        <v>30.227399999999999</v>
      </c>
      <c r="R15" s="16">
        <f t="shared" si="38"/>
        <v>21.159179999999999</v>
      </c>
      <c r="S15" s="18">
        <f t="shared" si="12"/>
        <v>30.227399999999999</v>
      </c>
      <c r="T15" s="18">
        <f t="shared" si="13"/>
        <v>30.227399999999999</v>
      </c>
      <c r="U15" s="24">
        <f t="shared" si="14"/>
        <v>30.227399999999999</v>
      </c>
      <c r="V15" s="24">
        <f t="shared" si="15"/>
        <v>30.227399999999999</v>
      </c>
      <c r="W15" s="24">
        <f t="shared" si="16"/>
        <v>30.227399999999999</v>
      </c>
      <c r="X15" s="24">
        <f t="shared" si="39"/>
        <v>84</v>
      </c>
      <c r="Y15" s="15">
        <f t="shared" si="40"/>
        <v>558.6</v>
      </c>
      <c r="Z15" s="15">
        <f t="shared" si="17"/>
        <v>84</v>
      </c>
      <c r="AA15" s="24">
        <f t="shared" si="18"/>
        <v>84</v>
      </c>
      <c r="AB15" s="18">
        <f t="shared" si="19"/>
        <v>84</v>
      </c>
      <c r="AC15" s="14">
        <f t="shared" si="20"/>
        <v>224.28</v>
      </c>
      <c r="AD15" s="18">
        <f t="shared" si="21"/>
        <v>84</v>
      </c>
      <c r="AE15" s="24">
        <f t="shared" si="22"/>
        <v>84</v>
      </c>
      <c r="AF15" s="24">
        <f t="shared" si="23"/>
        <v>84</v>
      </c>
      <c r="AG15" s="24">
        <f t="shared" si="24"/>
        <v>84</v>
      </c>
      <c r="AH15" s="17">
        <f t="shared" si="41"/>
        <v>280</v>
      </c>
      <c r="AI15" s="17">
        <f t="shared" si="25"/>
        <v>280</v>
      </c>
      <c r="AJ15" s="24">
        <f t="shared" si="26"/>
        <v>280</v>
      </c>
      <c r="AK15" s="24">
        <f t="shared" si="27"/>
        <v>280</v>
      </c>
      <c r="AL15" s="16">
        <f t="shared" si="28"/>
        <v>280</v>
      </c>
      <c r="AM15" s="24">
        <f t="shared" si="29"/>
        <v>280</v>
      </c>
      <c r="AN15" s="24">
        <f t="shared" si="30"/>
        <v>280</v>
      </c>
      <c r="AO15" s="24">
        <f t="shared" si="31"/>
        <v>280</v>
      </c>
      <c r="AP15" s="24">
        <f t="shared" si="32"/>
        <v>280</v>
      </c>
      <c r="AQ15" s="24">
        <f t="shared" si="33"/>
        <v>280</v>
      </c>
      <c r="AR15" s="16"/>
    </row>
    <row r="16" spans="1:53" x14ac:dyDescent="0.2">
      <c r="A16" t="s">
        <v>71</v>
      </c>
      <c r="B16" t="s">
        <v>5</v>
      </c>
      <c r="C16" t="str">
        <f t="shared" si="0"/>
        <v>A45_49_Obesity</v>
      </c>
      <c r="D16" s="24">
        <f t="shared" si="35"/>
        <v>225.28</v>
      </c>
      <c r="E16" s="15">
        <f t="shared" si="1"/>
        <v>225.28</v>
      </c>
      <c r="F16" s="15">
        <f t="shared" si="2"/>
        <v>225.28</v>
      </c>
      <c r="G16" s="24">
        <f t="shared" si="3"/>
        <v>225.28</v>
      </c>
      <c r="H16" s="24">
        <f t="shared" si="4"/>
        <v>225.28</v>
      </c>
      <c r="I16" s="18">
        <f t="shared" si="5"/>
        <v>225.28</v>
      </c>
      <c r="J16" s="18">
        <f t="shared" si="6"/>
        <v>225.28</v>
      </c>
      <c r="K16" s="24">
        <f t="shared" si="7"/>
        <v>225.28</v>
      </c>
      <c r="L16" s="24">
        <f t="shared" si="8"/>
        <v>225.28</v>
      </c>
      <c r="M16" s="24">
        <f t="shared" si="9"/>
        <v>225.28</v>
      </c>
      <c r="N16" s="24">
        <f t="shared" si="36"/>
        <v>30.227399999999999</v>
      </c>
      <c r="O16" s="26">
        <f t="shared" si="10"/>
        <v>30.227399999999999</v>
      </c>
      <c r="P16" s="15">
        <f t="shared" si="11"/>
        <v>30.227399999999999</v>
      </c>
      <c r="Q16" s="24">
        <f t="shared" si="37"/>
        <v>30.227399999999999</v>
      </c>
      <c r="R16" s="16">
        <f t="shared" si="38"/>
        <v>21.159179999999999</v>
      </c>
      <c r="S16" s="18">
        <f t="shared" si="12"/>
        <v>30.227399999999999</v>
      </c>
      <c r="T16" s="18">
        <f t="shared" si="13"/>
        <v>30.227399999999999</v>
      </c>
      <c r="U16" s="24">
        <f t="shared" si="14"/>
        <v>30.227399999999999</v>
      </c>
      <c r="V16" s="24">
        <f t="shared" si="15"/>
        <v>30.227399999999999</v>
      </c>
      <c r="W16" s="24">
        <f t="shared" si="16"/>
        <v>30.227399999999999</v>
      </c>
      <c r="X16" s="24">
        <f t="shared" si="39"/>
        <v>96</v>
      </c>
      <c r="Y16" s="15">
        <f t="shared" si="40"/>
        <v>638.4</v>
      </c>
      <c r="Z16" s="15">
        <f t="shared" si="17"/>
        <v>96</v>
      </c>
      <c r="AA16" s="24">
        <f t="shared" si="18"/>
        <v>96</v>
      </c>
      <c r="AB16" s="18">
        <f t="shared" si="19"/>
        <v>96</v>
      </c>
      <c r="AC16" s="14">
        <f t="shared" si="20"/>
        <v>256.32</v>
      </c>
      <c r="AD16" s="18">
        <f t="shared" si="21"/>
        <v>96</v>
      </c>
      <c r="AE16" s="24">
        <f t="shared" si="22"/>
        <v>96</v>
      </c>
      <c r="AF16" s="24">
        <f t="shared" si="23"/>
        <v>96</v>
      </c>
      <c r="AG16" s="24">
        <f t="shared" si="24"/>
        <v>96</v>
      </c>
      <c r="AH16" s="17">
        <f t="shared" si="41"/>
        <v>280</v>
      </c>
      <c r="AI16" s="17">
        <f t="shared" si="25"/>
        <v>280</v>
      </c>
      <c r="AJ16" s="24">
        <f t="shared" si="26"/>
        <v>280</v>
      </c>
      <c r="AK16" s="24">
        <f t="shared" si="27"/>
        <v>280</v>
      </c>
      <c r="AL16" s="16">
        <f t="shared" si="28"/>
        <v>280</v>
      </c>
      <c r="AM16" s="24">
        <f t="shared" si="29"/>
        <v>280</v>
      </c>
      <c r="AN16" s="24">
        <f t="shared" si="30"/>
        <v>280</v>
      </c>
      <c r="AO16" s="24">
        <f t="shared" si="31"/>
        <v>280</v>
      </c>
      <c r="AP16" s="24">
        <f t="shared" si="32"/>
        <v>280</v>
      </c>
      <c r="AQ16" s="24">
        <f t="shared" si="33"/>
        <v>280</v>
      </c>
      <c r="AR16" s="16"/>
    </row>
    <row r="17" spans="1:44" x14ac:dyDescent="0.2">
      <c r="A17" t="s">
        <v>66</v>
      </c>
      <c r="B17" t="s">
        <v>6</v>
      </c>
      <c r="C17" t="str">
        <f t="shared" si="0"/>
        <v>A15_19_Htn</v>
      </c>
      <c r="D17" s="24">
        <f>D3*4</f>
        <v>4</v>
      </c>
      <c r="E17" s="15">
        <f t="shared" si="1"/>
        <v>4</v>
      </c>
      <c r="F17" s="15">
        <f t="shared" si="2"/>
        <v>4</v>
      </c>
      <c r="G17" s="24">
        <f t="shared" si="3"/>
        <v>4</v>
      </c>
      <c r="H17" s="24">
        <f t="shared" si="4"/>
        <v>4</v>
      </c>
      <c r="I17" s="18">
        <f t="shared" si="5"/>
        <v>4</v>
      </c>
      <c r="J17" s="18">
        <f t="shared" si="6"/>
        <v>4</v>
      </c>
      <c r="K17" s="24">
        <f t="shared" si="7"/>
        <v>4</v>
      </c>
      <c r="L17" s="24">
        <f t="shared" si="8"/>
        <v>4</v>
      </c>
      <c r="M17" s="24">
        <f t="shared" si="9"/>
        <v>4</v>
      </c>
      <c r="N17" s="24">
        <f>N3*1.45</f>
        <v>4.2774999999999999</v>
      </c>
      <c r="O17" s="26">
        <f t="shared" si="10"/>
        <v>4.2774999999999999</v>
      </c>
      <c r="P17" s="15">
        <f t="shared" si="11"/>
        <v>4.2774999999999999</v>
      </c>
      <c r="Q17" s="24">
        <f>Q3*1.45</f>
        <v>4.2774999999999999</v>
      </c>
      <c r="R17" s="16">
        <f>R3*1.45</f>
        <v>2.9942499999999996</v>
      </c>
      <c r="S17" s="18">
        <f t="shared" si="12"/>
        <v>4.2774999999999999</v>
      </c>
      <c r="T17" s="18">
        <f t="shared" si="13"/>
        <v>4.2774999999999999</v>
      </c>
      <c r="U17" s="24">
        <f t="shared" si="14"/>
        <v>4.2774999999999999</v>
      </c>
      <c r="V17" s="24">
        <f t="shared" si="15"/>
        <v>4.2774999999999999</v>
      </c>
      <c r="W17" s="24">
        <f t="shared" si="16"/>
        <v>4.2774999999999999</v>
      </c>
      <c r="X17" s="24">
        <f>X3</f>
        <v>27</v>
      </c>
      <c r="Y17" s="15">
        <f>Y3</f>
        <v>94.5</v>
      </c>
      <c r="Z17" s="15">
        <f t="shared" si="17"/>
        <v>27</v>
      </c>
      <c r="AA17" s="24">
        <f t="shared" si="18"/>
        <v>27</v>
      </c>
      <c r="AB17" s="18">
        <f t="shared" si="19"/>
        <v>27</v>
      </c>
      <c r="AC17" s="14">
        <f t="shared" si="20"/>
        <v>72.09</v>
      </c>
      <c r="AD17" s="18">
        <f t="shared" si="21"/>
        <v>27</v>
      </c>
      <c r="AE17" s="24">
        <f t="shared" si="22"/>
        <v>27</v>
      </c>
      <c r="AF17" s="24">
        <f t="shared" si="23"/>
        <v>27</v>
      </c>
      <c r="AG17" s="24">
        <f t="shared" si="24"/>
        <v>27</v>
      </c>
      <c r="AH17" s="17">
        <f>AH3</f>
        <v>760</v>
      </c>
      <c r="AI17" s="17">
        <f t="shared" si="25"/>
        <v>760</v>
      </c>
      <c r="AJ17" s="24">
        <f t="shared" si="26"/>
        <v>760</v>
      </c>
      <c r="AK17" s="24">
        <f t="shared" si="27"/>
        <v>760</v>
      </c>
      <c r="AL17" s="16">
        <f t="shared" si="28"/>
        <v>760</v>
      </c>
      <c r="AM17" s="24">
        <f t="shared" si="29"/>
        <v>760</v>
      </c>
      <c r="AN17" s="24">
        <f t="shared" si="30"/>
        <v>760</v>
      </c>
      <c r="AO17" s="24">
        <f t="shared" si="31"/>
        <v>760</v>
      </c>
      <c r="AP17" s="24">
        <f t="shared" si="32"/>
        <v>760</v>
      </c>
      <c r="AQ17" s="24">
        <f t="shared" si="33"/>
        <v>760</v>
      </c>
      <c r="AR17" s="16"/>
    </row>
    <row r="18" spans="1:44" x14ac:dyDescent="0.2">
      <c r="A18" t="s">
        <v>67</v>
      </c>
      <c r="B18" t="s">
        <v>6</v>
      </c>
      <c r="C18" t="str">
        <f t="shared" si="0"/>
        <v>A20_24_Htn</v>
      </c>
      <c r="D18" s="24">
        <f t="shared" ref="D18:D23" si="42">D4*4</f>
        <v>9</v>
      </c>
      <c r="E18" s="15">
        <f t="shared" si="1"/>
        <v>9</v>
      </c>
      <c r="F18" s="15">
        <f t="shared" si="2"/>
        <v>9</v>
      </c>
      <c r="G18" s="24">
        <f t="shared" si="3"/>
        <v>9</v>
      </c>
      <c r="H18" s="24">
        <f t="shared" si="4"/>
        <v>9</v>
      </c>
      <c r="I18" s="18">
        <f t="shared" si="5"/>
        <v>9</v>
      </c>
      <c r="J18" s="18">
        <f t="shared" si="6"/>
        <v>9</v>
      </c>
      <c r="K18" s="24">
        <f t="shared" si="7"/>
        <v>9</v>
      </c>
      <c r="L18" s="24">
        <f t="shared" si="8"/>
        <v>9</v>
      </c>
      <c r="M18" s="24">
        <f t="shared" si="9"/>
        <v>9</v>
      </c>
      <c r="N18" s="24">
        <f t="shared" ref="N18:N23" si="43">N4*1.45</f>
        <v>4.2774999999999999</v>
      </c>
      <c r="O18" s="26">
        <f t="shared" si="10"/>
        <v>4.2774999999999999</v>
      </c>
      <c r="P18" s="15">
        <f t="shared" si="11"/>
        <v>4.2774999999999999</v>
      </c>
      <c r="Q18" s="24">
        <f t="shared" ref="Q18:Q23" si="44">Q4*1.45</f>
        <v>4.2774999999999999</v>
      </c>
      <c r="R18" s="16">
        <f t="shared" ref="R18:R23" si="45">R4*1.45</f>
        <v>2.9942499999999996</v>
      </c>
      <c r="S18" s="18">
        <f t="shared" si="12"/>
        <v>4.2774999999999999</v>
      </c>
      <c r="T18" s="18">
        <f t="shared" si="13"/>
        <v>4.2774999999999999</v>
      </c>
      <c r="U18" s="24">
        <f t="shared" si="14"/>
        <v>4.2774999999999999</v>
      </c>
      <c r="V18" s="24">
        <f t="shared" si="15"/>
        <v>4.2774999999999999</v>
      </c>
      <c r="W18" s="24">
        <f t="shared" si="16"/>
        <v>4.2774999999999999</v>
      </c>
      <c r="X18" s="24">
        <f t="shared" ref="X18:X23" si="46">X4</f>
        <v>51</v>
      </c>
      <c r="Y18" s="15">
        <f t="shared" ref="Y18:Y23" si="47">Y4</f>
        <v>178.5</v>
      </c>
      <c r="Z18" s="15">
        <f t="shared" si="17"/>
        <v>51</v>
      </c>
      <c r="AA18" s="24">
        <f t="shared" si="18"/>
        <v>51</v>
      </c>
      <c r="AB18" s="18">
        <f t="shared" si="19"/>
        <v>51</v>
      </c>
      <c r="AC18" s="14">
        <f t="shared" si="20"/>
        <v>136.16999999999999</v>
      </c>
      <c r="AD18" s="18">
        <f t="shared" si="21"/>
        <v>51</v>
      </c>
      <c r="AE18" s="24">
        <f t="shared" si="22"/>
        <v>51</v>
      </c>
      <c r="AF18" s="24">
        <f t="shared" si="23"/>
        <v>51</v>
      </c>
      <c r="AG18" s="24">
        <f t="shared" si="24"/>
        <v>51</v>
      </c>
      <c r="AH18" s="17">
        <f t="shared" ref="AH18:AH23" si="48">AH4</f>
        <v>1010</v>
      </c>
      <c r="AI18" s="17">
        <f t="shared" si="25"/>
        <v>1010</v>
      </c>
      <c r="AJ18" s="24">
        <f t="shared" si="26"/>
        <v>1010</v>
      </c>
      <c r="AK18" s="24">
        <f t="shared" si="27"/>
        <v>1010</v>
      </c>
      <c r="AL18" s="16">
        <f t="shared" si="28"/>
        <v>1010</v>
      </c>
      <c r="AM18" s="24">
        <f t="shared" si="29"/>
        <v>1010</v>
      </c>
      <c r="AN18" s="24">
        <f t="shared" si="30"/>
        <v>1010</v>
      </c>
      <c r="AO18" s="24">
        <f t="shared" si="31"/>
        <v>1010</v>
      </c>
      <c r="AP18" s="24">
        <f t="shared" si="32"/>
        <v>1010</v>
      </c>
      <c r="AQ18" s="24">
        <f t="shared" si="33"/>
        <v>1010</v>
      </c>
      <c r="AR18" s="16"/>
    </row>
    <row r="19" spans="1:44" x14ac:dyDescent="0.2">
      <c r="A19" t="s">
        <v>21</v>
      </c>
      <c r="B19" t="s">
        <v>6</v>
      </c>
      <c r="C19" t="str">
        <f t="shared" si="0"/>
        <v>A24_29_Htn</v>
      </c>
      <c r="D19" s="24">
        <f t="shared" si="42"/>
        <v>16</v>
      </c>
      <c r="E19" s="15">
        <f t="shared" si="1"/>
        <v>16</v>
      </c>
      <c r="F19" s="15">
        <f t="shared" si="2"/>
        <v>16</v>
      </c>
      <c r="G19" s="24">
        <f t="shared" si="3"/>
        <v>16</v>
      </c>
      <c r="H19" s="24">
        <f t="shared" si="4"/>
        <v>16</v>
      </c>
      <c r="I19" s="18">
        <f t="shared" si="5"/>
        <v>16</v>
      </c>
      <c r="J19" s="18">
        <f t="shared" si="6"/>
        <v>16</v>
      </c>
      <c r="K19" s="24">
        <f t="shared" si="7"/>
        <v>16</v>
      </c>
      <c r="L19" s="24">
        <f t="shared" si="8"/>
        <v>16</v>
      </c>
      <c r="M19" s="24">
        <f t="shared" si="9"/>
        <v>16</v>
      </c>
      <c r="N19" s="24">
        <f t="shared" si="43"/>
        <v>11.121499999999999</v>
      </c>
      <c r="O19" s="26">
        <f t="shared" si="10"/>
        <v>11.121499999999999</v>
      </c>
      <c r="P19" s="15">
        <f t="shared" si="11"/>
        <v>11.121499999999999</v>
      </c>
      <c r="Q19" s="24">
        <f t="shared" si="44"/>
        <v>11.121499999999999</v>
      </c>
      <c r="R19" s="16">
        <f t="shared" si="45"/>
        <v>7.7850499999999991</v>
      </c>
      <c r="S19" s="18">
        <f t="shared" si="12"/>
        <v>11.121499999999999</v>
      </c>
      <c r="T19" s="18">
        <f t="shared" si="13"/>
        <v>11.121499999999999</v>
      </c>
      <c r="U19" s="24">
        <f t="shared" si="14"/>
        <v>11.121499999999999</v>
      </c>
      <c r="V19" s="24">
        <f t="shared" si="15"/>
        <v>11.121499999999999</v>
      </c>
      <c r="W19" s="24">
        <f t="shared" si="16"/>
        <v>11.121499999999999</v>
      </c>
      <c r="X19" s="24">
        <f t="shared" si="46"/>
        <v>72</v>
      </c>
      <c r="Y19" s="15">
        <f t="shared" si="47"/>
        <v>252</v>
      </c>
      <c r="Z19" s="15">
        <f t="shared" si="17"/>
        <v>72</v>
      </c>
      <c r="AA19" s="24">
        <f t="shared" si="18"/>
        <v>72</v>
      </c>
      <c r="AB19" s="18">
        <f t="shared" si="19"/>
        <v>72</v>
      </c>
      <c r="AC19" s="14">
        <f t="shared" si="20"/>
        <v>192.24</v>
      </c>
      <c r="AD19" s="18">
        <f t="shared" si="21"/>
        <v>72</v>
      </c>
      <c r="AE19" s="24">
        <f t="shared" si="22"/>
        <v>72</v>
      </c>
      <c r="AF19" s="24">
        <f t="shared" si="23"/>
        <v>72</v>
      </c>
      <c r="AG19" s="24">
        <f t="shared" si="24"/>
        <v>72</v>
      </c>
      <c r="AH19" s="17">
        <f t="shared" si="48"/>
        <v>1010</v>
      </c>
      <c r="AI19" s="17">
        <f t="shared" si="25"/>
        <v>1010</v>
      </c>
      <c r="AJ19" s="24">
        <f t="shared" si="26"/>
        <v>1010</v>
      </c>
      <c r="AK19" s="24">
        <f t="shared" si="27"/>
        <v>1010</v>
      </c>
      <c r="AL19" s="16">
        <f t="shared" si="28"/>
        <v>1010</v>
      </c>
      <c r="AM19" s="24">
        <f t="shared" si="29"/>
        <v>1010</v>
      </c>
      <c r="AN19" s="24">
        <f t="shared" si="30"/>
        <v>1010</v>
      </c>
      <c r="AO19" s="24">
        <f t="shared" si="31"/>
        <v>1010</v>
      </c>
      <c r="AP19" s="24">
        <f t="shared" si="32"/>
        <v>1010</v>
      </c>
      <c r="AQ19" s="24">
        <f t="shared" si="33"/>
        <v>1010</v>
      </c>
      <c r="AR19" s="16"/>
    </row>
    <row r="20" spans="1:44" x14ac:dyDescent="0.2">
      <c r="A20" t="s">
        <v>68</v>
      </c>
      <c r="B20" t="s">
        <v>6</v>
      </c>
      <c r="C20" t="str">
        <f t="shared" si="0"/>
        <v>A30_34_Htn</v>
      </c>
      <c r="D20" s="24">
        <f t="shared" si="42"/>
        <v>36</v>
      </c>
      <c r="E20" s="15">
        <f t="shared" si="1"/>
        <v>36</v>
      </c>
      <c r="F20" s="15">
        <f t="shared" si="2"/>
        <v>36</v>
      </c>
      <c r="G20" s="24">
        <f t="shared" si="3"/>
        <v>36</v>
      </c>
      <c r="H20" s="24">
        <f t="shared" si="4"/>
        <v>36</v>
      </c>
      <c r="I20" s="18">
        <f t="shared" si="5"/>
        <v>36</v>
      </c>
      <c r="J20" s="18">
        <f t="shared" si="6"/>
        <v>36</v>
      </c>
      <c r="K20" s="24">
        <f t="shared" si="7"/>
        <v>36</v>
      </c>
      <c r="L20" s="24">
        <f t="shared" si="8"/>
        <v>36</v>
      </c>
      <c r="M20" s="24">
        <f t="shared" si="9"/>
        <v>36</v>
      </c>
      <c r="N20" s="24">
        <f t="shared" si="43"/>
        <v>11.121499999999999</v>
      </c>
      <c r="O20" s="26">
        <f t="shared" si="10"/>
        <v>11.121499999999999</v>
      </c>
      <c r="P20" s="15">
        <f t="shared" si="11"/>
        <v>11.121499999999999</v>
      </c>
      <c r="Q20" s="24">
        <f t="shared" si="44"/>
        <v>11.121499999999999</v>
      </c>
      <c r="R20" s="16">
        <f t="shared" si="45"/>
        <v>7.7850499999999991</v>
      </c>
      <c r="S20" s="18">
        <f t="shared" si="12"/>
        <v>11.121499999999999</v>
      </c>
      <c r="T20" s="18">
        <f t="shared" si="13"/>
        <v>11.121499999999999</v>
      </c>
      <c r="U20" s="24">
        <f t="shared" si="14"/>
        <v>11.121499999999999</v>
      </c>
      <c r="V20" s="24">
        <f t="shared" si="15"/>
        <v>11.121499999999999</v>
      </c>
      <c r="W20" s="24">
        <f t="shared" si="16"/>
        <v>11.121499999999999</v>
      </c>
      <c r="X20" s="24">
        <f t="shared" si="46"/>
        <v>75</v>
      </c>
      <c r="Y20" s="15">
        <f t="shared" si="47"/>
        <v>262.5</v>
      </c>
      <c r="Z20" s="15">
        <f t="shared" si="17"/>
        <v>75</v>
      </c>
      <c r="AA20" s="24">
        <f t="shared" si="18"/>
        <v>75</v>
      </c>
      <c r="AB20" s="18">
        <f t="shared" si="19"/>
        <v>75</v>
      </c>
      <c r="AC20" s="14">
        <f t="shared" si="20"/>
        <v>200.25</v>
      </c>
      <c r="AD20" s="18">
        <f t="shared" si="21"/>
        <v>75</v>
      </c>
      <c r="AE20" s="24">
        <f t="shared" si="22"/>
        <v>75</v>
      </c>
      <c r="AF20" s="24">
        <f t="shared" si="23"/>
        <v>75</v>
      </c>
      <c r="AG20" s="24">
        <f t="shared" si="24"/>
        <v>75</v>
      </c>
      <c r="AH20" s="17">
        <f t="shared" si="48"/>
        <v>430</v>
      </c>
      <c r="AI20" s="17">
        <f t="shared" si="25"/>
        <v>430</v>
      </c>
      <c r="AJ20" s="24">
        <f t="shared" si="26"/>
        <v>430</v>
      </c>
      <c r="AK20" s="24">
        <f t="shared" si="27"/>
        <v>430</v>
      </c>
      <c r="AL20" s="16">
        <f t="shared" si="28"/>
        <v>430</v>
      </c>
      <c r="AM20" s="24">
        <f t="shared" si="29"/>
        <v>430</v>
      </c>
      <c r="AN20" s="24">
        <f t="shared" si="30"/>
        <v>430</v>
      </c>
      <c r="AO20" s="24">
        <f t="shared" si="31"/>
        <v>430</v>
      </c>
      <c r="AP20" s="24">
        <f t="shared" si="32"/>
        <v>430</v>
      </c>
      <c r="AQ20" s="24">
        <f t="shared" si="33"/>
        <v>430</v>
      </c>
      <c r="AR20" s="16"/>
    </row>
    <row r="21" spans="1:44" x14ac:dyDescent="0.2">
      <c r="A21" t="s">
        <v>69</v>
      </c>
      <c r="B21" t="s">
        <v>6</v>
      </c>
      <c r="C21" t="str">
        <f t="shared" si="0"/>
        <v>A35_39_Htn</v>
      </c>
      <c r="D21" s="24">
        <f t="shared" si="42"/>
        <v>88</v>
      </c>
      <c r="E21" s="15">
        <f t="shared" si="1"/>
        <v>88</v>
      </c>
      <c r="F21" s="15">
        <f t="shared" si="2"/>
        <v>88</v>
      </c>
      <c r="G21" s="24">
        <f t="shared" si="3"/>
        <v>88</v>
      </c>
      <c r="H21" s="24">
        <f t="shared" si="4"/>
        <v>88</v>
      </c>
      <c r="I21" s="18">
        <f t="shared" si="5"/>
        <v>88</v>
      </c>
      <c r="J21" s="18">
        <f t="shared" si="6"/>
        <v>88</v>
      </c>
      <c r="K21" s="24">
        <f t="shared" si="7"/>
        <v>88</v>
      </c>
      <c r="L21" s="24">
        <f t="shared" si="8"/>
        <v>88</v>
      </c>
      <c r="M21" s="24">
        <f t="shared" si="9"/>
        <v>88</v>
      </c>
      <c r="N21" s="24">
        <f t="shared" si="43"/>
        <v>34.785499999999999</v>
      </c>
      <c r="O21" s="26">
        <f t="shared" si="10"/>
        <v>34.785499999999999</v>
      </c>
      <c r="P21" s="15">
        <f t="shared" si="11"/>
        <v>34.785499999999999</v>
      </c>
      <c r="Q21" s="24">
        <f t="shared" si="44"/>
        <v>34.785499999999999</v>
      </c>
      <c r="R21" s="16">
        <f t="shared" si="45"/>
        <v>24.349849999999996</v>
      </c>
      <c r="S21" s="18">
        <f t="shared" si="12"/>
        <v>34.785499999999999</v>
      </c>
      <c r="T21" s="18">
        <f t="shared" si="13"/>
        <v>34.785499999999999</v>
      </c>
      <c r="U21" s="24">
        <f t="shared" si="14"/>
        <v>34.785499999999999</v>
      </c>
      <c r="V21" s="24">
        <f t="shared" si="15"/>
        <v>34.785499999999999</v>
      </c>
      <c r="W21" s="24">
        <f t="shared" si="16"/>
        <v>34.785499999999999</v>
      </c>
      <c r="X21" s="24">
        <f t="shared" si="46"/>
        <v>74</v>
      </c>
      <c r="Y21" s="15">
        <f t="shared" si="47"/>
        <v>259</v>
      </c>
      <c r="Z21" s="15">
        <f t="shared" si="17"/>
        <v>74</v>
      </c>
      <c r="AA21" s="24">
        <f t="shared" si="18"/>
        <v>74</v>
      </c>
      <c r="AB21" s="18">
        <f t="shared" si="19"/>
        <v>74</v>
      </c>
      <c r="AC21" s="14">
        <f t="shared" si="20"/>
        <v>197.57999999999998</v>
      </c>
      <c r="AD21" s="18">
        <f t="shared" si="21"/>
        <v>74</v>
      </c>
      <c r="AE21" s="24">
        <f t="shared" si="22"/>
        <v>74</v>
      </c>
      <c r="AF21" s="24">
        <f t="shared" si="23"/>
        <v>74</v>
      </c>
      <c r="AG21" s="24">
        <f t="shared" si="24"/>
        <v>74</v>
      </c>
      <c r="AH21" s="17">
        <f t="shared" si="48"/>
        <v>440.00000000000006</v>
      </c>
      <c r="AI21" s="17">
        <f t="shared" si="25"/>
        <v>440.00000000000006</v>
      </c>
      <c r="AJ21" s="24">
        <f t="shared" si="26"/>
        <v>440.00000000000006</v>
      </c>
      <c r="AK21" s="24">
        <f t="shared" si="27"/>
        <v>440.00000000000006</v>
      </c>
      <c r="AL21" s="16">
        <f t="shared" si="28"/>
        <v>440.00000000000006</v>
      </c>
      <c r="AM21" s="24">
        <f t="shared" si="29"/>
        <v>440.00000000000006</v>
      </c>
      <c r="AN21" s="24">
        <f t="shared" si="30"/>
        <v>440.00000000000006</v>
      </c>
      <c r="AO21" s="24">
        <f t="shared" si="31"/>
        <v>440.00000000000006</v>
      </c>
      <c r="AP21" s="24">
        <f t="shared" si="32"/>
        <v>440.00000000000006</v>
      </c>
      <c r="AQ21" s="24">
        <f t="shared" si="33"/>
        <v>440.00000000000006</v>
      </c>
      <c r="AR21" s="16"/>
    </row>
    <row r="22" spans="1:44" x14ac:dyDescent="0.2">
      <c r="A22" t="s">
        <v>70</v>
      </c>
      <c r="B22" t="s">
        <v>6</v>
      </c>
      <c r="C22" t="str">
        <f t="shared" si="0"/>
        <v>A40_44_Htn</v>
      </c>
      <c r="D22" s="24">
        <f t="shared" si="42"/>
        <v>200</v>
      </c>
      <c r="E22" s="15">
        <f t="shared" si="1"/>
        <v>200</v>
      </c>
      <c r="F22" s="15">
        <f t="shared" si="2"/>
        <v>200</v>
      </c>
      <c r="G22" s="24">
        <f t="shared" si="3"/>
        <v>200</v>
      </c>
      <c r="H22" s="24">
        <f t="shared" si="4"/>
        <v>200</v>
      </c>
      <c r="I22" s="18">
        <f t="shared" si="5"/>
        <v>200</v>
      </c>
      <c r="J22" s="18">
        <f t="shared" si="6"/>
        <v>200</v>
      </c>
      <c r="K22" s="24">
        <f t="shared" si="7"/>
        <v>200</v>
      </c>
      <c r="L22" s="24">
        <f t="shared" si="8"/>
        <v>200</v>
      </c>
      <c r="M22" s="24">
        <f t="shared" si="9"/>
        <v>200</v>
      </c>
      <c r="N22" s="24">
        <f t="shared" si="43"/>
        <v>34.785499999999999</v>
      </c>
      <c r="O22" s="26">
        <f t="shared" si="10"/>
        <v>34.785499999999999</v>
      </c>
      <c r="P22" s="15">
        <f t="shared" si="11"/>
        <v>34.785499999999999</v>
      </c>
      <c r="Q22" s="24">
        <f t="shared" si="44"/>
        <v>34.785499999999999</v>
      </c>
      <c r="R22" s="16">
        <f t="shared" si="45"/>
        <v>24.349849999999996</v>
      </c>
      <c r="S22" s="18">
        <f t="shared" si="12"/>
        <v>34.785499999999999</v>
      </c>
      <c r="T22" s="18">
        <f t="shared" si="13"/>
        <v>34.785499999999999</v>
      </c>
      <c r="U22" s="24">
        <f t="shared" si="14"/>
        <v>34.785499999999999</v>
      </c>
      <c r="V22" s="24">
        <f t="shared" si="15"/>
        <v>34.785499999999999</v>
      </c>
      <c r="W22" s="24">
        <f t="shared" si="16"/>
        <v>34.785499999999999</v>
      </c>
      <c r="X22" s="24">
        <f t="shared" si="46"/>
        <v>84</v>
      </c>
      <c r="Y22" s="15">
        <f t="shared" si="47"/>
        <v>294</v>
      </c>
      <c r="Z22" s="15">
        <f t="shared" si="17"/>
        <v>84</v>
      </c>
      <c r="AA22" s="24">
        <f t="shared" si="18"/>
        <v>84</v>
      </c>
      <c r="AB22" s="18">
        <f t="shared" si="19"/>
        <v>84</v>
      </c>
      <c r="AC22" s="14">
        <f t="shared" si="20"/>
        <v>224.28</v>
      </c>
      <c r="AD22" s="18">
        <f t="shared" si="21"/>
        <v>84</v>
      </c>
      <c r="AE22" s="24">
        <f t="shared" si="22"/>
        <v>84</v>
      </c>
      <c r="AF22" s="24">
        <f t="shared" si="23"/>
        <v>84</v>
      </c>
      <c r="AG22" s="24">
        <f t="shared" si="24"/>
        <v>84</v>
      </c>
      <c r="AH22" s="17">
        <f t="shared" si="48"/>
        <v>280</v>
      </c>
      <c r="AI22" s="17">
        <f t="shared" si="25"/>
        <v>280</v>
      </c>
      <c r="AJ22" s="24">
        <f t="shared" si="26"/>
        <v>280</v>
      </c>
      <c r="AK22" s="24">
        <f t="shared" si="27"/>
        <v>280</v>
      </c>
      <c r="AL22" s="16">
        <f t="shared" si="28"/>
        <v>280</v>
      </c>
      <c r="AM22" s="24">
        <f t="shared" si="29"/>
        <v>280</v>
      </c>
      <c r="AN22" s="24">
        <f t="shared" si="30"/>
        <v>280</v>
      </c>
      <c r="AO22" s="24">
        <f t="shared" si="31"/>
        <v>280</v>
      </c>
      <c r="AP22" s="24">
        <f t="shared" si="32"/>
        <v>280</v>
      </c>
      <c r="AQ22" s="24">
        <f t="shared" si="33"/>
        <v>280</v>
      </c>
      <c r="AR22" s="16"/>
    </row>
    <row r="23" spans="1:44" x14ac:dyDescent="0.2">
      <c r="A23" t="s">
        <v>71</v>
      </c>
      <c r="B23" t="s">
        <v>6</v>
      </c>
      <c r="C23" t="str">
        <f t="shared" si="0"/>
        <v>A45_49_Htn</v>
      </c>
      <c r="D23" s="24">
        <f t="shared" si="42"/>
        <v>352</v>
      </c>
      <c r="E23" s="15">
        <f t="shared" si="1"/>
        <v>352</v>
      </c>
      <c r="F23" s="15">
        <f t="shared" si="2"/>
        <v>352</v>
      </c>
      <c r="G23" s="24">
        <f t="shared" si="3"/>
        <v>352</v>
      </c>
      <c r="H23" s="24">
        <f t="shared" si="4"/>
        <v>352</v>
      </c>
      <c r="I23" s="18">
        <f t="shared" si="5"/>
        <v>352</v>
      </c>
      <c r="J23" s="18">
        <f t="shared" si="6"/>
        <v>352</v>
      </c>
      <c r="K23" s="24">
        <f t="shared" si="7"/>
        <v>352</v>
      </c>
      <c r="L23" s="24">
        <f t="shared" si="8"/>
        <v>352</v>
      </c>
      <c r="M23" s="24">
        <f t="shared" si="9"/>
        <v>352</v>
      </c>
      <c r="N23" s="24">
        <f t="shared" si="43"/>
        <v>34.785499999999999</v>
      </c>
      <c r="O23" s="26">
        <f t="shared" si="10"/>
        <v>34.785499999999999</v>
      </c>
      <c r="P23" s="15">
        <f t="shared" si="11"/>
        <v>34.785499999999999</v>
      </c>
      <c r="Q23" s="24">
        <f t="shared" si="44"/>
        <v>34.785499999999999</v>
      </c>
      <c r="R23" s="16">
        <f t="shared" si="45"/>
        <v>24.349849999999996</v>
      </c>
      <c r="S23" s="18">
        <f t="shared" si="12"/>
        <v>34.785499999999999</v>
      </c>
      <c r="T23" s="18">
        <f t="shared" si="13"/>
        <v>34.785499999999999</v>
      </c>
      <c r="U23" s="24">
        <f t="shared" si="14"/>
        <v>34.785499999999999</v>
      </c>
      <c r="V23" s="24">
        <f t="shared" si="15"/>
        <v>34.785499999999999</v>
      </c>
      <c r="W23" s="24">
        <f t="shared" si="16"/>
        <v>34.785499999999999</v>
      </c>
      <c r="X23" s="24">
        <f t="shared" si="46"/>
        <v>96</v>
      </c>
      <c r="Y23" s="15">
        <f t="shared" si="47"/>
        <v>336</v>
      </c>
      <c r="Z23" s="15">
        <f t="shared" si="17"/>
        <v>96</v>
      </c>
      <c r="AA23" s="24">
        <f t="shared" si="18"/>
        <v>96</v>
      </c>
      <c r="AB23" s="18">
        <f t="shared" si="19"/>
        <v>96</v>
      </c>
      <c r="AC23" s="14">
        <f t="shared" si="20"/>
        <v>256.32</v>
      </c>
      <c r="AD23" s="18">
        <f t="shared" si="21"/>
        <v>96</v>
      </c>
      <c r="AE23" s="24">
        <f t="shared" si="22"/>
        <v>96</v>
      </c>
      <c r="AF23" s="24">
        <f t="shared" si="23"/>
        <v>96</v>
      </c>
      <c r="AG23" s="24">
        <f t="shared" si="24"/>
        <v>96</v>
      </c>
      <c r="AH23" s="17">
        <f t="shared" si="48"/>
        <v>280</v>
      </c>
      <c r="AI23" s="17">
        <f t="shared" si="25"/>
        <v>280</v>
      </c>
      <c r="AJ23" s="24">
        <f t="shared" si="26"/>
        <v>280</v>
      </c>
      <c r="AK23" s="24">
        <f t="shared" si="27"/>
        <v>280</v>
      </c>
      <c r="AL23" s="16">
        <f t="shared" si="28"/>
        <v>280</v>
      </c>
      <c r="AM23" s="24">
        <f t="shared" si="29"/>
        <v>280</v>
      </c>
      <c r="AN23" s="24">
        <f t="shared" si="30"/>
        <v>280</v>
      </c>
      <c r="AO23" s="24">
        <f t="shared" si="31"/>
        <v>280</v>
      </c>
      <c r="AP23" s="24">
        <f t="shared" si="32"/>
        <v>280</v>
      </c>
      <c r="AQ23" s="24">
        <f t="shared" si="33"/>
        <v>280</v>
      </c>
      <c r="AR23" s="16"/>
    </row>
    <row r="24" spans="1:44" x14ac:dyDescent="0.2">
      <c r="A24" t="s">
        <v>66</v>
      </c>
      <c r="B24" t="s">
        <v>7</v>
      </c>
      <c r="C24" t="str">
        <f t="shared" si="0"/>
        <v>A15_19_Smoker</v>
      </c>
      <c r="D24" s="24">
        <f>D3*4.4</f>
        <v>4.4000000000000004</v>
      </c>
      <c r="E24" s="15">
        <f t="shared" si="1"/>
        <v>4.4000000000000004</v>
      </c>
      <c r="F24" s="15">
        <f t="shared" si="2"/>
        <v>4.4000000000000004</v>
      </c>
      <c r="G24" s="24">
        <f t="shared" si="3"/>
        <v>4.4000000000000004</v>
      </c>
      <c r="H24" s="24">
        <f t="shared" si="4"/>
        <v>4.4000000000000004</v>
      </c>
      <c r="I24" s="18">
        <f t="shared" si="5"/>
        <v>4.4000000000000004</v>
      </c>
      <c r="J24" s="18">
        <f t="shared" si="6"/>
        <v>4.4000000000000004</v>
      </c>
      <c r="K24" s="24">
        <f t="shared" si="7"/>
        <v>4.4000000000000004</v>
      </c>
      <c r="L24" s="24">
        <f t="shared" si="8"/>
        <v>4.4000000000000004</v>
      </c>
      <c r="M24" s="24">
        <f t="shared" si="9"/>
        <v>4.4000000000000004</v>
      </c>
      <c r="N24" s="24">
        <f>N3*1.83</f>
        <v>5.3985000000000003</v>
      </c>
      <c r="O24" s="26">
        <f t="shared" si="10"/>
        <v>5.3985000000000003</v>
      </c>
      <c r="P24" s="15">
        <f t="shared" si="11"/>
        <v>5.3985000000000003</v>
      </c>
      <c r="Q24" s="24">
        <f>Q3*1.83</f>
        <v>5.3985000000000003</v>
      </c>
      <c r="R24" s="16">
        <f>R3*1.83</f>
        <v>3.77895</v>
      </c>
      <c r="S24" s="18">
        <f t="shared" si="12"/>
        <v>5.3985000000000003</v>
      </c>
      <c r="T24" s="18">
        <f t="shared" si="13"/>
        <v>5.3985000000000003</v>
      </c>
      <c r="U24" s="24">
        <f t="shared" si="14"/>
        <v>5.3985000000000003</v>
      </c>
      <c r="V24" s="24">
        <f t="shared" si="15"/>
        <v>5.3985000000000003</v>
      </c>
      <c r="W24" s="24">
        <f t="shared" si="16"/>
        <v>5.3985000000000003</v>
      </c>
      <c r="X24" s="24">
        <f>X3</f>
        <v>27</v>
      </c>
      <c r="Y24" s="15">
        <f>Y3*2.2</f>
        <v>207.9</v>
      </c>
      <c r="Z24" s="15">
        <f t="shared" si="17"/>
        <v>27</v>
      </c>
      <c r="AA24" s="24">
        <f t="shared" si="18"/>
        <v>27</v>
      </c>
      <c r="AB24" s="18">
        <f t="shared" si="19"/>
        <v>27</v>
      </c>
      <c r="AC24" s="14">
        <f t="shared" si="20"/>
        <v>72.09</v>
      </c>
      <c r="AD24" s="18">
        <f t="shared" si="21"/>
        <v>27</v>
      </c>
      <c r="AE24" s="24">
        <f t="shared" si="22"/>
        <v>27</v>
      </c>
      <c r="AF24" s="24">
        <f t="shared" si="23"/>
        <v>27</v>
      </c>
      <c r="AG24" s="24">
        <f t="shared" si="24"/>
        <v>27</v>
      </c>
      <c r="AH24" s="16">
        <f>AH3</f>
        <v>760</v>
      </c>
      <c r="AI24" s="17">
        <f t="shared" si="25"/>
        <v>760</v>
      </c>
      <c r="AJ24" s="24">
        <f t="shared" si="26"/>
        <v>760</v>
      </c>
      <c r="AK24" s="24">
        <f t="shared" si="27"/>
        <v>760</v>
      </c>
      <c r="AL24" s="16">
        <f t="shared" si="28"/>
        <v>760</v>
      </c>
      <c r="AM24" s="24">
        <f t="shared" si="29"/>
        <v>760</v>
      </c>
      <c r="AN24" s="24">
        <f t="shared" si="30"/>
        <v>760</v>
      </c>
      <c r="AO24" s="24">
        <f t="shared" si="31"/>
        <v>760</v>
      </c>
      <c r="AP24" s="24">
        <f t="shared" si="32"/>
        <v>760</v>
      </c>
      <c r="AQ24" s="24">
        <f t="shared" si="33"/>
        <v>760</v>
      </c>
      <c r="AR24" s="16"/>
    </row>
    <row r="25" spans="1:44" x14ac:dyDescent="0.2">
      <c r="A25" t="s">
        <v>67</v>
      </c>
      <c r="B25" t="s">
        <v>7</v>
      </c>
      <c r="C25" t="str">
        <f t="shared" si="0"/>
        <v>A20_24_Smoker</v>
      </c>
      <c r="D25" s="24">
        <f t="shared" ref="D25:D30" si="49">D4*4.4</f>
        <v>9.9</v>
      </c>
      <c r="E25" s="15">
        <f t="shared" si="1"/>
        <v>9.9</v>
      </c>
      <c r="F25" s="15">
        <f t="shared" si="2"/>
        <v>9.9</v>
      </c>
      <c r="G25" s="24">
        <f t="shared" si="3"/>
        <v>9.9</v>
      </c>
      <c r="H25" s="24">
        <f t="shared" si="4"/>
        <v>9.9</v>
      </c>
      <c r="I25" s="18">
        <f t="shared" si="5"/>
        <v>9.9</v>
      </c>
      <c r="J25" s="18">
        <f t="shared" si="6"/>
        <v>9.9</v>
      </c>
      <c r="K25" s="24">
        <f t="shared" si="7"/>
        <v>9.9</v>
      </c>
      <c r="L25" s="24">
        <f t="shared" si="8"/>
        <v>9.9</v>
      </c>
      <c r="M25" s="24">
        <f t="shared" si="9"/>
        <v>9.9</v>
      </c>
      <c r="N25" s="24">
        <f t="shared" ref="N25:N30" si="50">N4*1.83</f>
        <v>5.3985000000000003</v>
      </c>
      <c r="O25" s="26">
        <f t="shared" si="10"/>
        <v>5.3985000000000003</v>
      </c>
      <c r="P25" s="15">
        <f t="shared" si="11"/>
        <v>5.3985000000000003</v>
      </c>
      <c r="Q25" s="24">
        <f t="shared" ref="Q25:Q30" si="51">Q4*1.83</f>
        <v>5.3985000000000003</v>
      </c>
      <c r="R25" s="16">
        <f t="shared" ref="R25:R30" si="52">R4*1.83</f>
        <v>3.77895</v>
      </c>
      <c r="S25" s="18">
        <f t="shared" si="12"/>
        <v>5.3985000000000003</v>
      </c>
      <c r="T25" s="18">
        <f t="shared" si="13"/>
        <v>5.3985000000000003</v>
      </c>
      <c r="U25" s="24">
        <f t="shared" si="14"/>
        <v>5.3985000000000003</v>
      </c>
      <c r="V25" s="24">
        <f t="shared" si="15"/>
        <v>5.3985000000000003</v>
      </c>
      <c r="W25" s="24">
        <f t="shared" si="16"/>
        <v>5.3985000000000003</v>
      </c>
      <c r="X25" s="24">
        <f t="shared" ref="X25:X30" si="53">X4</f>
        <v>51</v>
      </c>
      <c r="Y25" s="15">
        <f t="shared" ref="Y25:Y30" si="54">Y4*2.2</f>
        <v>392.70000000000005</v>
      </c>
      <c r="Z25" s="15">
        <f t="shared" si="17"/>
        <v>51</v>
      </c>
      <c r="AA25" s="24">
        <f t="shared" si="18"/>
        <v>51</v>
      </c>
      <c r="AB25" s="18">
        <f t="shared" si="19"/>
        <v>51</v>
      </c>
      <c r="AC25" s="14">
        <f t="shared" si="20"/>
        <v>136.16999999999999</v>
      </c>
      <c r="AD25" s="18">
        <f t="shared" si="21"/>
        <v>51</v>
      </c>
      <c r="AE25" s="24">
        <f t="shared" si="22"/>
        <v>51</v>
      </c>
      <c r="AF25" s="24">
        <f t="shared" si="23"/>
        <v>51</v>
      </c>
      <c r="AG25" s="24">
        <f t="shared" si="24"/>
        <v>51</v>
      </c>
      <c r="AH25" s="16">
        <f t="shared" ref="AH25:AH30" si="55">AH4</f>
        <v>1010</v>
      </c>
      <c r="AI25" s="17">
        <f t="shared" si="25"/>
        <v>1010</v>
      </c>
      <c r="AJ25" s="24">
        <f t="shared" si="26"/>
        <v>1010</v>
      </c>
      <c r="AK25" s="24">
        <f t="shared" si="27"/>
        <v>1010</v>
      </c>
      <c r="AL25" s="16">
        <f t="shared" si="28"/>
        <v>1010</v>
      </c>
      <c r="AM25" s="24">
        <f t="shared" si="29"/>
        <v>1010</v>
      </c>
      <c r="AN25" s="24">
        <f t="shared" si="30"/>
        <v>1010</v>
      </c>
      <c r="AO25" s="24">
        <f t="shared" si="31"/>
        <v>1010</v>
      </c>
      <c r="AP25" s="24">
        <f t="shared" si="32"/>
        <v>1010</v>
      </c>
      <c r="AQ25" s="24">
        <f t="shared" si="33"/>
        <v>1010</v>
      </c>
      <c r="AR25" s="16"/>
    </row>
    <row r="26" spans="1:44" x14ac:dyDescent="0.2">
      <c r="A26" t="s">
        <v>21</v>
      </c>
      <c r="B26" t="s">
        <v>7</v>
      </c>
      <c r="C26" t="str">
        <f t="shared" si="0"/>
        <v>A24_29_Smoker</v>
      </c>
      <c r="D26" s="24">
        <f t="shared" si="49"/>
        <v>17.600000000000001</v>
      </c>
      <c r="E26" s="15">
        <f t="shared" si="1"/>
        <v>17.600000000000001</v>
      </c>
      <c r="F26" s="15">
        <f t="shared" si="2"/>
        <v>17.600000000000001</v>
      </c>
      <c r="G26" s="24">
        <f t="shared" si="3"/>
        <v>17.600000000000001</v>
      </c>
      <c r="H26" s="24">
        <f t="shared" si="4"/>
        <v>17.600000000000001</v>
      </c>
      <c r="I26" s="18">
        <f t="shared" si="5"/>
        <v>17.600000000000001</v>
      </c>
      <c r="J26" s="18">
        <f t="shared" si="6"/>
        <v>17.600000000000001</v>
      </c>
      <c r="K26" s="24">
        <f t="shared" si="7"/>
        <v>17.600000000000001</v>
      </c>
      <c r="L26" s="24">
        <f t="shared" si="8"/>
        <v>17.600000000000001</v>
      </c>
      <c r="M26" s="24">
        <f t="shared" si="9"/>
        <v>17.600000000000001</v>
      </c>
      <c r="N26" s="24">
        <f t="shared" si="50"/>
        <v>14.036100000000001</v>
      </c>
      <c r="O26" s="26">
        <f t="shared" si="10"/>
        <v>14.036100000000001</v>
      </c>
      <c r="P26" s="15">
        <f t="shared" si="11"/>
        <v>14.036100000000001</v>
      </c>
      <c r="Q26" s="24">
        <f t="shared" si="51"/>
        <v>14.036100000000001</v>
      </c>
      <c r="R26" s="16">
        <f t="shared" si="52"/>
        <v>9.8252699999999997</v>
      </c>
      <c r="S26" s="18">
        <f t="shared" si="12"/>
        <v>14.036100000000001</v>
      </c>
      <c r="T26" s="18">
        <f t="shared" si="13"/>
        <v>14.036100000000001</v>
      </c>
      <c r="U26" s="24">
        <f t="shared" si="14"/>
        <v>14.036100000000001</v>
      </c>
      <c r="V26" s="24">
        <f t="shared" si="15"/>
        <v>14.036100000000001</v>
      </c>
      <c r="W26" s="24">
        <f t="shared" si="16"/>
        <v>14.036100000000001</v>
      </c>
      <c r="X26" s="24">
        <f t="shared" si="53"/>
        <v>72</v>
      </c>
      <c r="Y26" s="15">
        <f t="shared" si="54"/>
        <v>554.40000000000009</v>
      </c>
      <c r="Z26" s="15">
        <f t="shared" si="17"/>
        <v>72</v>
      </c>
      <c r="AA26" s="24">
        <f t="shared" si="18"/>
        <v>72</v>
      </c>
      <c r="AB26" s="18">
        <f t="shared" si="19"/>
        <v>72</v>
      </c>
      <c r="AC26" s="14">
        <f t="shared" si="20"/>
        <v>192.24</v>
      </c>
      <c r="AD26" s="18">
        <f t="shared" si="21"/>
        <v>72</v>
      </c>
      <c r="AE26" s="24">
        <f t="shared" si="22"/>
        <v>72</v>
      </c>
      <c r="AF26" s="24">
        <f t="shared" si="23"/>
        <v>72</v>
      </c>
      <c r="AG26" s="24">
        <f t="shared" si="24"/>
        <v>72</v>
      </c>
      <c r="AH26" s="16">
        <f t="shared" si="55"/>
        <v>1010</v>
      </c>
      <c r="AI26" s="17">
        <f t="shared" si="25"/>
        <v>1010</v>
      </c>
      <c r="AJ26" s="24">
        <f t="shared" si="26"/>
        <v>1010</v>
      </c>
      <c r="AK26" s="24">
        <f t="shared" si="27"/>
        <v>1010</v>
      </c>
      <c r="AL26" s="16">
        <f t="shared" si="28"/>
        <v>1010</v>
      </c>
      <c r="AM26" s="24">
        <f t="shared" si="29"/>
        <v>1010</v>
      </c>
      <c r="AN26" s="24">
        <f t="shared" si="30"/>
        <v>1010</v>
      </c>
      <c r="AO26" s="24">
        <f t="shared" si="31"/>
        <v>1010</v>
      </c>
      <c r="AP26" s="24">
        <f t="shared" si="32"/>
        <v>1010</v>
      </c>
      <c r="AQ26" s="24">
        <f t="shared" si="33"/>
        <v>1010</v>
      </c>
      <c r="AR26" s="16"/>
    </row>
    <row r="27" spans="1:44" x14ac:dyDescent="0.2">
      <c r="A27" t="s">
        <v>68</v>
      </c>
      <c r="B27" t="s">
        <v>7</v>
      </c>
      <c r="C27" t="str">
        <f t="shared" si="0"/>
        <v>A30_34_Smoker</v>
      </c>
      <c r="D27" s="24">
        <f t="shared" si="49"/>
        <v>39.6</v>
      </c>
      <c r="E27" s="15">
        <f t="shared" si="1"/>
        <v>39.6</v>
      </c>
      <c r="F27" s="15">
        <f t="shared" si="2"/>
        <v>39.6</v>
      </c>
      <c r="G27" s="24">
        <f t="shared" si="3"/>
        <v>39.6</v>
      </c>
      <c r="H27" s="24">
        <f t="shared" si="4"/>
        <v>39.6</v>
      </c>
      <c r="I27" s="18">
        <f t="shared" si="5"/>
        <v>39.6</v>
      </c>
      <c r="J27" s="18">
        <f t="shared" si="6"/>
        <v>39.6</v>
      </c>
      <c r="K27" s="24">
        <f t="shared" si="7"/>
        <v>39.6</v>
      </c>
      <c r="L27" s="24">
        <f t="shared" si="8"/>
        <v>39.6</v>
      </c>
      <c r="M27" s="24">
        <f t="shared" si="9"/>
        <v>39.6</v>
      </c>
      <c r="N27" s="24">
        <f t="shared" si="50"/>
        <v>14.036100000000001</v>
      </c>
      <c r="O27" s="26">
        <f t="shared" si="10"/>
        <v>14.036100000000001</v>
      </c>
      <c r="P27" s="15">
        <f t="shared" si="11"/>
        <v>14.036100000000001</v>
      </c>
      <c r="Q27" s="24">
        <f t="shared" si="51"/>
        <v>14.036100000000001</v>
      </c>
      <c r="R27" s="16">
        <f t="shared" si="52"/>
        <v>9.8252699999999997</v>
      </c>
      <c r="S27" s="18">
        <f t="shared" si="12"/>
        <v>14.036100000000001</v>
      </c>
      <c r="T27" s="18">
        <f t="shared" si="13"/>
        <v>14.036100000000001</v>
      </c>
      <c r="U27" s="24">
        <f t="shared" si="14"/>
        <v>14.036100000000001</v>
      </c>
      <c r="V27" s="24">
        <f t="shared" si="15"/>
        <v>14.036100000000001</v>
      </c>
      <c r="W27" s="24">
        <f t="shared" si="16"/>
        <v>14.036100000000001</v>
      </c>
      <c r="X27" s="24">
        <f t="shared" si="53"/>
        <v>75</v>
      </c>
      <c r="Y27" s="15">
        <f t="shared" si="54"/>
        <v>577.5</v>
      </c>
      <c r="Z27" s="15">
        <f t="shared" si="17"/>
        <v>75</v>
      </c>
      <c r="AA27" s="24">
        <f t="shared" si="18"/>
        <v>75</v>
      </c>
      <c r="AB27" s="18">
        <f t="shared" si="19"/>
        <v>75</v>
      </c>
      <c r="AC27" s="14">
        <f t="shared" si="20"/>
        <v>200.25</v>
      </c>
      <c r="AD27" s="18">
        <f t="shared" si="21"/>
        <v>75</v>
      </c>
      <c r="AE27" s="24">
        <f t="shared" si="22"/>
        <v>75</v>
      </c>
      <c r="AF27" s="24">
        <f t="shared" si="23"/>
        <v>75</v>
      </c>
      <c r="AG27" s="24">
        <f t="shared" si="24"/>
        <v>75</v>
      </c>
      <c r="AH27" s="16">
        <f t="shared" si="55"/>
        <v>430</v>
      </c>
      <c r="AI27" s="17">
        <f t="shared" si="25"/>
        <v>430</v>
      </c>
      <c r="AJ27" s="24">
        <f t="shared" si="26"/>
        <v>430</v>
      </c>
      <c r="AK27" s="24">
        <f t="shared" si="27"/>
        <v>430</v>
      </c>
      <c r="AL27" s="16">
        <f t="shared" si="28"/>
        <v>430</v>
      </c>
      <c r="AM27" s="24">
        <f t="shared" si="29"/>
        <v>430</v>
      </c>
      <c r="AN27" s="24">
        <f t="shared" si="30"/>
        <v>430</v>
      </c>
      <c r="AO27" s="24">
        <f t="shared" si="31"/>
        <v>430</v>
      </c>
      <c r="AP27" s="24">
        <f t="shared" si="32"/>
        <v>430</v>
      </c>
      <c r="AQ27" s="24">
        <f t="shared" si="33"/>
        <v>430</v>
      </c>
      <c r="AR27" s="16"/>
    </row>
    <row r="28" spans="1:44" x14ac:dyDescent="0.2">
      <c r="A28" t="s">
        <v>69</v>
      </c>
      <c r="B28" t="s">
        <v>7</v>
      </c>
      <c r="C28" t="str">
        <f t="shared" si="0"/>
        <v>A35_39_Smoker</v>
      </c>
      <c r="D28" s="24">
        <f>D7*4.4</f>
        <v>96.800000000000011</v>
      </c>
      <c r="E28" s="15">
        <f t="shared" si="1"/>
        <v>96.800000000000011</v>
      </c>
      <c r="F28" s="15">
        <f t="shared" si="2"/>
        <v>96.800000000000011</v>
      </c>
      <c r="G28" s="24">
        <f t="shared" si="3"/>
        <v>96.800000000000011</v>
      </c>
      <c r="H28" s="24">
        <f t="shared" si="4"/>
        <v>96.800000000000011</v>
      </c>
      <c r="I28" s="18">
        <f t="shared" si="5"/>
        <v>96.800000000000011</v>
      </c>
      <c r="J28" s="18">
        <f t="shared" si="6"/>
        <v>96.800000000000011</v>
      </c>
      <c r="K28" s="24">
        <f t="shared" si="7"/>
        <v>96.800000000000011</v>
      </c>
      <c r="L28" s="24">
        <f t="shared" si="8"/>
        <v>96.800000000000011</v>
      </c>
      <c r="M28" s="24">
        <f t="shared" si="9"/>
        <v>96.800000000000011</v>
      </c>
      <c r="N28" s="24">
        <f t="shared" si="50"/>
        <v>43.901699999999998</v>
      </c>
      <c r="O28" s="26">
        <f t="shared" si="10"/>
        <v>43.901699999999998</v>
      </c>
      <c r="P28" s="15">
        <f t="shared" si="11"/>
        <v>43.901699999999998</v>
      </c>
      <c r="Q28" s="24">
        <f t="shared" si="51"/>
        <v>43.901699999999998</v>
      </c>
      <c r="R28" s="16">
        <f t="shared" si="52"/>
        <v>30.731190000000002</v>
      </c>
      <c r="S28" s="18">
        <f t="shared" si="12"/>
        <v>43.901699999999998</v>
      </c>
      <c r="T28" s="18">
        <f t="shared" si="13"/>
        <v>43.901699999999998</v>
      </c>
      <c r="U28" s="24">
        <f t="shared" si="14"/>
        <v>43.901699999999998</v>
      </c>
      <c r="V28" s="24">
        <f t="shared" si="15"/>
        <v>43.901699999999998</v>
      </c>
      <c r="W28" s="24">
        <f t="shared" si="16"/>
        <v>43.901699999999998</v>
      </c>
      <c r="X28" s="24">
        <f t="shared" si="53"/>
        <v>74</v>
      </c>
      <c r="Y28" s="15">
        <f t="shared" si="54"/>
        <v>569.80000000000007</v>
      </c>
      <c r="Z28" s="15">
        <f t="shared" si="17"/>
        <v>74</v>
      </c>
      <c r="AA28" s="24">
        <f t="shared" si="18"/>
        <v>74</v>
      </c>
      <c r="AB28" s="18">
        <f t="shared" si="19"/>
        <v>74</v>
      </c>
      <c r="AC28" s="14">
        <f t="shared" si="20"/>
        <v>197.57999999999998</v>
      </c>
      <c r="AD28" s="18">
        <f t="shared" si="21"/>
        <v>74</v>
      </c>
      <c r="AE28" s="24">
        <f t="shared" si="22"/>
        <v>74</v>
      </c>
      <c r="AF28" s="24">
        <f t="shared" si="23"/>
        <v>74</v>
      </c>
      <c r="AG28" s="24">
        <f t="shared" si="24"/>
        <v>74</v>
      </c>
      <c r="AH28" s="16">
        <f t="shared" si="55"/>
        <v>440.00000000000006</v>
      </c>
      <c r="AI28" s="17">
        <f t="shared" si="25"/>
        <v>440.00000000000006</v>
      </c>
      <c r="AJ28" s="24">
        <f t="shared" si="26"/>
        <v>440.00000000000006</v>
      </c>
      <c r="AK28" s="24">
        <f t="shared" si="27"/>
        <v>440.00000000000006</v>
      </c>
      <c r="AL28" s="16">
        <f t="shared" si="28"/>
        <v>440.00000000000006</v>
      </c>
      <c r="AM28" s="24">
        <f t="shared" si="29"/>
        <v>440.00000000000006</v>
      </c>
      <c r="AN28" s="24">
        <f t="shared" si="30"/>
        <v>440.00000000000006</v>
      </c>
      <c r="AO28" s="24">
        <f t="shared" si="31"/>
        <v>440.00000000000006</v>
      </c>
      <c r="AP28" s="24">
        <f t="shared" si="32"/>
        <v>440.00000000000006</v>
      </c>
      <c r="AQ28" s="24">
        <f t="shared" si="33"/>
        <v>440.00000000000006</v>
      </c>
      <c r="AR28" s="16"/>
    </row>
    <row r="29" spans="1:44" x14ac:dyDescent="0.2">
      <c r="A29" t="s">
        <v>70</v>
      </c>
      <c r="B29" t="s">
        <v>7</v>
      </c>
      <c r="C29" t="str">
        <f t="shared" si="0"/>
        <v>A40_44_Smoker</v>
      </c>
      <c r="D29" s="24">
        <f t="shared" si="49"/>
        <v>220.00000000000003</v>
      </c>
      <c r="E29" s="15">
        <f t="shared" si="1"/>
        <v>220.00000000000003</v>
      </c>
      <c r="F29" s="15">
        <f t="shared" si="2"/>
        <v>220.00000000000003</v>
      </c>
      <c r="G29" s="24">
        <f t="shared" si="3"/>
        <v>220.00000000000003</v>
      </c>
      <c r="H29" s="24">
        <f t="shared" si="4"/>
        <v>220.00000000000003</v>
      </c>
      <c r="I29" s="18">
        <f t="shared" si="5"/>
        <v>220.00000000000003</v>
      </c>
      <c r="J29" s="18">
        <f t="shared" si="6"/>
        <v>220.00000000000003</v>
      </c>
      <c r="K29" s="24">
        <f t="shared" si="7"/>
        <v>220.00000000000003</v>
      </c>
      <c r="L29" s="24">
        <f t="shared" si="8"/>
        <v>220.00000000000003</v>
      </c>
      <c r="M29" s="24">
        <f t="shared" si="9"/>
        <v>220.00000000000003</v>
      </c>
      <c r="N29" s="24">
        <f t="shared" si="50"/>
        <v>43.901699999999998</v>
      </c>
      <c r="O29" s="26">
        <f t="shared" si="10"/>
        <v>43.901699999999998</v>
      </c>
      <c r="P29" s="15">
        <f t="shared" si="11"/>
        <v>43.901699999999998</v>
      </c>
      <c r="Q29" s="24">
        <f t="shared" si="51"/>
        <v>43.901699999999998</v>
      </c>
      <c r="R29" s="16">
        <f t="shared" si="52"/>
        <v>30.731190000000002</v>
      </c>
      <c r="S29" s="18">
        <f t="shared" si="12"/>
        <v>43.901699999999998</v>
      </c>
      <c r="T29" s="18">
        <f t="shared" si="13"/>
        <v>43.901699999999998</v>
      </c>
      <c r="U29" s="24">
        <f t="shared" si="14"/>
        <v>43.901699999999998</v>
      </c>
      <c r="V29" s="24">
        <f t="shared" si="15"/>
        <v>43.901699999999998</v>
      </c>
      <c r="W29" s="24">
        <f t="shared" si="16"/>
        <v>43.901699999999998</v>
      </c>
      <c r="X29" s="24">
        <f t="shared" si="53"/>
        <v>84</v>
      </c>
      <c r="Y29" s="15">
        <f t="shared" si="54"/>
        <v>646.80000000000007</v>
      </c>
      <c r="Z29" s="15">
        <f t="shared" si="17"/>
        <v>84</v>
      </c>
      <c r="AA29" s="24">
        <f t="shared" si="18"/>
        <v>84</v>
      </c>
      <c r="AB29" s="18">
        <f t="shared" si="19"/>
        <v>84</v>
      </c>
      <c r="AC29" s="14">
        <f t="shared" si="20"/>
        <v>224.28</v>
      </c>
      <c r="AD29" s="18">
        <f t="shared" si="21"/>
        <v>84</v>
      </c>
      <c r="AE29" s="24">
        <f t="shared" si="22"/>
        <v>84</v>
      </c>
      <c r="AF29" s="24">
        <f t="shared" si="23"/>
        <v>84</v>
      </c>
      <c r="AG29" s="24">
        <f t="shared" si="24"/>
        <v>84</v>
      </c>
      <c r="AH29" s="16">
        <f t="shared" si="55"/>
        <v>280</v>
      </c>
      <c r="AI29" s="17">
        <f t="shared" si="25"/>
        <v>280</v>
      </c>
      <c r="AJ29" s="24">
        <f t="shared" si="26"/>
        <v>280</v>
      </c>
      <c r="AK29" s="24">
        <f t="shared" si="27"/>
        <v>280</v>
      </c>
      <c r="AL29" s="16">
        <f t="shared" si="28"/>
        <v>280</v>
      </c>
      <c r="AM29" s="24">
        <f t="shared" si="29"/>
        <v>280</v>
      </c>
      <c r="AN29" s="24">
        <f t="shared" si="30"/>
        <v>280</v>
      </c>
      <c r="AO29" s="24">
        <f t="shared" si="31"/>
        <v>280</v>
      </c>
      <c r="AP29" s="24">
        <f t="shared" si="32"/>
        <v>280</v>
      </c>
      <c r="AQ29" s="24">
        <f t="shared" si="33"/>
        <v>280</v>
      </c>
      <c r="AR29" s="16"/>
    </row>
    <row r="30" spans="1:44" x14ac:dyDescent="0.2">
      <c r="A30" t="s">
        <v>71</v>
      </c>
      <c r="B30" t="s">
        <v>7</v>
      </c>
      <c r="C30" t="str">
        <f t="shared" si="0"/>
        <v>A45_49_Smoker</v>
      </c>
      <c r="D30" s="24">
        <f t="shared" si="49"/>
        <v>387.20000000000005</v>
      </c>
      <c r="E30" s="15">
        <f t="shared" si="1"/>
        <v>387.20000000000005</v>
      </c>
      <c r="F30" s="15">
        <f t="shared" si="2"/>
        <v>387.20000000000005</v>
      </c>
      <c r="G30" s="24">
        <f t="shared" si="3"/>
        <v>387.20000000000005</v>
      </c>
      <c r="H30" s="24">
        <f t="shared" si="4"/>
        <v>387.20000000000005</v>
      </c>
      <c r="I30" s="18">
        <f t="shared" si="5"/>
        <v>387.20000000000005</v>
      </c>
      <c r="J30" s="18">
        <f t="shared" si="6"/>
        <v>387.20000000000005</v>
      </c>
      <c r="K30" s="24">
        <f t="shared" si="7"/>
        <v>387.20000000000005</v>
      </c>
      <c r="L30" s="24">
        <f t="shared" si="8"/>
        <v>387.20000000000005</v>
      </c>
      <c r="M30" s="24">
        <f t="shared" si="9"/>
        <v>387.20000000000005</v>
      </c>
      <c r="N30" s="24">
        <f t="shared" si="50"/>
        <v>43.901699999999998</v>
      </c>
      <c r="O30" s="26">
        <f t="shared" si="10"/>
        <v>43.901699999999998</v>
      </c>
      <c r="P30" s="15">
        <f t="shared" si="11"/>
        <v>43.901699999999998</v>
      </c>
      <c r="Q30" s="24">
        <f t="shared" si="51"/>
        <v>43.901699999999998</v>
      </c>
      <c r="R30" s="16">
        <f t="shared" si="52"/>
        <v>30.731190000000002</v>
      </c>
      <c r="S30" s="18">
        <f t="shared" si="12"/>
        <v>43.901699999999998</v>
      </c>
      <c r="T30" s="18">
        <f t="shared" si="13"/>
        <v>43.901699999999998</v>
      </c>
      <c r="U30" s="24">
        <f t="shared" si="14"/>
        <v>43.901699999999998</v>
      </c>
      <c r="V30" s="24">
        <f t="shared" si="15"/>
        <v>43.901699999999998</v>
      </c>
      <c r="W30" s="24">
        <f t="shared" si="16"/>
        <v>43.901699999999998</v>
      </c>
      <c r="X30" s="24">
        <f t="shared" si="53"/>
        <v>96</v>
      </c>
      <c r="Y30" s="15">
        <f t="shared" si="54"/>
        <v>739.2</v>
      </c>
      <c r="Z30" s="15">
        <f t="shared" si="17"/>
        <v>96</v>
      </c>
      <c r="AA30" s="24">
        <f t="shared" si="18"/>
        <v>96</v>
      </c>
      <c r="AB30" s="18">
        <f t="shared" si="19"/>
        <v>96</v>
      </c>
      <c r="AC30" s="14">
        <f t="shared" si="20"/>
        <v>256.32</v>
      </c>
      <c r="AD30" s="18">
        <f t="shared" si="21"/>
        <v>96</v>
      </c>
      <c r="AE30" s="24">
        <f t="shared" si="22"/>
        <v>96</v>
      </c>
      <c r="AF30" s="24">
        <f t="shared" si="23"/>
        <v>96</v>
      </c>
      <c r="AG30" s="24">
        <f t="shared" si="24"/>
        <v>96</v>
      </c>
      <c r="AH30" s="16">
        <f t="shared" si="55"/>
        <v>280</v>
      </c>
      <c r="AI30" s="17">
        <f t="shared" si="25"/>
        <v>280</v>
      </c>
      <c r="AJ30" s="24">
        <f t="shared" si="26"/>
        <v>280</v>
      </c>
      <c r="AK30" s="24">
        <f t="shared" si="27"/>
        <v>280</v>
      </c>
      <c r="AL30" s="16">
        <f t="shared" si="28"/>
        <v>280</v>
      </c>
      <c r="AM30" s="24">
        <f t="shared" si="29"/>
        <v>280</v>
      </c>
      <c r="AN30" s="24">
        <f t="shared" si="30"/>
        <v>280</v>
      </c>
      <c r="AO30" s="24">
        <f t="shared" si="31"/>
        <v>280</v>
      </c>
      <c r="AP30" s="24">
        <f t="shared" si="32"/>
        <v>280</v>
      </c>
      <c r="AQ30" s="24">
        <f t="shared" si="33"/>
        <v>280</v>
      </c>
      <c r="AR30" s="16"/>
    </row>
    <row r="31" spans="1:44" ht="17" x14ac:dyDescent="0.2">
      <c r="D31" t="s">
        <v>45</v>
      </c>
      <c r="E31" s="13" t="s">
        <v>55</v>
      </c>
      <c r="F31" s="13" t="s">
        <v>57</v>
      </c>
      <c r="G31" s="13" t="s">
        <v>36</v>
      </c>
      <c r="H31" s="13" t="s">
        <v>37</v>
      </c>
      <c r="I31" s="22"/>
      <c r="J31" s="22"/>
      <c r="N31" t="s">
        <v>43</v>
      </c>
      <c r="P31" s="21"/>
      <c r="X31" t="s">
        <v>33</v>
      </c>
      <c r="AH31" t="s">
        <v>44</v>
      </c>
    </row>
    <row r="32" spans="1:44" x14ac:dyDescent="0.2">
      <c r="O32" s="3" t="s">
        <v>31</v>
      </c>
      <c r="P32" s="3"/>
      <c r="AH32" t="s">
        <v>80</v>
      </c>
    </row>
    <row r="33" spans="1:6" x14ac:dyDescent="0.2">
      <c r="A33" s="3"/>
      <c r="B33" s="8" t="s">
        <v>62</v>
      </c>
      <c r="E33" s="3" t="s">
        <v>32</v>
      </c>
      <c r="F33" s="3"/>
    </row>
    <row r="34" spans="1:6" x14ac:dyDescent="0.2">
      <c r="A34" s="9"/>
      <c r="B34" s="8" t="s">
        <v>14</v>
      </c>
      <c r="E34" s="22"/>
      <c r="F34" s="22"/>
    </row>
    <row r="35" spans="1:6" x14ac:dyDescent="0.2">
      <c r="A35" s="10"/>
      <c r="B35" s="8" t="s">
        <v>15</v>
      </c>
    </row>
    <row r="36" spans="1:6" x14ac:dyDescent="0.2">
      <c r="A36" s="11"/>
      <c r="B36" s="8" t="s">
        <v>16</v>
      </c>
    </row>
    <row r="37" spans="1:6" x14ac:dyDescent="0.2">
      <c r="A37" s="25"/>
      <c r="B37" s="8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46"/>
  <sheetViews>
    <sheetView workbookViewId="0">
      <selection activeCell="K2" sqref="K2"/>
    </sheetView>
  </sheetViews>
  <sheetFormatPr baseColWidth="10" defaultColWidth="8.6640625" defaultRowHeight="15" x14ac:dyDescent="0.2"/>
  <cols>
    <col min="1" max="1" width="20.1640625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48</v>
      </c>
      <c r="F1" t="s">
        <v>27</v>
      </c>
      <c r="G1" s="22" t="s">
        <v>28</v>
      </c>
      <c r="H1" t="s">
        <v>38</v>
      </c>
      <c r="I1" t="s">
        <v>58</v>
      </c>
      <c r="J1" t="s">
        <v>59</v>
      </c>
      <c r="K1" t="s">
        <v>60</v>
      </c>
      <c r="L1" t="s">
        <v>61</v>
      </c>
      <c r="M1" t="s">
        <v>78</v>
      </c>
    </row>
    <row r="2" spans="1:13" x14ac:dyDescent="0.2">
      <c r="A2" s="44" t="s">
        <v>96</v>
      </c>
      <c r="B2" t="s">
        <v>66</v>
      </c>
      <c r="C2" s="36">
        <v>5.0000000000000001E-3</v>
      </c>
      <c r="D2" s="47">
        <v>7.8E-2</v>
      </c>
      <c r="E2" s="47">
        <v>7.8E-2</v>
      </c>
      <c r="F2" s="48">
        <v>2E-3</v>
      </c>
      <c r="G2" s="49">
        <v>8.0000000000000002E-3</v>
      </c>
      <c r="H2" s="48">
        <v>0.04</v>
      </c>
      <c r="I2" s="48">
        <v>5.0000000000000001E-4</v>
      </c>
      <c r="J2" s="47">
        <v>0.16</v>
      </c>
      <c r="K2" s="48">
        <v>0.21</v>
      </c>
      <c r="L2" s="36">
        <v>0.85</v>
      </c>
      <c r="M2" t="s">
        <v>79</v>
      </c>
    </row>
    <row r="3" spans="1:13" x14ac:dyDescent="0.2">
      <c r="A3" s="4"/>
      <c r="B3" t="s">
        <v>67</v>
      </c>
      <c r="C3" s="36">
        <v>5.0000000000000001E-3</v>
      </c>
      <c r="D3" s="47">
        <v>6.7000000000000004E-2</v>
      </c>
      <c r="E3" s="47">
        <v>6.7000000000000004E-2</v>
      </c>
      <c r="F3" s="48">
        <v>2E-3</v>
      </c>
      <c r="G3" s="49">
        <v>8.0000000000000002E-3</v>
      </c>
      <c r="H3" s="48">
        <v>0.04</v>
      </c>
      <c r="I3" s="48">
        <v>5.0000000000000001E-4</v>
      </c>
      <c r="J3" s="47">
        <v>0.14599999999999999</v>
      </c>
      <c r="K3" s="48">
        <v>0.21</v>
      </c>
      <c r="L3" s="36">
        <v>0.85</v>
      </c>
      <c r="M3" t="s">
        <v>52</v>
      </c>
    </row>
    <row r="4" spans="1:13" x14ac:dyDescent="0.2">
      <c r="A4" s="4"/>
      <c r="B4" t="s">
        <v>4</v>
      </c>
      <c r="C4" s="36">
        <v>5.0000000000000001E-3</v>
      </c>
      <c r="D4" s="47">
        <v>0.104</v>
      </c>
      <c r="E4" s="47">
        <v>0.104</v>
      </c>
      <c r="F4" s="48">
        <v>2E-3</v>
      </c>
      <c r="G4" s="49">
        <v>8.0000000000000002E-3</v>
      </c>
      <c r="H4" s="48">
        <v>0.04</v>
      </c>
      <c r="I4" s="48">
        <v>5.0000000000000001E-4</v>
      </c>
      <c r="J4" s="47">
        <v>0.12</v>
      </c>
      <c r="K4" s="48">
        <v>0.19800000000000001</v>
      </c>
      <c r="L4" s="36">
        <v>0.85</v>
      </c>
    </row>
    <row r="5" spans="1:13" x14ac:dyDescent="0.2">
      <c r="A5" s="4"/>
      <c r="B5" t="s">
        <v>68</v>
      </c>
      <c r="C5" s="36">
        <v>5.0000000000000001E-3</v>
      </c>
      <c r="D5" s="48">
        <v>4.1000000000000002E-2</v>
      </c>
      <c r="E5" s="48">
        <v>4.1000000000000002E-2</v>
      </c>
      <c r="F5" s="48">
        <v>2E-3</v>
      </c>
      <c r="G5" s="49">
        <v>8.0000000000000002E-3</v>
      </c>
      <c r="H5" s="48">
        <v>0.04</v>
      </c>
      <c r="I5" s="48">
        <v>5.0000000000000001E-4</v>
      </c>
      <c r="J5" s="48">
        <v>8.4000000000000005E-2</v>
      </c>
      <c r="K5" s="48">
        <v>0.17699999999999999</v>
      </c>
      <c r="L5" s="36">
        <v>0.85</v>
      </c>
    </row>
    <row r="6" spans="1:13" x14ac:dyDescent="0.2">
      <c r="A6" s="4"/>
      <c r="B6" t="s">
        <v>69</v>
      </c>
      <c r="C6" s="36">
        <v>5.0000000000000001E-3</v>
      </c>
      <c r="D6" s="48">
        <v>4.1000000000000002E-2</v>
      </c>
      <c r="E6" s="48">
        <v>4.1000000000000002E-2</v>
      </c>
      <c r="F6" s="48">
        <v>2E-3</v>
      </c>
      <c r="G6" s="49">
        <v>8.0000000000000002E-3</v>
      </c>
      <c r="H6" s="48">
        <v>0.04</v>
      </c>
      <c r="I6" s="48">
        <v>5.0000000000000001E-4</v>
      </c>
      <c r="J6" s="48">
        <v>8.4000000000000005E-2</v>
      </c>
      <c r="K6" s="48">
        <v>0.17699999999999999</v>
      </c>
      <c r="L6" s="36">
        <v>0.85</v>
      </c>
    </row>
    <row r="7" spans="1:13" x14ac:dyDescent="0.2">
      <c r="A7" s="4"/>
      <c r="B7" t="s">
        <v>70</v>
      </c>
      <c r="C7" s="36">
        <v>5.0000000000000001E-3</v>
      </c>
      <c r="D7" s="48">
        <v>4.1000000000000002E-2</v>
      </c>
      <c r="E7" s="48">
        <v>4.1000000000000002E-2</v>
      </c>
      <c r="F7" s="48">
        <v>2E-3</v>
      </c>
      <c r="G7" s="49">
        <v>8.0000000000000002E-3</v>
      </c>
      <c r="H7" s="48">
        <v>0.04</v>
      </c>
      <c r="I7" s="48">
        <v>5.0000000000000001E-4</v>
      </c>
      <c r="J7" s="48">
        <v>8.4000000000000005E-2</v>
      </c>
      <c r="K7" s="48">
        <v>0.17699999999999999</v>
      </c>
      <c r="L7" s="36">
        <v>0.85</v>
      </c>
    </row>
    <row r="8" spans="1:13" x14ac:dyDescent="0.2">
      <c r="A8" s="4"/>
      <c r="B8" t="s">
        <v>71</v>
      </c>
      <c r="C8" s="36">
        <v>5.0000000000000001E-3</v>
      </c>
      <c r="D8" s="48">
        <v>4.1000000000000002E-2</v>
      </c>
      <c r="E8" s="48">
        <v>4.1000000000000002E-2</v>
      </c>
      <c r="F8" s="48">
        <v>2E-3</v>
      </c>
      <c r="G8" s="49">
        <v>8.0000000000000002E-3</v>
      </c>
      <c r="H8" s="48">
        <v>0.04</v>
      </c>
      <c r="I8" s="48">
        <v>5.0000000000000001E-4</v>
      </c>
      <c r="J8" s="48">
        <v>8.4000000000000005E-2</v>
      </c>
      <c r="K8" s="48">
        <v>0.17699999999999999</v>
      </c>
      <c r="L8" s="36">
        <v>0.85</v>
      </c>
    </row>
    <row r="9" spans="1:13" x14ac:dyDescent="0.2">
      <c r="A9" s="20"/>
      <c r="B9" s="19" t="s">
        <v>66</v>
      </c>
      <c r="C9" s="35">
        <f>C2</f>
        <v>5.0000000000000001E-3</v>
      </c>
      <c r="D9" s="35">
        <f t="shared" ref="D9:L9" si="0">D2</f>
        <v>7.8E-2</v>
      </c>
      <c r="E9" s="35">
        <f t="shared" si="0"/>
        <v>7.8E-2</v>
      </c>
      <c r="F9" s="35">
        <f t="shared" si="0"/>
        <v>2E-3</v>
      </c>
      <c r="G9" s="35">
        <f t="shared" si="0"/>
        <v>8.0000000000000002E-3</v>
      </c>
      <c r="H9" s="35">
        <f t="shared" si="0"/>
        <v>0.04</v>
      </c>
      <c r="I9" s="35">
        <f t="shared" si="0"/>
        <v>5.0000000000000001E-4</v>
      </c>
      <c r="J9" s="35">
        <f t="shared" si="0"/>
        <v>0.16</v>
      </c>
      <c r="K9" s="35">
        <f t="shared" si="0"/>
        <v>0.21</v>
      </c>
      <c r="L9" s="35">
        <f t="shared" si="0"/>
        <v>0.85</v>
      </c>
    </row>
    <row r="10" spans="1:13" x14ac:dyDescent="0.2">
      <c r="A10" s="20"/>
      <c r="B10" s="19" t="s">
        <v>67</v>
      </c>
      <c r="C10" s="35">
        <f t="shared" ref="C10:L15" si="1">C3</f>
        <v>5.0000000000000001E-3</v>
      </c>
      <c r="D10" s="35">
        <f t="shared" si="1"/>
        <v>6.7000000000000004E-2</v>
      </c>
      <c r="E10" s="35">
        <f t="shared" si="1"/>
        <v>6.7000000000000004E-2</v>
      </c>
      <c r="F10" s="35">
        <f t="shared" si="1"/>
        <v>2E-3</v>
      </c>
      <c r="G10" s="35">
        <f t="shared" si="1"/>
        <v>8.0000000000000002E-3</v>
      </c>
      <c r="H10" s="35">
        <f t="shared" si="1"/>
        <v>0.04</v>
      </c>
      <c r="I10" s="35">
        <f t="shared" si="1"/>
        <v>5.0000000000000001E-4</v>
      </c>
      <c r="J10" s="35">
        <f t="shared" si="1"/>
        <v>0.14599999999999999</v>
      </c>
      <c r="K10" s="35">
        <f t="shared" si="1"/>
        <v>0.21</v>
      </c>
      <c r="L10" s="35">
        <f t="shared" si="1"/>
        <v>0.85</v>
      </c>
    </row>
    <row r="11" spans="1:13" x14ac:dyDescent="0.2">
      <c r="A11" s="20"/>
      <c r="B11" s="19" t="s">
        <v>4</v>
      </c>
      <c r="C11" s="35">
        <f t="shared" si="1"/>
        <v>5.0000000000000001E-3</v>
      </c>
      <c r="D11" s="35">
        <f t="shared" si="1"/>
        <v>0.104</v>
      </c>
      <c r="E11" s="35">
        <f t="shared" si="1"/>
        <v>0.104</v>
      </c>
      <c r="F11" s="35">
        <f t="shared" si="1"/>
        <v>2E-3</v>
      </c>
      <c r="G11" s="35">
        <f t="shared" si="1"/>
        <v>8.0000000000000002E-3</v>
      </c>
      <c r="H11" s="35">
        <f t="shared" si="1"/>
        <v>0.04</v>
      </c>
      <c r="I11" s="35">
        <f t="shared" si="1"/>
        <v>5.0000000000000001E-4</v>
      </c>
      <c r="J11" s="35">
        <f t="shared" si="1"/>
        <v>0.12</v>
      </c>
      <c r="K11" s="35">
        <f t="shared" si="1"/>
        <v>0.19800000000000001</v>
      </c>
      <c r="L11" s="35">
        <f t="shared" si="1"/>
        <v>0.85</v>
      </c>
    </row>
    <row r="12" spans="1:13" x14ac:dyDescent="0.2">
      <c r="A12" s="20"/>
      <c r="B12" s="19" t="s">
        <v>68</v>
      </c>
      <c r="C12" s="35">
        <f t="shared" si="1"/>
        <v>5.0000000000000001E-3</v>
      </c>
      <c r="D12" s="35">
        <f t="shared" si="1"/>
        <v>4.1000000000000002E-2</v>
      </c>
      <c r="E12" s="35">
        <f t="shared" si="1"/>
        <v>4.1000000000000002E-2</v>
      </c>
      <c r="F12" s="35">
        <f t="shared" si="1"/>
        <v>2E-3</v>
      </c>
      <c r="G12" s="35">
        <f t="shared" si="1"/>
        <v>8.0000000000000002E-3</v>
      </c>
      <c r="H12" s="35">
        <f t="shared" si="1"/>
        <v>0.04</v>
      </c>
      <c r="I12" s="35">
        <f t="shared" si="1"/>
        <v>5.0000000000000001E-4</v>
      </c>
      <c r="J12" s="35">
        <f t="shared" si="1"/>
        <v>8.4000000000000005E-2</v>
      </c>
      <c r="K12" s="35">
        <f t="shared" si="1"/>
        <v>0.17699999999999999</v>
      </c>
      <c r="L12" s="35">
        <f t="shared" si="1"/>
        <v>0.85</v>
      </c>
    </row>
    <row r="13" spans="1:13" x14ac:dyDescent="0.2">
      <c r="A13" s="20"/>
      <c r="B13" s="19" t="s">
        <v>69</v>
      </c>
      <c r="C13" s="35">
        <f t="shared" si="1"/>
        <v>5.0000000000000001E-3</v>
      </c>
      <c r="D13" s="35">
        <f t="shared" si="1"/>
        <v>4.1000000000000002E-2</v>
      </c>
      <c r="E13" s="35">
        <f t="shared" si="1"/>
        <v>4.1000000000000002E-2</v>
      </c>
      <c r="F13" s="35">
        <f t="shared" si="1"/>
        <v>2E-3</v>
      </c>
      <c r="G13" s="35">
        <f t="shared" si="1"/>
        <v>8.0000000000000002E-3</v>
      </c>
      <c r="H13" s="35">
        <f t="shared" si="1"/>
        <v>0.04</v>
      </c>
      <c r="I13" s="35">
        <f t="shared" si="1"/>
        <v>5.0000000000000001E-4</v>
      </c>
      <c r="J13" s="35">
        <f t="shared" si="1"/>
        <v>8.4000000000000005E-2</v>
      </c>
      <c r="K13" s="35">
        <f t="shared" si="1"/>
        <v>0.17699999999999999</v>
      </c>
      <c r="L13" s="35">
        <f t="shared" si="1"/>
        <v>0.85</v>
      </c>
    </row>
    <row r="14" spans="1:13" x14ac:dyDescent="0.2">
      <c r="A14" s="20"/>
      <c r="B14" s="19" t="s">
        <v>70</v>
      </c>
      <c r="C14" s="35">
        <f t="shared" si="1"/>
        <v>5.0000000000000001E-3</v>
      </c>
      <c r="D14" s="35">
        <f t="shared" si="1"/>
        <v>4.1000000000000002E-2</v>
      </c>
      <c r="E14" s="35">
        <f t="shared" si="1"/>
        <v>4.1000000000000002E-2</v>
      </c>
      <c r="F14" s="35">
        <f t="shared" si="1"/>
        <v>2E-3</v>
      </c>
      <c r="G14" s="35">
        <f t="shared" si="1"/>
        <v>8.0000000000000002E-3</v>
      </c>
      <c r="H14" s="35">
        <f t="shared" si="1"/>
        <v>0.04</v>
      </c>
      <c r="I14" s="35">
        <f t="shared" si="1"/>
        <v>5.0000000000000001E-4</v>
      </c>
      <c r="J14" s="35">
        <f t="shared" si="1"/>
        <v>8.4000000000000005E-2</v>
      </c>
      <c r="K14" s="35">
        <f t="shared" si="1"/>
        <v>0.17699999999999999</v>
      </c>
      <c r="L14" s="35">
        <f t="shared" si="1"/>
        <v>0.85</v>
      </c>
    </row>
    <row r="15" spans="1:13" x14ac:dyDescent="0.2">
      <c r="A15" s="20"/>
      <c r="B15" s="19" t="s">
        <v>71</v>
      </c>
      <c r="C15" s="35">
        <f t="shared" si="1"/>
        <v>5.0000000000000001E-3</v>
      </c>
      <c r="D15" s="35">
        <f t="shared" si="1"/>
        <v>4.1000000000000002E-2</v>
      </c>
      <c r="E15" s="35">
        <f t="shared" si="1"/>
        <v>4.1000000000000002E-2</v>
      </c>
      <c r="F15" s="35">
        <f t="shared" si="1"/>
        <v>2E-3</v>
      </c>
      <c r="G15" s="35">
        <f t="shared" si="1"/>
        <v>8.0000000000000002E-3</v>
      </c>
      <c r="H15" s="35">
        <f t="shared" si="1"/>
        <v>0.04</v>
      </c>
      <c r="I15" s="35">
        <f t="shared" si="1"/>
        <v>5.0000000000000001E-4</v>
      </c>
      <c r="J15" s="35">
        <f t="shared" si="1"/>
        <v>8.4000000000000005E-2</v>
      </c>
      <c r="K15" s="35">
        <f t="shared" si="1"/>
        <v>0.17699999999999999</v>
      </c>
      <c r="L15" s="35">
        <f t="shared" si="1"/>
        <v>0.85</v>
      </c>
    </row>
    <row r="16" spans="1:13" x14ac:dyDescent="0.2">
      <c r="A16" s="40"/>
      <c r="B16" s="41" t="s">
        <v>66</v>
      </c>
      <c r="C16" s="42">
        <f>C2</f>
        <v>5.0000000000000001E-3</v>
      </c>
      <c r="D16" s="42">
        <f t="shared" ref="D16:L16" si="2">D2</f>
        <v>7.8E-2</v>
      </c>
      <c r="E16" s="42">
        <f t="shared" si="2"/>
        <v>7.8E-2</v>
      </c>
      <c r="F16" s="42">
        <f t="shared" si="2"/>
        <v>2E-3</v>
      </c>
      <c r="G16" s="42">
        <f t="shared" si="2"/>
        <v>8.0000000000000002E-3</v>
      </c>
      <c r="H16" s="42">
        <f t="shared" si="2"/>
        <v>0.04</v>
      </c>
      <c r="I16" s="42">
        <f t="shared" si="2"/>
        <v>5.0000000000000001E-4</v>
      </c>
      <c r="J16" s="42">
        <f t="shared" si="2"/>
        <v>0.16</v>
      </c>
      <c r="K16" s="42">
        <f t="shared" si="2"/>
        <v>0.21</v>
      </c>
      <c r="L16" s="42">
        <f t="shared" si="2"/>
        <v>0.85</v>
      </c>
    </row>
    <row r="17" spans="1:12" x14ac:dyDescent="0.2">
      <c r="A17" s="40"/>
      <c r="B17" s="41" t="s">
        <v>67</v>
      </c>
      <c r="C17" s="42">
        <f t="shared" ref="C17:L17" si="3">C3</f>
        <v>5.0000000000000001E-3</v>
      </c>
      <c r="D17" s="42">
        <f t="shared" si="3"/>
        <v>6.7000000000000004E-2</v>
      </c>
      <c r="E17" s="42">
        <f t="shared" si="3"/>
        <v>6.7000000000000004E-2</v>
      </c>
      <c r="F17" s="42">
        <f t="shared" si="3"/>
        <v>2E-3</v>
      </c>
      <c r="G17" s="42">
        <f t="shared" si="3"/>
        <v>8.0000000000000002E-3</v>
      </c>
      <c r="H17" s="42">
        <f t="shared" si="3"/>
        <v>0.04</v>
      </c>
      <c r="I17" s="42">
        <f t="shared" si="3"/>
        <v>5.0000000000000001E-4</v>
      </c>
      <c r="J17" s="42">
        <f t="shared" si="3"/>
        <v>0.14599999999999999</v>
      </c>
      <c r="K17" s="42">
        <f t="shared" si="3"/>
        <v>0.21</v>
      </c>
      <c r="L17" s="42">
        <f t="shared" si="3"/>
        <v>0.85</v>
      </c>
    </row>
    <row r="18" spans="1:12" x14ac:dyDescent="0.2">
      <c r="A18" s="40"/>
      <c r="B18" s="41" t="s">
        <v>4</v>
      </c>
      <c r="C18" s="42">
        <f t="shared" ref="C18:L18" si="4">C4</f>
        <v>5.0000000000000001E-3</v>
      </c>
      <c r="D18" s="42">
        <f t="shared" si="4"/>
        <v>0.104</v>
      </c>
      <c r="E18" s="42">
        <f t="shared" si="4"/>
        <v>0.104</v>
      </c>
      <c r="F18" s="42">
        <f t="shared" si="4"/>
        <v>2E-3</v>
      </c>
      <c r="G18" s="42">
        <f t="shared" si="4"/>
        <v>8.0000000000000002E-3</v>
      </c>
      <c r="H18" s="42">
        <f t="shared" si="4"/>
        <v>0.04</v>
      </c>
      <c r="I18" s="42">
        <f t="shared" si="4"/>
        <v>5.0000000000000001E-4</v>
      </c>
      <c r="J18" s="42">
        <f t="shared" si="4"/>
        <v>0.12</v>
      </c>
      <c r="K18" s="42">
        <f t="shared" si="4"/>
        <v>0.19800000000000001</v>
      </c>
      <c r="L18" s="42">
        <f t="shared" si="4"/>
        <v>0.85</v>
      </c>
    </row>
    <row r="19" spans="1:12" x14ac:dyDescent="0.2">
      <c r="A19" s="40"/>
      <c r="B19" s="41" t="s">
        <v>68</v>
      </c>
      <c r="C19" s="42">
        <f t="shared" ref="C19:L19" si="5">C5</f>
        <v>5.0000000000000001E-3</v>
      </c>
      <c r="D19" s="42">
        <f t="shared" si="5"/>
        <v>4.1000000000000002E-2</v>
      </c>
      <c r="E19" s="42">
        <f t="shared" si="5"/>
        <v>4.1000000000000002E-2</v>
      </c>
      <c r="F19" s="42">
        <f t="shared" si="5"/>
        <v>2E-3</v>
      </c>
      <c r="G19" s="42">
        <f t="shared" si="5"/>
        <v>8.0000000000000002E-3</v>
      </c>
      <c r="H19" s="42">
        <f t="shared" si="5"/>
        <v>0.04</v>
      </c>
      <c r="I19" s="42">
        <f t="shared" si="5"/>
        <v>5.0000000000000001E-4</v>
      </c>
      <c r="J19" s="42">
        <f t="shared" si="5"/>
        <v>8.4000000000000005E-2</v>
      </c>
      <c r="K19" s="42">
        <f t="shared" si="5"/>
        <v>0.17699999999999999</v>
      </c>
      <c r="L19" s="42">
        <f t="shared" si="5"/>
        <v>0.85</v>
      </c>
    </row>
    <row r="20" spans="1:12" x14ac:dyDescent="0.2">
      <c r="A20" s="40"/>
      <c r="B20" s="41" t="s">
        <v>69</v>
      </c>
      <c r="C20" s="42">
        <f t="shared" ref="C20:L20" si="6">C6</f>
        <v>5.0000000000000001E-3</v>
      </c>
      <c r="D20" s="42">
        <f t="shared" si="6"/>
        <v>4.1000000000000002E-2</v>
      </c>
      <c r="E20" s="42">
        <f t="shared" si="6"/>
        <v>4.1000000000000002E-2</v>
      </c>
      <c r="F20" s="42">
        <f t="shared" si="6"/>
        <v>2E-3</v>
      </c>
      <c r="G20" s="42">
        <f t="shared" si="6"/>
        <v>8.0000000000000002E-3</v>
      </c>
      <c r="H20" s="42">
        <f t="shared" si="6"/>
        <v>0.04</v>
      </c>
      <c r="I20" s="42">
        <f t="shared" si="6"/>
        <v>5.0000000000000001E-4</v>
      </c>
      <c r="J20" s="42">
        <f t="shared" si="6"/>
        <v>8.4000000000000005E-2</v>
      </c>
      <c r="K20" s="42">
        <f t="shared" si="6"/>
        <v>0.17699999999999999</v>
      </c>
      <c r="L20" s="42">
        <f t="shared" si="6"/>
        <v>0.85</v>
      </c>
    </row>
    <row r="21" spans="1:12" x14ac:dyDescent="0.2">
      <c r="A21" s="40"/>
      <c r="B21" s="41" t="s">
        <v>70</v>
      </c>
      <c r="C21" s="42">
        <f t="shared" ref="C21:L21" si="7">C7</f>
        <v>5.0000000000000001E-3</v>
      </c>
      <c r="D21" s="42">
        <f t="shared" si="7"/>
        <v>4.1000000000000002E-2</v>
      </c>
      <c r="E21" s="42">
        <f t="shared" si="7"/>
        <v>4.1000000000000002E-2</v>
      </c>
      <c r="F21" s="42">
        <f t="shared" si="7"/>
        <v>2E-3</v>
      </c>
      <c r="G21" s="42">
        <f t="shared" si="7"/>
        <v>8.0000000000000002E-3</v>
      </c>
      <c r="H21" s="42">
        <f t="shared" si="7"/>
        <v>0.04</v>
      </c>
      <c r="I21" s="42">
        <f t="shared" si="7"/>
        <v>5.0000000000000001E-4</v>
      </c>
      <c r="J21" s="42">
        <f t="shared" si="7"/>
        <v>8.4000000000000005E-2</v>
      </c>
      <c r="K21" s="42">
        <f t="shared" si="7"/>
        <v>0.17699999999999999</v>
      </c>
      <c r="L21" s="42">
        <f t="shared" si="7"/>
        <v>0.85</v>
      </c>
    </row>
    <row r="22" spans="1:12" x14ac:dyDescent="0.2">
      <c r="A22" s="40"/>
      <c r="B22" s="41" t="s">
        <v>71</v>
      </c>
      <c r="C22" s="42">
        <f t="shared" ref="C22:L22" si="8">C8</f>
        <v>5.0000000000000001E-3</v>
      </c>
      <c r="D22" s="42">
        <f t="shared" si="8"/>
        <v>4.1000000000000002E-2</v>
      </c>
      <c r="E22" s="42">
        <f t="shared" si="8"/>
        <v>4.1000000000000002E-2</v>
      </c>
      <c r="F22" s="42">
        <f t="shared" si="8"/>
        <v>2E-3</v>
      </c>
      <c r="G22" s="42">
        <f t="shared" si="8"/>
        <v>8.0000000000000002E-3</v>
      </c>
      <c r="H22" s="42">
        <f t="shared" si="8"/>
        <v>0.04</v>
      </c>
      <c r="I22" s="42">
        <f t="shared" si="8"/>
        <v>5.0000000000000001E-4</v>
      </c>
      <c r="J22" s="42">
        <f t="shared" si="8"/>
        <v>8.4000000000000005E-2</v>
      </c>
      <c r="K22" s="42">
        <f t="shared" si="8"/>
        <v>0.17699999999999999</v>
      </c>
      <c r="L22" s="42">
        <f t="shared" si="8"/>
        <v>0.85</v>
      </c>
    </row>
    <row r="23" spans="1:12" x14ac:dyDescent="0.2">
      <c r="A23" s="20"/>
      <c r="B23" s="19" t="s">
        <v>66</v>
      </c>
      <c r="C23" s="35">
        <f>C2</f>
        <v>5.0000000000000001E-3</v>
      </c>
      <c r="D23" s="35">
        <f t="shared" ref="D23:L23" si="9">D2</f>
        <v>7.8E-2</v>
      </c>
      <c r="E23" s="35">
        <f t="shared" si="9"/>
        <v>7.8E-2</v>
      </c>
      <c r="F23" s="35">
        <f t="shared" si="9"/>
        <v>2E-3</v>
      </c>
      <c r="G23" s="35">
        <f t="shared" si="9"/>
        <v>8.0000000000000002E-3</v>
      </c>
      <c r="H23" s="35">
        <f t="shared" si="9"/>
        <v>0.04</v>
      </c>
      <c r="I23" s="35">
        <f t="shared" si="9"/>
        <v>5.0000000000000001E-4</v>
      </c>
      <c r="J23" s="35">
        <f t="shared" si="9"/>
        <v>0.16</v>
      </c>
      <c r="K23" s="35">
        <f t="shared" si="9"/>
        <v>0.21</v>
      </c>
      <c r="L23" s="35">
        <f t="shared" si="9"/>
        <v>0.85</v>
      </c>
    </row>
    <row r="24" spans="1:12" x14ac:dyDescent="0.2">
      <c r="A24" s="20"/>
      <c r="B24" s="19" t="s">
        <v>67</v>
      </c>
      <c r="C24" s="35">
        <f t="shared" ref="C24:L24" si="10">C3</f>
        <v>5.0000000000000001E-3</v>
      </c>
      <c r="D24" s="35">
        <f t="shared" si="10"/>
        <v>6.7000000000000004E-2</v>
      </c>
      <c r="E24" s="35">
        <f t="shared" si="10"/>
        <v>6.7000000000000004E-2</v>
      </c>
      <c r="F24" s="35">
        <f t="shared" si="10"/>
        <v>2E-3</v>
      </c>
      <c r="G24" s="35">
        <f t="shared" si="10"/>
        <v>8.0000000000000002E-3</v>
      </c>
      <c r="H24" s="35">
        <f t="shared" si="10"/>
        <v>0.04</v>
      </c>
      <c r="I24" s="35">
        <f t="shared" si="10"/>
        <v>5.0000000000000001E-4</v>
      </c>
      <c r="J24" s="35">
        <f t="shared" si="10"/>
        <v>0.14599999999999999</v>
      </c>
      <c r="K24" s="35">
        <f t="shared" si="10"/>
        <v>0.21</v>
      </c>
      <c r="L24" s="35">
        <f t="shared" si="10"/>
        <v>0.85</v>
      </c>
    </row>
    <row r="25" spans="1:12" x14ac:dyDescent="0.2">
      <c r="A25" s="20"/>
      <c r="B25" s="19" t="s">
        <v>4</v>
      </c>
      <c r="C25" s="35">
        <f t="shared" ref="C25:L25" si="11">C4</f>
        <v>5.0000000000000001E-3</v>
      </c>
      <c r="D25" s="35">
        <f t="shared" si="11"/>
        <v>0.104</v>
      </c>
      <c r="E25" s="35">
        <f t="shared" si="11"/>
        <v>0.104</v>
      </c>
      <c r="F25" s="35">
        <f t="shared" si="11"/>
        <v>2E-3</v>
      </c>
      <c r="G25" s="35">
        <f t="shared" si="11"/>
        <v>8.0000000000000002E-3</v>
      </c>
      <c r="H25" s="35">
        <f t="shared" si="11"/>
        <v>0.04</v>
      </c>
      <c r="I25" s="35">
        <f t="shared" si="11"/>
        <v>5.0000000000000001E-4</v>
      </c>
      <c r="J25" s="35">
        <f t="shared" si="11"/>
        <v>0.12</v>
      </c>
      <c r="K25" s="35">
        <f t="shared" si="11"/>
        <v>0.19800000000000001</v>
      </c>
      <c r="L25" s="35">
        <f t="shared" si="11"/>
        <v>0.85</v>
      </c>
    </row>
    <row r="26" spans="1:12" x14ac:dyDescent="0.2">
      <c r="A26" s="20"/>
      <c r="B26" s="19" t="s">
        <v>68</v>
      </c>
      <c r="C26" s="35">
        <f t="shared" ref="C26:L26" si="12">C5</f>
        <v>5.0000000000000001E-3</v>
      </c>
      <c r="D26" s="35">
        <f t="shared" si="12"/>
        <v>4.1000000000000002E-2</v>
      </c>
      <c r="E26" s="35">
        <f t="shared" si="12"/>
        <v>4.1000000000000002E-2</v>
      </c>
      <c r="F26" s="35">
        <f t="shared" si="12"/>
        <v>2E-3</v>
      </c>
      <c r="G26" s="35">
        <f t="shared" si="12"/>
        <v>8.0000000000000002E-3</v>
      </c>
      <c r="H26" s="35">
        <f t="shared" si="12"/>
        <v>0.04</v>
      </c>
      <c r="I26" s="35">
        <f t="shared" si="12"/>
        <v>5.0000000000000001E-4</v>
      </c>
      <c r="J26" s="35">
        <f t="shared" si="12"/>
        <v>8.4000000000000005E-2</v>
      </c>
      <c r="K26" s="35">
        <f t="shared" si="12"/>
        <v>0.17699999999999999</v>
      </c>
      <c r="L26" s="35">
        <f t="shared" si="12"/>
        <v>0.85</v>
      </c>
    </row>
    <row r="27" spans="1:12" x14ac:dyDescent="0.2">
      <c r="A27" s="20"/>
      <c r="B27" s="19" t="s">
        <v>69</v>
      </c>
      <c r="C27" s="35">
        <f t="shared" ref="C27:L27" si="13">C6</f>
        <v>5.0000000000000001E-3</v>
      </c>
      <c r="D27" s="35">
        <f t="shared" si="13"/>
        <v>4.1000000000000002E-2</v>
      </c>
      <c r="E27" s="35">
        <f t="shared" si="13"/>
        <v>4.1000000000000002E-2</v>
      </c>
      <c r="F27" s="35">
        <f t="shared" si="13"/>
        <v>2E-3</v>
      </c>
      <c r="G27" s="35">
        <f t="shared" si="13"/>
        <v>8.0000000000000002E-3</v>
      </c>
      <c r="H27" s="35">
        <f t="shared" si="13"/>
        <v>0.04</v>
      </c>
      <c r="I27" s="35">
        <f t="shared" si="13"/>
        <v>5.0000000000000001E-4</v>
      </c>
      <c r="J27" s="35">
        <f t="shared" si="13"/>
        <v>8.4000000000000005E-2</v>
      </c>
      <c r="K27" s="35">
        <f t="shared" si="13"/>
        <v>0.17699999999999999</v>
      </c>
      <c r="L27" s="35">
        <f t="shared" si="13"/>
        <v>0.85</v>
      </c>
    </row>
    <row r="28" spans="1:12" x14ac:dyDescent="0.2">
      <c r="A28" s="20"/>
      <c r="B28" s="19" t="s">
        <v>70</v>
      </c>
      <c r="C28" s="35">
        <f t="shared" ref="C28:L28" si="14">C7</f>
        <v>5.0000000000000001E-3</v>
      </c>
      <c r="D28" s="35">
        <f t="shared" si="14"/>
        <v>4.1000000000000002E-2</v>
      </c>
      <c r="E28" s="35">
        <f t="shared" si="14"/>
        <v>4.1000000000000002E-2</v>
      </c>
      <c r="F28" s="35">
        <f t="shared" si="14"/>
        <v>2E-3</v>
      </c>
      <c r="G28" s="35">
        <f t="shared" si="14"/>
        <v>8.0000000000000002E-3</v>
      </c>
      <c r="H28" s="35">
        <f t="shared" si="14"/>
        <v>0.04</v>
      </c>
      <c r="I28" s="35">
        <f t="shared" si="14"/>
        <v>5.0000000000000001E-4</v>
      </c>
      <c r="J28" s="35">
        <f t="shared" si="14"/>
        <v>8.4000000000000005E-2</v>
      </c>
      <c r="K28" s="35">
        <f t="shared" si="14"/>
        <v>0.17699999999999999</v>
      </c>
      <c r="L28" s="35">
        <f t="shared" si="14"/>
        <v>0.85</v>
      </c>
    </row>
    <row r="29" spans="1:12" x14ac:dyDescent="0.2">
      <c r="A29" s="20"/>
      <c r="B29" s="19" t="s">
        <v>71</v>
      </c>
      <c r="C29" s="35">
        <f t="shared" ref="C29:L29" si="15">C8</f>
        <v>5.0000000000000001E-3</v>
      </c>
      <c r="D29" s="35">
        <f t="shared" si="15"/>
        <v>4.1000000000000002E-2</v>
      </c>
      <c r="E29" s="35">
        <f t="shared" si="15"/>
        <v>4.1000000000000002E-2</v>
      </c>
      <c r="F29" s="35">
        <f t="shared" si="15"/>
        <v>2E-3</v>
      </c>
      <c r="G29" s="35">
        <f t="shared" si="15"/>
        <v>8.0000000000000002E-3</v>
      </c>
      <c r="H29" s="35">
        <f t="shared" si="15"/>
        <v>0.04</v>
      </c>
      <c r="I29" s="35">
        <f t="shared" si="15"/>
        <v>5.0000000000000001E-4</v>
      </c>
      <c r="J29" s="35">
        <f t="shared" si="15"/>
        <v>8.4000000000000005E-2</v>
      </c>
      <c r="K29" s="35">
        <f t="shared" si="15"/>
        <v>0.17699999999999999</v>
      </c>
      <c r="L29" s="35">
        <f t="shared" si="15"/>
        <v>0.85</v>
      </c>
    </row>
    <row r="30" spans="1:12" x14ac:dyDescent="0.2">
      <c r="A30" s="40"/>
      <c r="B30" s="41" t="s">
        <v>66</v>
      </c>
      <c r="C30" s="42">
        <f>C2</f>
        <v>5.0000000000000001E-3</v>
      </c>
      <c r="D30" s="42">
        <f t="shared" ref="D30:L30" si="16">D2</f>
        <v>7.8E-2</v>
      </c>
      <c r="E30" s="42">
        <f t="shared" si="16"/>
        <v>7.8E-2</v>
      </c>
      <c r="F30" s="42">
        <f t="shared" si="16"/>
        <v>2E-3</v>
      </c>
      <c r="G30" s="42">
        <f t="shared" si="16"/>
        <v>8.0000000000000002E-3</v>
      </c>
      <c r="H30" s="42">
        <f t="shared" si="16"/>
        <v>0.04</v>
      </c>
      <c r="I30" s="42">
        <f t="shared" si="16"/>
        <v>5.0000000000000001E-4</v>
      </c>
      <c r="J30" s="42">
        <f t="shared" si="16"/>
        <v>0.16</v>
      </c>
      <c r="K30" s="42">
        <f t="shared" si="16"/>
        <v>0.21</v>
      </c>
      <c r="L30" s="42">
        <f t="shared" si="16"/>
        <v>0.85</v>
      </c>
    </row>
    <row r="31" spans="1:12" x14ac:dyDescent="0.2">
      <c r="A31" s="40"/>
      <c r="B31" s="41" t="s">
        <v>67</v>
      </c>
      <c r="C31" s="42">
        <f t="shared" ref="C31:L31" si="17">C3</f>
        <v>5.0000000000000001E-3</v>
      </c>
      <c r="D31" s="42">
        <f t="shared" si="17"/>
        <v>6.7000000000000004E-2</v>
      </c>
      <c r="E31" s="42">
        <f t="shared" si="17"/>
        <v>6.7000000000000004E-2</v>
      </c>
      <c r="F31" s="42">
        <f t="shared" si="17"/>
        <v>2E-3</v>
      </c>
      <c r="G31" s="42">
        <f t="shared" si="17"/>
        <v>8.0000000000000002E-3</v>
      </c>
      <c r="H31" s="42">
        <f t="shared" si="17"/>
        <v>0.04</v>
      </c>
      <c r="I31" s="42">
        <f t="shared" si="17"/>
        <v>5.0000000000000001E-4</v>
      </c>
      <c r="J31" s="42">
        <f t="shared" si="17"/>
        <v>0.14599999999999999</v>
      </c>
      <c r="K31" s="42">
        <f t="shared" si="17"/>
        <v>0.21</v>
      </c>
      <c r="L31" s="42">
        <f t="shared" si="17"/>
        <v>0.85</v>
      </c>
    </row>
    <row r="32" spans="1:12" x14ac:dyDescent="0.2">
      <c r="A32" s="40"/>
      <c r="B32" s="41" t="s">
        <v>4</v>
      </c>
      <c r="C32" s="42">
        <f t="shared" ref="C32:L32" si="18">C4</f>
        <v>5.0000000000000001E-3</v>
      </c>
      <c r="D32" s="42">
        <f t="shared" si="18"/>
        <v>0.104</v>
      </c>
      <c r="E32" s="42">
        <f t="shared" si="18"/>
        <v>0.104</v>
      </c>
      <c r="F32" s="42">
        <f t="shared" si="18"/>
        <v>2E-3</v>
      </c>
      <c r="G32" s="42">
        <f t="shared" si="18"/>
        <v>8.0000000000000002E-3</v>
      </c>
      <c r="H32" s="42">
        <f t="shared" si="18"/>
        <v>0.04</v>
      </c>
      <c r="I32" s="42">
        <f t="shared" si="18"/>
        <v>5.0000000000000001E-4</v>
      </c>
      <c r="J32" s="42">
        <f t="shared" si="18"/>
        <v>0.12</v>
      </c>
      <c r="K32" s="42">
        <f t="shared" si="18"/>
        <v>0.19800000000000001</v>
      </c>
      <c r="L32" s="42">
        <f t="shared" si="18"/>
        <v>0.85</v>
      </c>
    </row>
    <row r="33" spans="1:12" x14ac:dyDescent="0.2">
      <c r="A33" s="40"/>
      <c r="B33" s="41" t="s">
        <v>68</v>
      </c>
      <c r="C33" s="42">
        <f t="shared" ref="C33:L33" si="19">C5</f>
        <v>5.0000000000000001E-3</v>
      </c>
      <c r="D33" s="42">
        <f t="shared" si="19"/>
        <v>4.1000000000000002E-2</v>
      </c>
      <c r="E33" s="42">
        <f t="shared" si="19"/>
        <v>4.1000000000000002E-2</v>
      </c>
      <c r="F33" s="42">
        <f t="shared" si="19"/>
        <v>2E-3</v>
      </c>
      <c r="G33" s="42">
        <f t="shared" si="19"/>
        <v>8.0000000000000002E-3</v>
      </c>
      <c r="H33" s="42">
        <f t="shared" si="19"/>
        <v>0.04</v>
      </c>
      <c r="I33" s="42">
        <f t="shared" si="19"/>
        <v>5.0000000000000001E-4</v>
      </c>
      <c r="J33" s="42">
        <f t="shared" si="19"/>
        <v>8.4000000000000005E-2</v>
      </c>
      <c r="K33" s="42">
        <f t="shared" si="19"/>
        <v>0.17699999999999999</v>
      </c>
      <c r="L33" s="42">
        <f t="shared" si="19"/>
        <v>0.85</v>
      </c>
    </row>
    <row r="34" spans="1:12" x14ac:dyDescent="0.2">
      <c r="A34" s="40"/>
      <c r="B34" s="41" t="s">
        <v>69</v>
      </c>
      <c r="C34" s="42">
        <f t="shared" ref="C34:L34" si="20">C6</f>
        <v>5.0000000000000001E-3</v>
      </c>
      <c r="D34" s="42">
        <f t="shared" si="20"/>
        <v>4.1000000000000002E-2</v>
      </c>
      <c r="E34" s="42">
        <f t="shared" si="20"/>
        <v>4.1000000000000002E-2</v>
      </c>
      <c r="F34" s="42">
        <f t="shared" si="20"/>
        <v>2E-3</v>
      </c>
      <c r="G34" s="42">
        <f t="shared" si="20"/>
        <v>8.0000000000000002E-3</v>
      </c>
      <c r="H34" s="42">
        <f t="shared" si="20"/>
        <v>0.04</v>
      </c>
      <c r="I34" s="42">
        <f t="shared" si="20"/>
        <v>5.0000000000000001E-4</v>
      </c>
      <c r="J34" s="42">
        <f t="shared" si="20"/>
        <v>8.4000000000000005E-2</v>
      </c>
      <c r="K34" s="42">
        <f t="shared" si="20"/>
        <v>0.17699999999999999</v>
      </c>
      <c r="L34" s="42">
        <f t="shared" si="20"/>
        <v>0.85</v>
      </c>
    </row>
    <row r="35" spans="1:12" x14ac:dyDescent="0.2">
      <c r="A35" s="40"/>
      <c r="B35" s="41" t="s">
        <v>70</v>
      </c>
      <c r="C35" s="42">
        <f t="shared" ref="C35:L35" si="21">C7</f>
        <v>5.0000000000000001E-3</v>
      </c>
      <c r="D35" s="42">
        <f t="shared" si="21"/>
        <v>4.1000000000000002E-2</v>
      </c>
      <c r="E35" s="42">
        <f t="shared" si="21"/>
        <v>4.1000000000000002E-2</v>
      </c>
      <c r="F35" s="42">
        <f t="shared" si="21"/>
        <v>2E-3</v>
      </c>
      <c r="G35" s="42">
        <f t="shared" si="21"/>
        <v>8.0000000000000002E-3</v>
      </c>
      <c r="H35" s="42">
        <f t="shared" si="21"/>
        <v>0.04</v>
      </c>
      <c r="I35" s="42">
        <f t="shared" si="21"/>
        <v>5.0000000000000001E-4</v>
      </c>
      <c r="J35" s="42">
        <f t="shared" si="21"/>
        <v>8.4000000000000005E-2</v>
      </c>
      <c r="K35" s="42">
        <f t="shared" si="21"/>
        <v>0.17699999999999999</v>
      </c>
      <c r="L35" s="42">
        <f t="shared" si="21"/>
        <v>0.85</v>
      </c>
    </row>
    <row r="36" spans="1:12" x14ac:dyDescent="0.2">
      <c r="A36" s="40"/>
      <c r="B36" s="41" t="s">
        <v>71</v>
      </c>
      <c r="C36" s="42">
        <f t="shared" ref="C36:L36" si="22">C8</f>
        <v>5.0000000000000001E-3</v>
      </c>
      <c r="D36" s="42">
        <f t="shared" si="22"/>
        <v>4.1000000000000002E-2</v>
      </c>
      <c r="E36" s="42">
        <f t="shared" si="22"/>
        <v>4.1000000000000002E-2</v>
      </c>
      <c r="F36" s="42">
        <f t="shared" si="22"/>
        <v>2E-3</v>
      </c>
      <c r="G36" s="42">
        <f t="shared" si="22"/>
        <v>8.0000000000000002E-3</v>
      </c>
      <c r="H36" s="42">
        <f t="shared" si="22"/>
        <v>0.04</v>
      </c>
      <c r="I36" s="42">
        <f t="shared" si="22"/>
        <v>5.0000000000000001E-4</v>
      </c>
      <c r="J36" s="42">
        <f t="shared" si="22"/>
        <v>8.4000000000000005E-2</v>
      </c>
      <c r="K36" s="42">
        <f t="shared" si="22"/>
        <v>0.17699999999999999</v>
      </c>
      <c r="L36" s="42">
        <f t="shared" si="22"/>
        <v>0.85</v>
      </c>
    </row>
    <row r="37" spans="1:12" x14ac:dyDescent="0.2">
      <c r="A37" s="22"/>
      <c r="E37" t="s">
        <v>49</v>
      </c>
    </row>
    <row r="39" spans="1:12" x14ac:dyDescent="0.2">
      <c r="A39" s="3"/>
      <c r="B39" s="8" t="s">
        <v>62</v>
      </c>
    </row>
    <row r="40" spans="1:12" x14ac:dyDescent="0.2">
      <c r="A40" s="9"/>
      <c r="B40" s="8" t="s">
        <v>14</v>
      </c>
    </row>
    <row r="41" spans="1:12" x14ac:dyDescent="0.2">
      <c r="A41" s="10"/>
      <c r="B41" s="8" t="s">
        <v>15</v>
      </c>
    </row>
    <row r="42" spans="1:12" x14ac:dyDescent="0.2">
      <c r="A42" s="11"/>
      <c r="B42" s="8" t="s">
        <v>16</v>
      </c>
    </row>
    <row r="43" spans="1:12" x14ac:dyDescent="0.2">
      <c r="A43" s="25"/>
      <c r="B43" s="8" t="s">
        <v>53</v>
      </c>
    </row>
    <row r="44" spans="1:12" x14ac:dyDescent="0.2">
      <c r="A44" s="22"/>
      <c r="B44" s="8"/>
    </row>
    <row r="45" spans="1:12" x14ac:dyDescent="0.2">
      <c r="A45" s="22"/>
      <c r="B45" s="22"/>
      <c r="C45" s="22"/>
      <c r="D45" s="22"/>
    </row>
    <row r="46" spans="1:12" x14ac:dyDescent="0.2">
      <c r="B46" s="3" t="s">
        <v>83</v>
      </c>
      <c r="C46" s="3"/>
      <c r="D46" s="3"/>
      <c r="E46" s="3"/>
      <c r="F46" s="3"/>
      <c r="G46" s="3"/>
      <c r="H4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M40"/>
  <sheetViews>
    <sheetView zoomScale="117" zoomScaleNormal="58" zoomScalePageLayoutView="58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baseColWidth="10" defaultColWidth="8.6640625" defaultRowHeight="15" x14ac:dyDescent="0.2"/>
  <cols>
    <col min="3" max="3" width="15.6640625" customWidth="1"/>
    <col min="4" max="4" width="18.33203125" customWidth="1"/>
    <col min="5" max="5" width="12.1640625" customWidth="1"/>
    <col min="6" max="6" width="17.33203125" customWidth="1"/>
    <col min="7" max="7" width="23.5" customWidth="1"/>
    <col min="8" max="8" width="19.1640625" customWidth="1"/>
    <col min="9" max="9" width="14.83203125" customWidth="1"/>
    <col min="10" max="10" width="15" customWidth="1"/>
    <col min="11" max="11" width="15.33203125" customWidth="1"/>
    <col min="31" max="31" width="14" customWidth="1"/>
  </cols>
  <sheetData>
    <row r="1" spans="1:13" ht="17" x14ac:dyDescent="0.2">
      <c r="D1" t="s">
        <v>18</v>
      </c>
      <c r="E1" t="s">
        <v>19</v>
      </c>
      <c r="F1" t="s">
        <v>20</v>
      </c>
      <c r="G1" t="s">
        <v>77</v>
      </c>
      <c r="H1" s="3" t="s">
        <v>1</v>
      </c>
      <c r="I1" s="3" t="s">
        <v>0</v>
      </c>
      <c r="J1" s="3" t="s">
        <v>2</v>
      </c>
      <c r="K1" s="3" t="s">
        <v>3</v>
      </c>
      <c r="L1" s="22"/>
      <c r="M1" s="51"/>
    </row>
    <row r="2" spans="1:13" x14ac:dyDescent="0.2">
      <c r="A2" t="s">
        <v>64</v>
      </c>
      <c r="B2" t="s">
        <v>65</v>
      </c>
      <c r="C2" t="s">
        <v>63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43" t="s">
        <v>95</v>
      </c>
      <c r="J2" s="43" t="s">
        <v>95</v>
      </c>
      <c r="K2" s="43" t="s">
        <v>95</v>
      </c>
    </row>
    <row r="3" spans="1:13" x14ac:dyDescent="0.2">
      <c r="A3" t="s">
        <v>66</v>
      </c>
      <c r="B3" s="12">
        <v>0</v>
      </c>
      <c r="C3" t="str">
        <f>CONCATENATE(A3,"_",B3)</f>
        <v>A15_19_0</v>
      </c>
      <c r="D3" s="5">
        <v>6.2</v>
      </c>
      <c r="E3" s="6">
        <v>30.3</v>
      </c>
      <c r="F3" s="6">
        <f>1.47*100</f>
        <v>147</v>
      </c>
      <c r="G3" s="33">
        <f>7.6*100</f>
        <v>760</v>
      </c>
      <c r="H3" s="56">
        <f>0.28*1000</f>
        <v>280</v>
      </c>
      <c r="I3" s="57">
        <f>0.91*100</f>
        <v>91</v>
      </c>
      <c r="J3" s="58">
        <f>H3*1.87</f>
        <v>523.6</v>
      </c>
      <c r="K3" s="58">
        <f>H3*1.87</f>
        <v>523.6</v>
      </c>
    </row>
    <row r="4" spans="1:13" x14ac:dyDescent="0.2">
      <c r="A4" t="s">
        <v>67</v>
      </c>
      <c r="B4" s="12">
        <v>0</v>
      </c>
      <c r="C4" t="str">
        <f t="shared" ref="C4:C30" si="0">CONCATENATE(A4,"_",B4)</f>
        <v>A20_24_0</v>
      </c>
      <c r="D4" s="6">
        <f>D3*2.3</f>
        <v>14.26</v>
      </c>
      <c r="E4" s="6">
        <v>26.3</v>
      </c>
      <c r="F4" s="6">
        <f>1.58*100</f>
        <v>158</v>
      </c>
      <c r="G4" s="33">
        <f>10.1*100</f>
        <v>1010</v>
      </c>
      <c r="H4" s="56">
        <f>0.44*1000</f>
        <v>440</v>
      </c>
      <c r="I4" s="57">
        <f>0.91*100</f>
        <v>91</v>
      </c>
      <c r="J4" s="58">
        <f t="shared" ref="J4:J10" si="1">H4*1.87</f>
        <v>822.80000000000007</v>
      </c>
      <c r="K4" s="58">
        <f t="shared" ref="K4:K30" si="2">H4*1.87</f>
        <v>822.80000000000007</v>
      </c>
    </row>
    <row r="5" spans="1:13" x14ac:dyDescent="0.2">
      <c r="A5" t="s">
        <v>4</v>
      </c>
      <c r="B5" s="12">
        <v>0</v>
      </c>
      <c r="C5" t="str">
        <f t="shared" si="0"/>
        <v>A24_29_0</v>
      </c>
      <c r="D5" s="6">
        <f>D3*4</f>
        <v>24.8</v>
      </c>
      <c r="E5" s="6">
        <v>26.3</v>
      </c>
      <c r="F5" s="6">
        <f>1.67*100</f>
        <v>167</v>
      </c>
      <c r="G5" s="33">
        <f>10.1*100</f>
        <v>1010</v>
      </c>
      <c r="H5" s="56">
        <f>0.53*1000</f>
        <v>530</v>
      </c>
      <c r="I5" s="57">
        <f>0.91*100</f>
        <v>91</v>
      </c>
      <c r="J5" s="58">
        <f t="shared" si="1"/>
        <v>991.1</v>
      </c>
      <c r="K5" s="58">
        <f t="shared" si="2"/>
        <v>991.1</v>
      </c>
    </row>
    <row r="6" spans="1:13" x14ac:dyDescent="0.2">
      <c r="A6" t="s">
        <v>68</v>
      </c>
      <c r="B6" s="12">
        <v>0</v>
      </c>
      <c r="C6" t="str">
        <f t="shared" si="0"/>
        <v>A30_34_0</v>
      </c>
      <c r="D6" s="6">
        <f>D3*8.8</f>
        <v>54.560000000000009</v>
      </c>
      <c r="E6" s="6">
        <v>35.299999999999997</v>
      </c>
      <c r="F6" s="6">
        <f>1.73*100</f>
        <v>173</v>
      </c>
      <c r="G6" s="33">
        <f>4.3*100</f>
        <v>430</v>
      </c>
      <c r="H6" s="56">
        <f>0.74*1000</f>
        <v>740</v>
      </c>
      <c r="I6" s="57">
        <f>0.48*100</f>
        <v>48</v>
      </c>
      <c r="J6" s="58">
        <f t="shared" si="1"/>
        <v>1383.8000000000002</v>
      </c>
      <c r="K6" s="58">
        <f t="shared" si="2"/>
        <v>1383.8000000000002</v>
      </c>
    </row>
    <row r="7" spans="1:13" x14ac:dyDescent="0.2">
      <c r="A7" t="s">
        <v>69</v>
      </c>
      <c r="B7" s="12">
        <v>0</v>
      </c>
      <c r="C7" t="str">
        <f t="shared" si="0"/>
        <v>A35_39_0</v>
      </c>
      <c r="D7" s="6">
        <f>D3*19</f>
        <v>117.8</v>
      </c>
      <c r="E7" s="6">
        <v>58.1</v>
      </c>
      <c r="F7" s="6">
        <f>2.13*100</f>
        <v>213</v>
      </c>
      <c r="G7" s="33">
        <f>4.4*100</f>
        <v>440.00000000000006</v>
      </c>
      <c r="H7" s="56">
        <f>0.99*1000</f>
        <v>990</v>
      </c>
      <c r="I7" s="57">
        <f>0.48*100</f>
        <v>48</v>
      </c>
      <c r="J7" s="58">
        <f t="shared" si="1"/>
        <v>1851.3000000000002</v>
      </c>
      <c r="K7" s="58">
        <f t="shared" si="2"/>
        <v>1851.3000000000002</v>
      </c>
    </row>
    <row r="8" spans="1:13" x14ac:dyDescent="0.2">
      <c r="A8" t="s">
        <v>70</v>
      </c>
      <c r="B8" s="12">
        <v>0</v>
      </c>
      <c r="C8" t="str">
        <f t="shared" si="0"/>
        <v>A40_44_0</v>
      </c>
      <c r="D8" s="6">
        <f>D3*30.2</f>
        <v>187.24</v>
      </c>
      <c r="E8" s="6">
        <v>90.5</v>
      </c>
      <c r="F8" s="6">
        <f>2.75*100</f>
        <v>275</v>
      </c>
      <c r="G8" s="33">
        <f>2.8*100</f>
        <v>280</v>
      </c>
      <c r="H8" s="56">
        <f>0.98*1000</f>
        <v>980</v>
      </c>
      <c r="I8" s="57">
        <f>0.48*100</f>
        <v>48</v>
      </c>
      <c r="J8" s="58">
        <f t="shared" si="1"/>
        <v>1832.6000000000001</v>
      </c>
      <c r="K8" s="58">
        <f t="shared" si="2"/>
        <v>1832.6000000000001</v>
      </c>
    </row>
    <row r="9" spans="1:13" x14ac:dyDescent="0.2">
      <c r="A9" t="s">
        <v>71</v>
      </c>
      <c r="B9" s="12">
        <v>0</v>
      </c>
      <c r="C9" t="str">
        <f t="shared" si="0"/>
        <v>A45_49_0</v>
      </c>
      <c r="D9" s="6">
        <f>D3*30.2</f>
        <v>187.24</v>
      </c>
      <c r="E9" s="6">
        <v>90.5</v>
      </c>
      <c r="F9" s="6">
        <f>2.75*100</f>
        <v>275</v>
      </c>
      <c r="G9" s="33">
        <f>2.8*100</f>
        <v>280</v>
      </c>
      <c r="H9" s="56">
        <f>0.98*1000</f>
        <v>980</v>
      </c>
      <c r="I9" s="57">
        <f>0.48*100</f>
        <v>48</v>
      </c>
      <c r="J9" s="58">
        <f t="shared" si="1"/>
        <v>1832.6000000000001</v>
      </c>
      <c r="K9" s="58">
        <f t="shared" si="2"/>
        <v>1832.6000000000001</v>
      </c>
    </row>
    <row r="10" spans="1:13" x14ac:dyDescent="0.2">
      <c r="A10" t="s">
        <v>66</v>
      </c>
      <c r="B10" t="s">
        <v>5</v>
      </c>
      <c r="C10" t="str">
        <f t="shared" si="0"/>
        <v>A15_19_Obesity</v>
      </c>
      <c r="D10" s="7">
        <f>D3*1</f>
        <v>6.2</v>
      </c>
      <c r="E10" s="7">
        <f>E3*1</f>
        <v>30.3</v>
      </c>
      <c r="F10" s="6">
        <f>F3*4.4</f>
        <v>646.80000000000007</v>
      </c>
      <c r="G10" s="32">
        <f>G3</f>
        <v>760</v>
      </c>
      <c r="H10" s="59">
        <f>H3</f>
        <v>280</v>
      </c>
      <c r="I10" s="57">
        <f>I3</f>
        <v>91</v>
      </c>
      <c r="J10" s="58">
        <f t="shared" si="1"/>
        <v>523.6</v>
      </c>
      <c r="K10" s="58">
        <f t="shared" si="2"/>
        <v>523.6</v>
      </c>
    </row>
    <row r="11" spans="1:13" x14ac:dyDescent="0.2">
      <c r="A11" t="s">
        <v>67</v>
      </c>
      <c r="B11" t="s">
        <v>5</v>
      </c>
      <c r="C11" t="str">
        <f t="shared" si="0"/>
        <v>A20_24_Obesity</v>
      </c>
      <c r="D11" s="7">
        <f t="shared" ref="D11:E16" si="3">D4*1</f>
        <v>14.26</v>
      </c>
      <c r="E11" s="7">
        <f t="shared" si="3"/>
        <v>26.3</v>
      </c>
      <c r="F11" s="6">
        <f t="shared" ref="F11:F16" si="4">F4*4.4</f>
        <v>695.2</v>
      </c>
      <c r="G11" s="32">
        <f t="shared" ref="G11:G16" si="5">G4</f>
        <v>1010</v>
      </c>
      <c r="H11" s="59">
        <f t="shared" ref="H11:I16" si="6">H4</f>
        <v>440</v>
      </c>
      <c r="I11" s="57">
        <f>I4</f>
        <v>91</v>
      </c>
      <c r="J11" s="58">
        <f t="shared" ref="J11:J23" si="7">H11*1.87</f>
        <v>822.80000000000007</v>
      </c>
      <c r="K11" s="58">
        <f t="shared" si="2"/>
        <v>822.80000000000007</v>
      </c>
    </row>
    <row r="12" spans="1:13" x14ac:dyDescent="0.2">
      <c r="A12" t="s">
        <v>17</v>
      </c>
      <c r="B12" t="s">
        <v>5</v>
      </c>
      <c r="C12" t="str">
        <f t="shared" si="0"/>
        <v>A24_29_Obesity</v>
      </c>
      <c r="D12" s="7">
        <f t="shared" si="3"/>
        <v>24.8</v>
      </c>
      <c r="E12" s="7">
        <f t="shared" si="3"/>
        <v>26.3</v>
      </c>
      <c r="F12" s="6">
        <f t="shared" si="4"/>
        <v>734.80000000000007</v>
      </c>
      <c r="G12" s="32">
        <f t="shared" si="5"/>
        <v>1010</v>
      </c>
      <c r="H12" s="59">
        <f t="shared" si="6"/>
        <v>530</v>
      </c>
      <c r="I12" s="57">
        <f t="shared" si="6"/>
        <v>91</v>
      </c>
      <c r="J12" s="58">
        <f t="shared" si="7"/>
        <v>991.1</v>
      </c>
      <c r="K12" s="58">
        <f t="shared" si="2"/>
        <v>991.1</v>
      </c>
    </row>
    <row r="13" spans="1:13" x14ac:dyDescent="0.2">
      <c r="A13" t="s">
        <v>68</v>
      </c>
      <c r="B13" t="s">
        <v>5</v>
      </c>
      <c r="C13" t="str">
        <f t="shared" si="0"/>
        <v>A30_34_Obesity</v>
      </c>
      <c r="D13" s="7">
        <f t="shared" si="3"/>
        <v>54.560000000000009</v>
      </c>
      <c r="E13" s="7">
        <f t="shared" si="3"/>
        <v>35.299999999999997</v>
      </c>
      <c r="F13" s="6">
        <f t="shared" si="4"/>
        <v>761.2</v>
      </c>
      <c r="G13" s="32">
        <f t="shared" si="5"/>
        <v>430</v>
      </c>
      <c r="H13" s="59">
        <f t="shared" si="6"/>
        <v>740</v>
      </c>
      <c r="I13" s="57">
        <f>I6</f>
        <v>48</v>
      </c>
      <c r="J13" s="58">
        <f t="shared" si="7"/>
        <v>1383.8000000000002</v>
      </c>
      <c r="K13" s="58">
        <f t="shared" si="2"/>
        <v>1383.8000000000002</v>
      </c>
    </row>
    <row r="14" spans="1:13" x14ac:dyDescent="0.2">
      <c r="A14" t="s">
        <v>69</v>
      </c>
      <c r="B14" t="s">
        <v>5</v>
      </c>
      <c r="C14" t="str">
        <f t="shared" si="0"/>
        <v>A35_39_Obesity</v>
      </c>
      <c r="D14" s="7">
        <f t="shared" si="3"/>
        <v>117.8</v>
      </c>
      <c r="E14" s="7">
        <f t="shared" si="3"/>
        <v>58.1</v>
      </c>
      <c r="F14" s="6">
        <f t="shared" si="4"/>
        <v>937.2</v>
      </c>
      <c r="G14" s="32">
        <f t="shared" si="5"/>
        <v>440.00000000000006</v>
      </c>
      <c r="H14" s="59">
        <f t="shared" si="6"/>
        <v>990</v>
      </c>
      <c r="I14" s="57">
        <f t="shared" si="6"/>
        <v>48</v>
      </c>
      <c r="J14" s="58">
        <f t="shared" si="7"/>
        <v>1851.3000000000002</v>
      </c>
      <c r="K14" s="58">
        <f t="shared" si="2"/>
        <v>1851.3000000000002</v>
      </c>
    </row>
    <row r="15" spans="1:13" x14ac:dyDescent="0.2">
      <c r="A15" t="s">
        <v>70</v>
      </c>
      <c r="B15" t="s">
        <v>5</v>
      </c>
      <c r="C15" t="str">
        <f t="shared" si="0"/>
        <v>A40_44_Obesity</v>
      </c>
      <c r="D15" s="7">
        <f t="shared" si="3"/>
        <v>187.24</v>
      </c>
      <c r="E15" s="7">
        <f t="shared" si="3"/>
        <v>90.5</v>
      </c>
      <c r="F15" s="6">
        <f t="shared" si="4"/>
        <v>1210</v>
      </c>
      <c r="G15" s="32">
        <f t="shared" si="5"/>
        <v>280</v>
      </c>
      <c r="H15" s="59">
        <f t="shared" si="6"/>
        <v>980</v>
      </c>
      <c r="I15" s="57">
        <f>I8</f>
        <v>48</v>
      </c>
      <c r="J15" s="58">
        <f t="shared" si="7"/>
        <v>1832.6000000000001</v>
      </c>
      <c r="K15" s="58">
        <f t="shared" si="2"/>
        <v>1832.6000000000001</v>
      </c>
    </row>
    <row r="16" spans="1:13" x14ac:dyDescent="0.2">
      <c r="A16" t="s">
        <v>71</v>
      </c>
      <c r="B16" t="s">
        <v>5</v>
      </c>
      <c r="C16" t="str">
        <f t="shared" si="0"/>
        <v>A45_49_Obesity</v>
      </c>
      <c r="D16" s="7">
        <f t="shared" si="3"/>
        <v>187.24</v>
      </c>
      <c r="E16" s="7">
        <f t="shared" si="3"/>
        <v>90.5</v>
      </c>
      <c r="F16" s="6">
        <f t="shared" si="4"/>
        <v>1210</v>
      </c>
      <c r="G16" s="32">
        <f t="shared" si="5"/>
        <v>280</v>
      </c>
      <c r="H16" s="59">
        <f t="shared" si="6"/>
        <v>980</v>
      </c>
      <c r="I16" s="57">
        <f>I9</f>
        <v>48</v>
      </c>
      <c r="J16" s="58">
        <f t="shared" si="7"/>
        <v>1832.6000000000001</v>
      </c>
      <c r="K16" s="58">
        <f t="shared" si="2"/>
        <v>1832.6000000000001</v>
      </c>
    </row>
    <row r="17" spans="1:11" x14ac:dyDescent="0.2">
      <c r="A17" t="s">
        <v>66</v>
      </c>
      <c r="B17" t="s">
        <v>6</v>
      </c>
      <c r="C17" t="str">
        <f t="shared" si="0"/>
        <v>A15_19_Htn</v>
      </c>
      <c r="D17" s="6">
        <f>D3*11.7</f>
        <v>72.539999999999992</v>
      </c>
      <c r="E17" s="6">
        <f>E3*6.1</f>
        <v>184.82999999999998</v>
      </c>
      <c r="F17" s="6">
        <f>F3*1.8</f>
        <v>264.60000000000002</v>
      </c>
      <c r="G17" s="33">
        <f>G3</f>
        <v>760</v>
      </c>
      <c r="H17" s="59">
        <f>H3</f>
        <v>280</v>
      </c>
      <c r="I17" s="57">
        <f>I3</f>
        <v>91</v>
      </c>
      <c r="J17" s="58">
        <f t="shared" si="7"/>
        <v>523.6</v>
      </c>
      <c r="K17" s="58">
        <f t="shared" si="2"/>
        <v>523.6</v>
      </c>
    </row>
    <row r="18" spans="1:11" x14ac:dyDescent="0.2">
      <c r="A18" t="s">
        <v>67</v>
      </c>
      <c r="B18" t="s">
        <v>6</v>
      </c>
      <c r="C18" t="str">
        <f t="shared" si="0"/>
        <v>A20_24_Htn</v>
      </c>
      <c r="D18" s="6">
        <f t="shared" ref="D18:D23" si="8">D4*11.7</f>
        <v>166.84199999999998</v>
      </c>
      <c r="E18" s="6">
        <f t="shared" ref="E18:E23" si="9">E4*6.1</f>
        <v>160.43</v>
      </c>
      <c r="F18" s="6">
        <f t="shared" ref="F18:F23" si="10">F4*1.8</f>
        <v>284.40000000000003</v>
      </c>
      <c r="G18" s="33">
        <f t="shared" ref="G18:G23" si="11">G4</f>
        <v>1010</v>
      </c>
      <c r="H18" s="59">
        <f t="shared" ref="H18:I22" si="12">H4</f>
        <v>440</v>
      </c>
      <c r="I18" s="57">
        <f>I4</f>
        <v>91</v>
      </c>
      <c r="J18" s="58">
        <f t="shared" si="7"/>
        <v>822.80000000000007</v>
      </c>
      <c r="K18" s="58">
        <f t="shared" si="2"/>
        <v>822.80000000000007</v>
      </c>
    </row>
    <row r="19" spans="1:11" x14ac:dyDescent="0.2">
      <c r="A19" t="s">
        <v>17</v>
      </c>
      <c r="B19" t="s">
        <v>6</v>
      </c>
      <c r="C19" t="str">
        <f t="shared" si="0"/>
        <v>A24_29_Htn</v>
      </c>
      <c r="D19" s="6">
        <f t="shared" si="8"/>
        <v>290.15999999999997</v>
      </c>
      <c r="E19" s="6">
        <f t="shared" si="9"/>
        <v>160.43</v>
      </c>
      <c r="F19" s="6">
        <f t="shared" si="10"/>
        <v>300.60000000000002</v>
      </c>
      <c r="G19" s="33">
        <f t="shared" si="11"/>
        <v>1010</v>
      </c>
      <c r="H19" s="59">
        <f t="shared" si="12"/>
        <v>530</v>
      </c>
      <c r="I19" s="57">
        <f t="shared" si="12"/>
        <v>91</v>
      </c>
      <c r="J19" s="58">
        <f t="shared" si="7"/>
        <v>991.1</v>
      </c>
      <c r="K19" s="58">
        <f>H19*1.87</f>
        <v>991.1</v>
      </c>
    </row>
    <row r="20" spans="1:11" x14ac:dyDescent="0.2">
      <c r="A20" t="s">
        <v>68</v>
      </c>
      <c r="B20" t="s">
        <v>6</v>
      </c>
      <c r="C20" t="str">
        <f t="shared" si="0"/>
        <v>A30_34_Htn</v>
      </c>
      <c r="D20" s="6">
        <f t="shared" si="8"/>
        <v>638.35200000000009</v>
      </c>
      <c r="E20" s="6">
        <f t="shared" si="9"/>
        <v>215.32999999999998</v>
      </c>
      <c r="F20" s="6">
        <f t="shared" si="10"/>
        <v>311.40000000000003</v>
      </c>
      <c r="G20" s="33">
        <f t="shared" si="11"/>
        <v>430</v>
      </c>
      <c r="H20" s="59">
        <f t="shared" si="12"/>
        <v>740</v>
      </c>
      <c r="I20" s="57">
        <f t="shared" si="12"/>
        <v>48</v>
      </c>
      <c r="J20" s="58">
        <f t="shared" si="7"/>
        <v>1383.8000000000002</v>
      </c>
      <c r="K20" s="58">
        <f t="shared" si="2"/>
        <v>1383.8000000000002</v>
      </c>
    </row>
    <row r="21" spans="1:11" x14ac:dyDescent="0.2">
      <c r="A21" t="s">
        <v>69</v>
      </c>
      <c r="B21" t="s">
        <v>6</v>
      </c>
      <c r="C21" t="str">
        <f t="shared" si="0"/>
        <v>A35_39_Htn</v>
      </c>
      <c r="D21" s="6">
        <f t="shared" si="8"/>
        <v>1378.26</v>
      </c>
      <c r="E21" s="6">
        <f t="shared" si="9"/>
        <v>354.40999999999997</v>
      </c>
      <c r="F21" s="6">
        <f t="shared" si="10"/>
        <v>383.40000000000003</v>
      </c>
      <c r="G21" s="33">
        <f t="shared" si="11"/>
        <v>440.00000000000006</v>
      </c>
      <c r="H21" s="59">
        <f t="shared" si="12"/>
        <v>990</v>
      </c>
      <c r="I21" s="57">
        <f t="shared" si="12"/>
        <v>48</v>
      </c>
      <c r="J21" s="58">
        <f t="shared" si="7"/>
        <v>1851.3000000000002</v>
      </c>
      <c r="K21" s="58">
        <f t="shared" si="2"/>
        <v>1851.3000000000002</v>
      </c>
    </row>
    <row r="22" spans="1:11" x14ac:dyDescent="0.2">
      <c r="A22" t="s">
        <v>70</v>
      </c>
      <c r="B22" t="s">
        <v>6</v>
      </c>
      <c r="C22" t="str">
        <f t="shared" si="0"/>
        <v>A40_44_Htn</v>
      </c>
      <c r="D22" s="6">
        <f t="shared" si="8"/>
        <v>2190.7080000000001</v>
      </c>
      <c r="E22" s="6">
        <f t="shared" si="9"/>
        <v>552.04999999999995</v>
      </c>
      <c r="F22" s="6">
        <f t="shared" si="10"/>
        <v>495</v>
      </c>
      <c r="G22" s="33">
        <f t="shared" si="11"/>
        <v>280</v>
      </c>
      <c r="H22" s="59">
        <f t="shared" si="12"/>
        <v>980</v>
      </c>
      <c r="I22" s="57">
        <f t="shared" si="12"/>
        <v>48</v>
      </c>
      <c r="J22" s="58">
        <f t="shared" si="7"/>
        <v>1832.6000000000001</v>
      </c>
      <c r="K22" s="58">
        <f t="shared" si="2"/>
        <v>1832.6000000000001</v>
      </c>
    </row>
    <row r="23" spans="1:11" x14ac:dyDescent="0.2">
      <c r="A23" t="s">
        <v>71</v>
      </c>
      <c r="B23" t="s">
        <v>6</v>
      </c>
      <c r="C23" t="str">
        <f t="shared" si="0"/>
        <v>A45_49_Htn</v>
      </c>
      <c r="D23" s="6">
        <f t="shared" si="8"/>
        <v>2190.7080000000001</v>
      </c>
      <c r="E23" s="6">
        <f t="shared" si="9"/>
        <v>552.04999999999995</v>
      </c>
      <c r="F23" s="6">
        <f t="shared" si="10"/>
        <v>495</v>
      </c>
      <c r="G23" s="33">
        <f t="shared" si="11"/>
        <v>280</v>
      </c>
      <c r="H23" s="59">
        <f>H9</f>
        <v>980</v>
      </c>
      <c r="I23" s="57">
        <f>I9</f>
        <v>48</v>
      </c>
      <c r="J23" s="58">
        <f t="shared" si="7"/>
        <v>1832.6000000000001</v>
      </c>
      <c r="K23" s="58">
        <f t="shared" si="2"/>
        <v>1832.6000000000001</v>
      </c>
    </row>
    <row r="24" spans="1:11" x14ac:dyDescent="0.2">
      <c r="A24" t="s">
        <v>66</v>
      </c>
      <c r="B24" t="s">
        <v>7</v>
      </c>
      <c r="C24" t="str">
        <f t="shared" si="0"/>
        <v>A15_19_Smoker</v>
      </c>
      <c r="D24" s="6">
        <f>D3*6.2</f>
        <v>38.440000000000005</v>
      </c>
      <c r="E24" s="6">
        <f>E3*1.9</f>
        <v>57.57</v>
      </c>
      <c r="F24" s="6">
        <f>F3*1.7</f>
        <v>249.9</v>
      </c>
      <c r="G24" s="33">
        <f>G3</f>
        <v>760</v>
      </c>
      <c r="H24" s="56">
        <f>H3*3.9</f>
        <v>1092</v>
      </c>
      <c r="I24" s="57">
        <f>I3*3.9</f>
        <v>354.9</v>
      </c>
      <c r="J24" s="58">
        <f>J3*3.9</f>
        <v>2042.04</v>
      </c>
      <c r="K24" s="58">
        <f>H24*1.87</f>
        <v>2042.0400000000002</v>
      </c>
    </row>
    <row r="25" spans="1:11" x14ac:dyDescent="0.2">
      <c r="A25" t="s">
        <v>67</v>
      </c>
      <c r="B25" t="s">
        <v>7</v>
      </c>
      <c r="C25" t="str">
        <f t="shared" si="0"/>
        <v>A20_24_Smoker</v>
      </c>
      <c r="D25" s="6">
        <f t="shared" ref="D25:D30" si="13">D4*6.2</f>
        <v>88.412000000000006</v>
      </c>
      <c r="E25" s="6">
        <f t="shared" ref="E25:E30" si="14">E4*1.9</f>
        <v>49.97</v>
      </c>
      <c r="F25" s="6">
        <f t="shared" ref="F25:F30" si="15">F4*1.7</f>
        <v>268.59999999999997</v>
      </c>
      <c r="G25" s="33">
        <f t="shared" ref="G25:G30" si="16">G4</f>
        <v>1010</v>
      </c>
      <c r="H25" s="56">
        <f>H4*3.9</f>
        <v>1716</v>
      </c>
      <c r="I25" s="57">
        <f t="shared" ref="H25:I30" si="17">I4*3.9</f>
        <v>354.9</v>
      </c>
      <c r="J25" s="58">
        <f t="shared" ref="J25:J30" si="18">J4*3.9</f>
        <v>3208.92</v>
      </c>
      <c r="K25" s="58">
        <f t="shared" si="2"/>
        <v>3208.92</v>
      </c>
    </row>
    <row r="26" spans="1:11" x14ac:dyDescent="0.2">
      <c r="A26" t="s">
        <v>17</v>
      </c>
      <c r="B26" t="s">
        <v>7</v>
      </c>
      <c r="C26" t="str">
        <f t="shared" si="0"/>
        <v>A24_29_Smoker</v>
      </c>
      <c r="D26" s="6">
        <f t="shared" si="13"/>
        <v>153.76000000000002</v>
      </c>
      <c r="E26" s="6">
        <f t="shared" si="14"/>
        <v>49.97</v>
      </c>
      <c r="F26" s="6">
        <f t="shared" si="15"/>
        <v>283.89999999999998</v>
      </c>
      <c r="G26" s="33">
        <f t="shared" si="16"/>
        <v>1010</v>
      </c>
      <c r="H26" s="56">
        <f t="shared" si="17"/>
        <v>2067</v>
      </c>
      <c r="I26" s="57">
        <f t="shared" si="17"/>
        <v>354.9</v>
      </c>
      <c r="J26" s="58">
        <f t="shared" si="18"/>
        <v>3865.29</v>
      </c>
      <c r="K26" s="58">
        <f>H26*1.87</f>
        <v>3865.2900000000004</v>
      </c>
    </row>
    <row r="27" spans="1:11" x14ac:dyDescent="0.2">
      <c r="A27" t="s">
        <v>68</v>
      </c>
      <c r="B27" t="s">
        <v>7</v>
      </c>
      <c r="C27" t="str">
        <f t="shared" si="0"/>
        <v>A30_34_Smoker</v>
      </c>
      <c r="D27" s="6">
        <f t="shared" si="13"/>
        <v>338.27200000000005</v>
      </c>
      <c r="E27" s="6">
        <f t="shared" si="14"/>
        <v>67.069999999999993</v>
      </c>
      <c r="F27" s="6">
        <f t="shared" si="15"/>
        <v>294.09999999999997</v>
      </c>
      <c r="G27" s="33">
        <f t="shared" si="16"/>
        <v>430</v>
      </c>
      <c r="H27" s="56">
        <f t="shared" si="17"/>
        <v>2886</v>
      </c>
      <c r="I27" s="57">
        <f t="shared" si="17"/>
        <v>187.2</v>
      </c>
      <c r="J27" s="58">
        <f t="shared" si="18"/>
        <v>5396.8200000000006</v>
      </c>
      <c r="K27" s="58">
        <f t="shared" si="2"/>
        <v>5396.8200000000006</v>
      </c>
    </row>
    <row r="28" spans="1:11" x14ac:dyDescent="0.2">
      <c r="A28" t="s">
        <v>69</v>
      </c>
      <c r="B28" t="s">
        <v>7</v>
      </c>
      <c r="C28" t="str">
        <f t="shared" si="0"/>
        <v>A35_39_Smoker</v>
      </c>
      <c r="D28" s="6">
        <f t="shared" si="13"/>
        <v>730.36</v>
      </c>
      <c r="E28" s="6">
        <f t="shared" si="14"/>
        <v>110.39</v>
      </c>
      <c r="F28" s="6">
        <f t="shared" si="15"/>
        <v>362.09999999999997</v>
      </c>
      <c r="G28" s="33">
        <f t="shared" si="16"/>
        <v>440.00000000000006</v>
      </c>
      <c r="H28" s="56">
        <f t="shared" si="17"/>
        <v>3861</v>
      </c>
      <c r="I28" s="57">
        <f t="shared" si="17"/>
        <v>187.2</v>
      </c>
      <c r="J28" s="58">
        <f t="shared" si="18"/>
        <v>7220.0700000000006</v>
      </c>
      <c r="K28" s="58">
        <f t="shared" si="2"/>
        <v>7220.0700000000006</v>
      </c>
    </row>
    <row r="29" spans="1:11" x14ac:dyDescent="0.2">
      <c r="A29" t="s">
        <v>70</v>
      </c>
      <c r="B29" t="s">
        <v>7</v>
      </c>
      <c r="C29" t="str">
        <f t="shared" si="0"/>
        <v>A40_44_Smoker</v>
      </c>
      <c r="D29" s="6">
        <f t="shared" si="13"/>
        <v>1160.8880000000001</v>
      </c>
      <c r="E29" s="6">
        <f t="shared" si="14"/>
        <v>171.95</v>
      </c>
      <c r="F29" s="6">
        <f t="shared" si="15"/>
        <v>467.5</v>
      </c>
      <c r="G29" s="33">
        <f t="shared" si="16"/>
        <v>280</v>
      </c>
      <c r="H29" s="56">
        <f t="shared" si="17"/>
        <v>3822</v>
      </c>
      <c r="I29" s="57">
        <f t="shared" si="17"/>
        <v>187.2</v>
      </c>
      <c r="J29" s="58">
        <f t="shared" si="18"/>
        <v>7147.14</v>
      </c>
      <c r="K29" s="58">
        <f t="shared" si="2"/>
        <v>7147.14</v>
      </c>
    </row>
    <row r="30" spans="1:11" x14ac:dyDescent="0.2">
      <c r="A30" t="s">
        <v>71</v>
      </c>
      <c r="B30" t="s">
        <v>7</v>
      </c>
      <c r="C30" t="str">
        <f t="shared" si="0"/>
        <v>A45_49_Smoker</v>
      </c>
      <c r="D30" s="6">
        <f t="shared" si="13"/>
        <v>1160.8880000000001</v>
      </c>
      <c r="E30" s="6">
        <f t="shared" si="14"/>
        <v>171.95</v>
      </c>
      <c r="F30" s="6">
        <f t="shared" si="15"/>
        <v>467.5</v>
      </c>
      <c r="G30" s="33">
        <f t="shared" si="16"/>
        <v>280</v>
      </c>
      <c r="H30" s="56">
        <f t="shared" si="17"/>
        <v>3822</v>
      </c>
      <c r="I30" s="57">
        <f t="shared" si="17"/>
        <v>187.2</v>
      </c>
      <c r="J30" s="58">
        <f t="shared" si="18"/>
        <v>7147.14</v>
      </c>
      <c r="K30" s="58">
        <f t="shared" si="2"/>
        <v>7147.14</v>
      </c>
    </row>
    <row r="31" spans="1:11" ht="17" x14ac:dyDescent="0.2">
      <c r="D31" s="13" t="s">
        <v>110</v>
      </c>
      <c r="F31" s="13" t="s">
        <v>109</v>
      </c>
      <c r="G31" s="13" t="s">
        <v>108</v>
      </c>
      <c r="H31" s="13" t="s">
        <v>106</v>
      </c>
      <c r="I31" s="22" t="s">
        <v>107</v>
      </c>
      <c r="J31" s="13" t="s">
        <v>103</v>
      </c>
      <c r="K31" s="13" t="s">
        <v>103</v>
      </c>
    </row>
    <row r="32" spans="1:11" x14ac:dyDescent="0.2">
      <c r="D32" s="3" t="s">
        <v>26</v>
      </c>
      <c r="E32" s="3"/>
      <c r="F32" t="s">
        <v>81</v>
      </c>
      <c r="G32" t="s">
        <v>81</v>
      </c>
      <c r="H32" s="22"/>
      <c r="I32" t="s">
        <v>81</v>
      </c>
      <c r="J32" s="60" t="s">
        <v>105</v>
      </c>
      <c r="K32" s="60"/>
    </row>
    <row r="33" spans="1:10" x14ac:dyDescent="0.2">
      <c r="G33" s="22"/>
      <c r="H33" t="s">
        <v>46</v>
      </c>
    </row>
    <row r="34" spans="1:10" x14ac:dyDescent="0.2">
      <c r="A34" s="3"/>
      <c r="B34" s="8" t="s">
        <v>62</v>
      </c>
      <c r="G34" s="22"/>
    </row>
    <row r="35" spans="1:10" ht="17" x14ac:dyDescent="0.2">
      <c r="A35" s="9"/>
      <c r="B35" s="8" t="s">
        <v>14</v>
      </c>
      <c r="G35" s="22"/>
      <c r="J35" s="13"/>
    </row>
    <row r="36" spans="1:10" x14ac:dyDescent="0.2">
      <c r="A36" s="10"/>
      <c r="B36" s="8" t="s">
        <v>15</v>
      </c>
    </row>
    <row r="37" spans="1:10" x14ac:dyDescent="0.2">
      <c r="A37" s="11"/>
      <c r="B37" s="8" t="s">
        <v>16</v>
      </c>
    </row>
    <row r="38" spans="1:10" x14ac:dyDescent="0.2">
      <c r="A38" s="34"/>
      <c r="B38" s="23" t="s">
        <v>47</v>
      </c>
    </row>
    <row r="40" spans="1:10" x14ac:dyDescent="0.2">
      <c r="H40" s="50"/>
    </row>
  </sheetData>
  <mergeCells count="1">
    <mergeCell ref="J32:K32"/>
  </mergeCells>
  <phoneticPr fontId="1" type="noConversion"/>
  <pageMargins left="0.7" right="0.7" top="0.75" bottom="0.75" header="0.3" footer="0.3"/>
  <pageSetup orientation="portrait" horizontalDpi="0" verticalDpi="0"/>
  <ignoredErrors>
    <ignoredError sqref="J11:J2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64"/>
  <sheetViews>
    <sheetView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H61" sqref="H61"/>
    </sheetView>
  </sheetViews>
  <sheetFormatPr baseColWidth="10" defaultColWidth="8.6640625" defaultRowHeight="15" x14ac:dyDescent="0.2"/>
  <cols>
    <col min="3" max="3" width="21.1640625" customWidth="1"/>
    <col min="4" max="4" width="9" customWidth="1"/>
    <col min="14" max="14" width="8.6640625" style="22"/>
  </cols>
  <sheetData>
    <row r="1" spans="1:17" x14ac:dyDescent="0.2">
      <c r="C1" t="s">
        <v>12</v>
      </c>
      <c r="E1" s="41">
        <v>9</v>
      </c>
      <c r="F1" s="3">
        <v>3</v>
      </c>
      <c r="G1" s="3">
        <v>2</v>
      </c>
      <c r="H1" s="3">
        <v>1.5</v>
      </c>
      <c r="O1" t="s">
        <v>25</v>
      </c>
      <c r="Q1" t="s">
        <v>23</v>
      </c>
    </row>
    <row r="2" spans="1:17" x14ac:dyDescent="0.2">
      <c r="A2" t="s">
        <v>64</v>
      </c>
      <c r="B2" t="s">
        <v>65</v>
      </c>
      <c r="C2" t="s">
        <v>63</v>
      </c>
      <c r="D2" t="s">
        <v>76</v>
      </c>
      <c r="E2" t="s">
        <v>9</v>
      </c>
      <c r="F2" t="s">
        <v>10</v>
      </c>
      <c r="G2" t="s">
        <v>11</v>
      </c>
      <c r="H2" t="s">
        <v>82</v>
      </c>
      <c r="I2" t="s">
        <v>9</v>
      </c>
      <c r="J2" t="s">
        <v>10</v>
      </c>
      <c r="K2" t="s">
        <v>11</v>
      </c>
      <c r="L2" t="s">
        <v>82</v>
      </c>
      <c r="M2" t="s">
        <v>50</v>
      </c>
      <c r="O2" t="s">
        <v>24</v>
      </c>
      <c r="Q2" t="s">
        <v>22</v>
      </c>
    </row>
    <row r="3" spans="1:17" x14ac:dyDescent="0.2">
      <c r="A3" t="s">
        <v>66</v>
      </c>
      <c r="B3" s="12">
        <v>0</v>
      </c>
      <c r="C3" t="str">
        <f>CONCATENATE(A3,"_",B3)</f>
        <v>A15_19_0</v>
      </c>
      <c r="D3" t="s">
        <v>13</v>
      </c>
      <c r="E3" s="29">
        <f t="shared" ref="E3:E9" si="0">(1-(H3+F3))*(1-O3)</f>
        <v>0.50653999999999999</v>
      </c>
      <c r="F3" s="38">
        <f>Q3</f>
        <v>0.18</v>
      </c>
      <c r="G3" s="29">
        <f t="shared" ref="G3:G9" si="1">(1-(F3+H3))*O3</f>
        <v>0.31045999999999996</v>
      </c>
      <c r="H3" s="52">
        <v>3.0000000000000001E-3</v>
      </c>
      <c r="I3" s="29">
        <f>E3*E$1</f>
        <v>4.5588600000000001</v>
      </c>
      <c r="J3" s="29">
        <f>F3*F$1</f>
        <v>0.54</v>
      </c>
      <c r="K3" s="29">
        <f>G3*G1</f>
        <v>0.62091999999999992</v>
      </c>
      <c r="L3" s="29">
        <f>H3*H$1</f>
        <v>4.5000000000000005E-3</v>
      </c>
      <c r="M3" s="29">
        <f>SUM(I3:L3)</f>
        <v>5.7242800000000003</v>
      </c>
      <c r="N3" s="29"/>
      <c r="O3">
        <v>0.38</v>
      </c>
      <c r="Q3" s="22">
        <v>0.18</v>
      </c>
    </row>
    <row r="4" spans="1:17" x14ac:dyDescent="0.2">
      <c r="A4" t="s">
        <v>67</v>
      </c>
      <c r="B4" s="12">
        <v>0</v>
      </c>
      <c r="C4" t="str">
        <f t="shared" ref="C4:C58" si="2">CONCATENATE(A4,"_",B4)</f>
        <v>A20_24_0</v>
      </c>
      <c r="D4" t="s">
        <v>13</v>
      </c>
      <c r="E4" s="29">
        <f t="shared" si="0"/>
        <v>0.48944000000000004</v>
      </c>
      <c r="F4" s="38">
        <f t="shared" ref="F4:F9" si="3">Q4</f>
        <v>0.122</v>
      </c>
      <c r="G4" s="29">
        <f t="shared" si="1"/>
        <v>0.38456000000000001</v>
      </c>
      <c r="H4" s="53">
        <v>4.0000000000000001E-3</v>
      </c>
      <c r="I4" s="29">
        <f>E4*E$1</f>
        <v>4.40496</v>
      </c>
      <c r="J4" s="29">
        <f t="shared" ref="J4:L30" si="4">F4*F$1</f>
        <v>0.36599999999999999</v>
      </c>
      <c r="K4" s="29">
        <f t="shared" ref="K4:L18" si="5">G4*G$1</f>
        <v>0.76912000000000003</v>
      </c>
      <c r="L4" s="29">
        <f t="shared" si="5"/>
        <v>6.0000000000000001E-3</v>
      </c>
      <c r="M4" s="29">
        <f t="shared" ref="M4:M30" si="6">SUM(I4:L4)</f>
        <v>5.5460799999999999</v>
      </c>
      <c r="N4" s="29"/>
      <c r="O4">
        <v>0.44</v>
      </c>
      <c r="P4" s="37"/>
      <c r="Q4" s="22">
        <v>0.122</v>
      </c>
    </row>
    <row r="5" spans="1:17" x14ac:dyDescent="0.2">
      <c r="A5" t="s">
        <v>4</v>
      </c>
      <c r="B5" s="12">
        <v>0</v>
      </c>
      <c r="C5" t="str">
        <f t="shared" si="2"/>
        <v>A24_29_0</v>
      </c>
      <c r="D5" t="s">
        <v>13</v>
      </c>
      <c r="E5" s="29">
        <f t="shared" si="0"/>
        <v>0.5057600000000001</v>
      </c>
      <c r="F5" s="38">
        <f t="shared" si="3"/>
        <v>0.122</v>
      </c>
      <c r="G5" s="29">
        <f t="shared" si="1"/>
        <v>0.36624000000000001</v>
      </c>
      <c r="H5" s="53">
        <v>6.0000000000000001E-3</v>
      </c>
      <c r="I5" s="29">
        <f t="shared" ref="I4:I9" si="7">E5*E$1</f>
        <v>4.5518400000000012</v>
      </c>
      <c r="J5" s="29">
        <f t="shared" si="4"/>
        <v>0.36599999999999999</v>
      </c>
      <c r="K5" s="29">
        <f t="shared" si="5"/>
        <v>0.73248000000000002</v>
      </c>
      <c r="L5" s="29">
        <f t="shared" si="5"/>
        <v>9.0000000000000011E-3</v>
      </c>
      <c r="M5" s="29">
        <f t="shared" si="6"/>
        <v>5.659320000000001</v>
      </c>
      <c r="N5" s="29"/>
      <c r="O5">
        <v>0.42</v>
      </c>
      <c r="Q5" s="22">
        <v>0.122</v>
      </c>
    </row>
    <row r="6" spans="1:17" x14ac:dyDescent="0.2">
      <c r="A6" t="s">
        <v>68</v>
      </c>
      <c r="B6" s="12">
        <v>0</v>
      </c>
      <c r="C6" t="str">
        <f t="shared" si="2"/>
        <v>A30_34_0</v>
      </c>
      <c r="D6" t="s">
        <v>13</v>
      </c>
      <c r="E6" s="29">
        <f t="shared" si="0"/>
        <v>0.49126000000000003</v>
      </c>
      <c r="F6" s="38">
        <f t="shared" si="3"/>
        <v>0.14499999999999999</v>
      </c>
      <c r="G6" s="29">
        <f t="shared" si="1"/>
        <v>0.35574</v>
      </c>
      <c r="H6" s="53">
        <v>8.0000000000000002E-3</v>
      </c>
      <c r="I6" s="29">
        <f t="shared" si="7"/>
        <v>4.4213400000000007</v>
      </c>
      <c r="J6" s="29">
        <f t="shared" si="4"/>
        <v>0.43499999999999994</v>
      </c>
      <c r="K6" s="29">
        <f t="shared" si="5"/>
        <v>0.71148</v>
      </c>
      <c r="L6" s="29">
        <f t="shared" si="5"/>
        <v>1.2E-2</v>
      </c>
      <c r="M6" s="29">
        <f t="shared" si="6"/>
        <v>5.5798199999999998</v>
      </c>
      <c r="N6" s="29"/>
      <c r="O6">
        <v>0.42</v>
      </c>
      <c r="Q6" s="22">
        <v>0.14499999999999999</v>
      </c>
    </row>
    <row r="7" spans="1:17" x14ac:dyDescent="0.2">
      <c r="A7" t="s">
        <v>69</v>
      </c>
      <c r="B7" s="12">
        <v>0</v>
      </c>
      <c r="C7" t="str">
        <f t="shared" si="2"/>
        <v>A35_39_0</v>
      </c>
      <c r="D7" t="s">
        <v>13</v>
      </c>
      <c r="E7" s="29">
        <f t="shared" si="0"/>
        <v>0.40608000000000005</v>
      </c>
      <c r="F7" s="38">
        <f t="shared" si="3"/>
        <v>0.23799999999999999</v>
      </c>
      <c r="G7" s="29">
        <f t="shared" si="1"/>
        <v>0.34592000000000001</v>
      </c>
      <c r="H7" s="53">
        <v>0.01</v>
      </c>
      <c r="I7" s="29">
        <f t="shared" si="7"/>
        <v>3.6547200000000006</v>
      </c>
      <c r="J7" s="29">
        <f t="shared" si="4"/>
        <v>0.71399999999999997</v>
      </c>
      <c r="K7" s="29">
        <f t="shared" si="5"/>
        <v>0.69184000000000001</v>
      </c>
      <c r="L7" s="29">
        <f t="shared" si="5"/>
        <v>1.4999999999999999E-2</v>
      </c>
      <c r="M7" s="29">
        <f t="shared" si="6"/>
        <v>5.0755600000000003</v>
      </c>
      <c r="N7" s="29"/>
      <c r="O7">
        <v>0.46</v>
      </c>
      <c r="Q7" s="22">
        <v>0.23799999999999999</v>
      </c>
    </row>
    <row r="8" spans="1:17" x14ac:dyDescent="0.2">
      <c r="A8" t="s">
        <v>70</v>
      </c>
      <c r="B8" s="12">
        <v>0</v>
      </c>
      <c r="C8" t="str">
        <f t="shared" si="2"/>
        <v>A40_44_0</v>
      </c>
      <c r="D8" t="s">
        <v>13</v>
      </c>
      <c r="E8" s="29">
        <f t="shared" si="0"/>
        <v>0.40662000000000004</v>
      </c>
      <c r="F8" s="38">
        <f t="shared" si="3"/>
        <v>0.23799999999999999</v>
      </c>
      <c r="G8" s="29">
        <f t="shared" si="1"/>
        <v>0.34638000000000002</v>
      </c>
      <c r="H8" s="53">
        <v>8.9999999999999993E-3</v>
      </c>
      <c r="I8" s="29">
        <f t="shared" si="7"/>
        <v>3.6595800000000005</v>
      </c>
      <c r="J8" s="29">
        <f t="shared" si="4"/>
        <v>0.71399999999999997</v>
      </c>
      <c r="K8" s="29">
        <f t="shared" si="5"/>
        <v>0.69276000000000004</v>
      </c>
      <c r="L8" s="29">
        <f t="shared" si="5"/>
        <v>1.3499999999999998E-2</v>
      </c>
      <c r="M8" s="29">
        <f t="shared" si="6"/>
        <v>5.0798399999999999</v>
      </c>
      <c r="N8" s="29"/>
      <c r="O8">
        <v>0.46</v>
      </c>
      <c r="Q8" s="22">
        <v>0.23799999999999999</v>
      </c>
    </row>
    <row r="9" spans="1:17" x14ac:dyDescent="0.2">
      <c r="A9" t="s">
        <v>71</v>
      </c>
      <c r="B9" s="12">
        <v>0</v>
      </c>
      <c r="C9" t="str">
        <f t="shared" si="2"/>
        <v>A45_49_0</v>
      </c>
      <c r="D9" t="s">
        <v>13</v>
      </c>
      <c r="E9" s="29">
        <f t="shared" si="0"/>
        <v>0.40662000000000004</v>
      </c>
      <c r="F9" s="38">
        <f t="shared" si="3"/>
        <v>0.23799999999999999</v>
      </c>
      <c r="G9" s="29">
        <f t="shared" si="1"/>
        <v>0.34638000000000002</v>
      </c>
      <c r="H9" s="53">
        <v>8.9999999999999993E-3</v>
      </c>
      <c r="I9" s="29">
        <f t="shared" si="7"/>
        <v>3.6595800000000005</v>
      </c>
      <c r="J9" s="29">
        <f t="shared" si="4"/>
        <v>0.71399999999999997</v>
      </c>
      <c r="K9" s="29">
        <f t="shared" si="5"/>
        <v>0.69276000000000004</v>
      </c>
      <c r="L9" s="29">
        <f t="shared" si="5"/>
        <v>1.3499999999999998E-2</v>
      </c>
      <c r="M9" s="29">
        <f t="shared" si="6"/>
        <v>5.0798399999999999</v>
      </c>
      <c r="N9" s="29"/>
      <c r="O9">
        <v>0.46</v>
      </c>
      <c r="Q9" s="22">
        <v>0.23799999999999999</v>
      </c>
    </row>
    <row r="10" spans="1:17" x14ac:dyDescent="0.2">
      <c r="A10" t="s">
        <v>66</v>
      </c>
      <c r="B10" t="s">
        <v>5</v>
      </c>
      <c r="C10" t="str">
        <f t="shared" si="2"/>
        <v>A15_19_Obesity</v>
      </c>
      <c r="D10" t="s">
        <v>13</v>
      </c>
      <c r="E10" s="27">
        <f t="shared" ref="E10:E16" si="8">(1-(H10+F10))*(1-O3)</f>
        <v>0.50653999999999999</v>
      </c>
      <c r="F10" s="39">
        <f>F3</f>
        <v>0.18</v>
      </c>
      <c r="G10" s="27">
        <f t="shared" ref="G10:G16" si="9">(1-(F10+H10))*O3</f>
        <v>0.31045999999999996</v>
      </c>
      <c r="H10" s="31">
        <f>H3</f>
        <v>3.0000000000000001E-3</v>
      </c>
      <c r="I10" s="29">
        <f>E10*E$1</f>
        <v>4.5588600000000001</v>
      </c>
      <c r="J10" s="29">
        <f t="shared" si="4"/>
        <v>0.54</v>
      </c>
      <c r="K10" s="29">
        <f t="shared" si="5"/>
        <v>0.62091999999999992</v>
      </c>
      <c r="L10" s="29">
        <f t="shared" si="5"/>
        <v>4.5000000000000005E-3</v>
      </c>
      <c r="M10" s="29">
        <f t="shared" si="6"/>
        <v>5.7242800000000003</v>
      </c>
      <c r="N10" s="29"/>
    </row>
    <row r="11" spans="1:17" x14ac:dyDescent="0.2">
      <c r="A11" t="s">
        <v>67</v>
      </c>
      <c r="B11" t="s">
        <v>5</v>
      </c>
      <c r="C11" t="str">
        <f t="shared" si="2"/>
        <v>A20_24_Obesity</v>
      </c>
      <c r="D11" t="s">
        <v>13</v>
      </c>
      <c r="E11" s="27">
        <f t="shared" si="8"/>
        <v>0.48944000000000004</v>
      </c>
      <c r="F11" s="39">
        <f t="shared" ref="F11:F16" si="10">F4</f>
        <v>0.122</v>
      </c>
      <c r="G11" s="27">
        <f t="shared" si="9"/>
        <v>0.38456000000000001</v>
      </c>
      <c r="H11" s="31">
        <f t="shared" ref="H11:H16" si="11">H4</f>
        <v>4.0000000000000001E-3</v>
      </c>
      <c r="I11" s="29">
        <f t="shared" ref="I4:I29" si="12">E11*E$1</f>
        <v>4.40496</v>
      </c>
      <c r="J11" s="29">
        <f t="shared" si="4"/>
        <v>0.36599999999999999</v>
      </c>
      <c r="K11" s="29">
        <f t="shared" si="5"/>
        <v>0.76912000000000003</v>
      </c>
      <c r="L11" s="29">
        <f t="shared" si="5"/>
        <v>6.0000000000000001E-3</v>
      </c>
      <c r="M11" s="29">
        <f t="shared" si="6"/>
        <v>5.5460799999999999</v>
      </c>
      <c r="N11" s="29"/>
    </row>
    <row r="12" spans="1:17" x14ac:dyDescent="0.2">
      <c r="A12" t="s">
        <v>29</v>
      </c>
      <c r="B12" t="s">
        <v>5</v>
      </c>
      <c r="C12" t="str">
        <f t="shared" si="2"/>
        <v>A24_29_Obesity</v>
      </c>
      <c r="D12" t="s">
        <v>13</v>
      </c>
      <c r="E12" s="27">
        <f t="shared" si="8"/>
        <v>0.5057600000000001</v>
      </c>
      <c r="F12" s="39">
        <f t="shared" si="10"/>
        <v>0.122</v>
      </c>
      <c r="G12" s="27">
        <f t="shared" si="9"/>
        <v>0.36624000000000001</v>
      </c>
      <c r="H12" s="31">
        <f t="shared" si="11"/>
        <v>6.0000000000000001E-3</v>
      </c>
      <c r="I12" s="29">
        <f t="shared" si="12"/>
        <v>4.5518400000000012</v>
      </c>
      <c r="J12" s="29">
        <f t="shared" si="4"/>
        <v>0.36599999999999999</v>
      </c>
      <c r="K12" s="29">
        <f t="shared" si="5"/>
        <v>0.73248000000000002</v>
      </c>
      <c r="L12" s="29">
        <f t="shared" si="5"/>
        <v>9.0000000000000011E-3</v>
      </c>
      <c r="M12" s="29">
        <f t="shared" si="6"/>
        <v>5.659320000000001</v>
      </c>
      <c r="N12" s="29"/>
    </row>
    <row r="13" spans="1:17" x14ac:dyDescent="0.2">
      <c r="A13" t="s">
        <v>68</v>
      </c>
      <c r="B13" t="s">
        <v>5</v>
      </c>
      <c r="C13" t="str">
        <f t="shared" si="2"/>
        <v>A30_34_Obesity</v>
      </c>
      <c r="D13" t="s">
        <v>13</v>
      </c>
      <c r="E13" s="27">
        <f t="shared" si="8"/>
        <v>0.49126000000000003</v>
      </c>
      <c r="F13" s="39">
        <f t="shared" si="10"/>
        <v>0.14499999999999999</v>
      </c>
      <c r="G13" s="27">
        <f t="shared" si="9"/>
        <v>0.35574</v>
      </c>
      <c r="H13" s="31">
        <f t="shared" si="11"/>
        <v>8.0000000000000002E-3</v>
      </c>
      <c r="I13" s="29">
        <f t="shared" si="12"/>
        <v>4.4213400000000007</v>
      </c>
      <c r="J13" s="29">
        <f t="shared" si="4"/>
        <v>0.43499999999999994</v>
      </c>
      <c r="K13" s="29">
        <f t="shared" si="5"/>
        <v>0.71148</v>
      </c>
      <c r="L13" s="29">
        <f t="shared" si="5"/>
        <v>1.2E-2</v>
      </c>
      <c r="M13" s="29">
        <f t="shared" si="6"/>
        <v>5.5798199999999998</v>
      </c>
      <c r="N13" s="29"/>
    </row>
    <row r="14" spans="1:17" x14ac:dyDescent="0.2">
      <c r="A14" t="s">
        <v>69</v>
      </c>
      <c r="B14" t="s">
        <v>5</v>
      </c>
      <c r="C14" t="str">
        <f t="shared" si="2"/>
        <v>A35_39_Obesity</v>
      </c>
      <c r="D14" t="s">
        <v>13</v>
      </c>
      <c r="E14" s="27">
        <f t="shared" si="8"/>
        <v>0.40608000000000005</v>
      </c>
      <c r="F14" s="39">
        <f t="shared" si="10"/>
        <v>0.23799999999999999</v>
      </c>
      <c r="G14" s="27">
        <f t="shared" si="9"/>
        <v>0.34592000000000001</v>
      </c>
      <c r="H14" s="31">
        <f t="shared" si="11"/>
        <v>0.01</v>
      </c>
      <c r="I14" s="29">
        <f t="shared" si="12"/>
        <v>3.6547200000000006</v>
      </c>
      <c r="J14" s="29">
        <f t="shared" si="4"/>
        <v>0.71399999999999997</v>
      </c>
      <c r="K14" s="29">
        <f t="shared" si="5"/>
        <v>0.69184000000000001</v>
      </c>
      <c r="L14" s="29">
        <f t="shared" si="5"/>
        <v>1.4999999999999999E-2</v>
      </c>
      <c r="M14" s="29">
        <f t="shared" si="6"/>
        <v>5.0755600000000003</v>
      </c>
      <c r="N14" s="29"/>
    </row>
    <row r="15" spans="1:17" x14ac:dyDescent="0.2">
      <c r="A15" t="s">
        <v>70</v>
      </c>
      <c r="B15" t="s">
        <v>5</v>
      </c>
      <c r="C15" t="str">
        <f t="shared" si="2"/>
        <v>A40_44_Obesity</v>
      </c>
      <c r="D15" t="s">
        <v>13</v>
      </c>
      <c r="E15" s="27">
        <f t="shared" si="8"/>
        <v>0.40662000000000004</v>
      </c>
      <c r="F15" s="39">
        <f t="shared" si="10"/>
        <v>0.23799999999999999</v>
      </c>
      <c r="G15" s="27">
        <f t="shared" si="9"/>
        <v>0.34638000000000002</v>
      </c>
      <c r="H15" s="31">
        <f t="shared" si="11"/>
        <v>8.9999999999999993E-3</v>
      </c>
      <c r="I15" s="29">
        <f t="shared" si="12"/>
        <v>3.6595800000000005</v>
      </c>
      <c r="J15" s="29">
        <f t="shared" si="4"/>
        <v>0.71399999999999997</v>
      </c>
      <c r="K15" s="29">
        <f t="shared" si="5"/>
        <v>0.69276000000000004</v>
      </c>
      <c r="L15" s="29">
        <f t="shared" si="5"/>
        <v>1.3499999999999998E-2</v>
      </c>
      <c r="M15" s="29">
        <f t="shared" si="6"/>
        <v>5.0798399999999999</v>
      </c>
      <c r="N15" s="29"/>
    </row>
    <row r="16" spans="1:17" x14ac:dyDescent="0.2">
      <c r="A16" t="s">
        <v>71</v>
      </c>
      <c r="B16" t="s">
        <v>5</v>
      </c>
      <c r="C16" t="str">
        <f t="shared" si="2"/>
        <v>A45_49_Obesity</v>
      </c>
      <c r="D16" t="s">
        <v>13</v>
      </c>
      <c r="E16" s="27">
        <f t="shared" si="8"/>
        <v>0.40662000000000004</v>
      </c>
      <c r="F16" s="39">
        <f t="shared" si="10"/>
        <v>0.23799999999999999</v>
      </c>
      <c r="G16" s="27">
        <f t="shared" si="9"/>
        <v>0.34638000000000002</v>
      </c>
      <c r="H16" s="31">
        <f t="shared" si="11"/>
        <v>8.9999999999999993E-3</v>
      </c>
      <c r="I16" s="29">
        <f t="shared" si="12"/>
        <v>3.6595800000000005</v>
      </c>
      <c r="J16" s="29">
        <f t="shared" si="4"/>
        <v>0.71399999999999997</v>
      </c>
      <c r="K16" s="29">
        <f t="shared" si="5"/>
        <v>0.69276000000000004</v>
      </c>
      <c r="L16" s="29">
        <f t="shared" si="5"/>
        <v>1.3499999999999998E-2</v>
      </c>
      <c r="M16" s="29">
        <f t="shared" si="6"/>
        <v>5.0798399999999999</v>
      </c>
      <c r="N16" s="29"/>
    </row>
    <row r="17" spans="1:14" x14ac:dyDescent="0.2">
      <c r="A17" t="s">
        <v>66</v>
      </c>
      <c r="B17" t="s">
        <v>6</v>
      </c>
      <c r="C17" t="str">
        <f t="shared" si="2"/>
        <v>A15_19_Htn</v>
      </c>
      <c r="D17" t="s">
        <v>13</v>
      </c>
      <c r="E17" s="27">
        <f t="shared" ref="E17:E23" si="13">(1-(H17+F17))*(1-O3)</f>
        <v>0.50653999999999999</v>
      </c>
      <c r="F17" s="39">
        <f>F3</f>
        <v>0.18</v>
      </c>
      <c r="G17" s="27">
        <f t="shared" ref="G17:G23" si="14">(1-(F17+H17))*O3</f>
        <v>0.31045999999999996</v>
      </c>
      <c r="H17" s="28">
        <f>H3</f>
        <v>3.0000000000000001E-3</v>
      </c>
      <c r="I17" s="29">
        <f t="shared" si="12"/>
        <v>4.5588600000000001</v>
      </c>
      <c r="J17" s="29">
        <f t="shared" si="4"/>
        <v>0.54</v>
      </c>
      <c r="K17" s="29">
        <f t="shared" si="5"/>
        <v>0.62091999999999992</v>
      </c>
      <c r="L17" s="29">
        <f t="shared" si="5"/>
        <v>4.5000000000000005E-3</v>
      </c>
      <c r="M17" s="29">
        <f t="shared" si="6"/>
        <v>5.7242800000000003</v>
      </c>
      <c r="N17" s="29"/>
    </row>
    <row r="18" spans="1:14" x14ac:dyDescent="0.2">
      <c r="A18" t="s">
        <v>67</v>
      </c>
      <c r="B18" t="s">
        <v>6</v>
      </c>
      <c r="C18" t="str">
        <f t="shared" si="2"/>
        <v>A20_24_Htn</v>
      </c>
      <c r="D18" t="s">
        <v>13</v>
      </c>
      <c r="E18" s="27">
        <f t="shared" si="13"/>
        <v>0.48944000000000004</v>
      </c>
      <c r="F18" s="39">
        <f t="shared" ref="F18:F23" si="15">F4</f>
        <v>0.122</v>
      </c>
      <c r="G18" s="27">
        <f t="shared" si="14"/>
        <v>0.38456000000000001</v>
      </c>
      <c r="H18" s="28">
        <f t="shared" ref="H18:H23" si="16">H4</f>
        <v>4.0000000000000001E-3</v>
      </c>
      <c r="I18" s="29">
        <f t="shared" si="12"/>
        <v>4.40496</v>
      </c>
      <c r="J18" s="29">
        <f t="shared" si="4"/>
        <v>0.36599999999999999</v>
      </c>
      <c r="K18" s="29">
        <f t="shared" si="5"/>
        <v>0.76912000000000003</v>
      </c>
      <c r="L18" s="29">
        <f t="shared" si="5"/>
        <v>6.0000000000000001E-3</v>
      </c>
      <c r="M18" s="29">
        <f t="shared" si="6"/>
        <v>5.5460799999999999</v>
      </c>
      <c r="N18" s="29"/>
    </row>
    <row r="19" spans="1:14" x14ac:dyDescent="0.2">
      <c r="A19" t="s">
        <v>29</v>
      </c>
      <c r="B19" t="s">
        <v>6</v>
      </c>
      <c r="C19" t="str">
        <f t="shared" si="2"/>
        <v>A24_29_Htn</v>
      </c>
      <c r="D19" t="s">
        <v>13</v>
      </c>
      <c r="E19" s="27">
        <f t="shared" si="13"/>
        <v>0.5057600000000001</v>
      </c>
      <c r="F19" s="39">
        <f t="shared" si="15"/>
        <v>0.122</v>
      </c>
      <c r="G19" s="27">
        <f t="shared" si="14"/>
        <v>0.36624000000000001</v>
      </c>
      <c r="H19" s="28">
        <f t="shared" si="16"/>
        <v>6.0000000000000001E-3</v>
      </c>
      <c r="I19" s="29">
        <f t="shared" si="12"/>
        <v>4.5518400000000012</v>
      </c>
      <c r="J19" s="29">
        <f t="shared" si="4"/>
        <v>0.36599999999999999</v>
      </c>
      <c r="K19" s="29">
        <f t="shared" si="4"/>
        <v>0.73248000000000002</v>
      </c>
      <c r="L19" s="29">
        <f t="shared" si="4"/>
        <v>9.0000000000000011E-3</v>
      </c>
      <c r="M19" s="29">
        <f t="shared" si="6"/>
        <v>5.659320000000001</v>
      </c>
      <c r="N19" s="29"/>
    </row>
    <row r="20" spans="1:14" x14ac:dyDescent="0.2">
      <c r="A20" t="s">
        <v>68</v>
      </c>
      <c r="B20" t="s">
        <v>6</v>
      </c>
      <c r="C20" t="str">
        <f t="shared" si="2"/>
        <v>A30_34_Htn</v>
      </c>
      <c r="D20" t="s">
        <v>13</v>
      </c>
      <c r="E20" s="27">
        <f t="shared" si="13"/>
        <v>0.49126000000000003</v>
      </c>
      <c r="F20" s="39">
        <f t="shared" si="15"/>
        <v>0.14499999999999999</v>
      </c>
      <c r="G20" s="27">
        <f t="shared" si="14"/>
        <v>0.35574</v>
      </c>
      <c r="H20" s="28">
        <f t="shared" si="16"/>
        <v>8.0000000000000002E-3</v>
      </c>
      <c r="I20" s="29">
        <f t="shared" si="12"/>
        <v>4.4213400000000007</v>
      </c>
      <c r="J20" s="29">
        <f t="shared" si="4"/>
        <v>0.43499999999999994</v>
      </c>
      <c r="K20" s="29">
        <f t="shared" si="4"/>
        <v>0.71148</v>
      </c>
      <c r="L20" s="29">
        <f t="shared" si="4"/>
        <v>1.2E-2</v>
      </c>
      <c r="M20" s="29">
        <f t="shared" si="6"/>
        <v>5.5798199999999998</v>
      </c>
      <c r="N20" s="29"/>
    </row>
    <row r="21" spans="1:14" x14ac:dyDescent="0.2">
      <c r="A21" t="s">
        <v>69</v>
      </c>
      <c r="B21" t="s">
        <v>6</v>
      </c>
      <c r="C21" t="str">
        <f t="shared" si="2"/>
        <v>A35_39_Htn</v>
      </c>
      <c r="D21" t="s">
        <v>13</v>
      </c>
      <c r="E21" s="27">
        <f t="shared" si="13"/>
        <v>0.40608000000000005</v>
      </c>
      <c r="F21" s="39">
        <f t="shared" si="15"/>
        <v>0.23799999999999999</v>
      </c>
      <c r="G21" s="27">
        <f t="shared" si="14"/>
        <v>0.34592000000000001</v>
      </c>
      <c r="H21" s="28">
        <f t="shared" si="16"/>
        <v>0.01</v>
      </c>
      <c r="I21" s="29">
        <f t="shared" si="12"/>
        <v>3.6547200000000006</v>
      </c>
      <c r="J21" s="29">
        <f t="shared" si="4"/>
        <v>0.71399999999999997</v>
      </c>
      <c r="K21" s="29">
        <f t="shared" si="4"/>
        <v>0.69184000000000001</v>
      </c>
      <c r="L21" s="29">
        <f t="shared" si="4"/>
        <v>1.4999999999999999E-2</v>
      </c>
      <c r="M21" s="29">
        <f t="shared" si="6"/>
        <v>5.0755600000000003</v>
      </c>
      <c r="N21" s="29"/>
    </row>
    <row r="22" spans="1:14" x14ac:dyDescent="0.2">
      <c r="A22" t="s">
        <v>70</v>
      </c>
      <c r="B22" t="s">
        <v>6</v>
      </c>
      <c r="C22" t="str">
        <f t="shared" si="2"/>
        <v>A40_44_Htn</v>
      </c>
      <c r="D22" t="s">
        <v>13</v>
      </c>
      <c r="E22" s="27">
        <f t="shared" si="13"/>
        <v>0.40662000000000004</v>
      </c>
      <c r="F22" s="39">
        <f t="shared" si="15"/>
        <v>0.23799999999999999</v>
      </c>
      <c r="G22" s="27">
        <f t="shared" si="14"/>
        <v>0.34638000000000002</v>
      </c>
      <c r="H22" s="28">
        <f t="shared" si="16"/>
        <v>8.9999999999999993E-3</v>
      </c>
      <c r="I22" s="29">
        <f t="shared" si="12"/>
        <v>3.6595800000000005</v>
      </c>
      <c r="J22" s="29">
        <f t="shared" si="4"/>
        <v>0.71399999999999997</v>
      </c>
      <c r="K22" s="29">
        <f t="shared" si="4"/>
        <v>0.69276000000000004</v>
      </c>
      <c r="L22" s="29">
        <f t="shared" si="4"/>
        <v>1.3499999999999998E-2</v>
      </c>
      <c r="M22" s="29">
        <f t="shared" si="6"/>
        <v>5.0798399999999999</v>
      </c>
      <c r="N22" s="29"/>
    </row>
    <row r="23" spans="1:14" x14ac:dyDescent="0.2">
      <c r="A23" t="s">
        <v>71</v>
      </c>
      <c r="B23" t="s">
        <v>6</v>
      </c>
      <c r="C23" t="str">
        <f t="shared" si="2"/>
        <v>A45_49_Htn</v>
      </c>
      <c r="D23" t="s">
        <v>13</v>
      </c>
      <c r="E23" s="27">
        <f t="shared" si="13"/>
        <v>0.40662000000000004</v>
      </c>
      <c r="F23" s="39">
        <f t="shared" si="15"/>
        <v>0.23799999999999999</v>
      </c>
      <c r="G23" s="27">
        <f t="shared" si="14"/>
        <v>0.34638000000000002</v>
      </c>
      <c r="H23" s="28">
        <f t="shared" si="16"/>
        <v>8.9999999999999993E-3</v>
      </c>
      <c r="I23" s="29">
        <f t="shared" si="12"/>
        <v>3.6595800000000005</v>
      </c>
      <c r="J23" s="29">
        <f t="shared" si="4"/>
        <v>0.71399999999999997</v>
      </c>
      <c r="K23" s="29">
        <f t="shared" si="4"/>
        <v>0.69276000000000004</v>
      </c>
      <c r="L23" s="29">
        <f t="shared" si="4"/>
        <v>1.3499999999999998E-2</v>
      </c>
      <c r="M23" s="29">
        <f t="shared" si="6"/>
        <v>5.0798399999999999</v>
      </c>
      <c r="N23" s="29"/>
    </row>
    <row r="24" spans="1:14" x14ac:dyDescent="0.2">
      <c r="A24" t="s">
        <v>66</v>
      </c>
      <c r="B24" t="s">
        <v>7</v>
      </c>
      <c r="C24" t="str">
        <f t="shared" si="2"/>
        <v>A15_19_Smoker</v>
      </c>
      <c r="D24" t="s">
        <v>13</v>
      </c>
      <c r="E24" s="27">
        <f>(1-(H24+F24))*(1-O3)</f>
        <v>0.50114599999999998</v>
      </c>
      <c r="F24" s="39">
        <f>F3</f>
        <v>0.18</v>
      </c>
      <c r="G24" s="27">
        <f t="shared" ref="G24:G30" si="17">(1-(F24+H24))*O3</f>
        <v>0.30715400000000004</v>
      </c>
      <c r="H24" s="30">
        <f>H3*3.9</f>
        <v>1.17E-2</v>
      </c>
      <c r="I24" s="29">
        <f t="shared" si="12"/>
        <v>4.5103140000000002</v>
      </c>
      <c r="J24" s="29">
        <f t="shared" si="4"/>
        <v>0.54</v>
      </c>
      <c r="K24" s="29">
        <f t="shared" si="4"/>
        <v>0.61430800000000008</v>
      </c>
      <c r="L24" s="29">
        <f>H24*H$1</f>
        <v>1.755E-2</v>
      </c>
      <c r="M24" s="29">
        <f t="shared" si="6"/>
        <v>5.6821720000000004</v>
      </c>
      <c r="N24" s="29"/>
    </row>
    <row r="25" spans="1:14" x14ac:dyDescent="0.2">
      <c r="A25" t="s">
        <v>67</v>
      </c>
      <c r="B25" t="s">
        <v>7</v>
      </c>
      <c r="C25" t="str">
        <f t="shared" si="2"/>
        <v>A20_24_Smoker</v>
      </c>
      <c r="D25" t="s">
        <v>13</v>
      </c>
      <c r="E25" s="27">
        <f t="shared" ref="E24:E30" si="18">(1-(H25+F25))*(1-O4)</f>
        <v>0.4829440000000001</v>
      </c>
      <c r="F25" s="39">
        <f t="shared" ref="F25:F30" si="19">F4</f>
        <v>0.122</v>
      </c>
      <c r="G25" s="27">
        <f t="shared" si="17"/>
        <v>0.37945600000000002</v>
      </c>
      <c r="H25" s="30">
        <f t="shared" ref="H25:H30" si="20">H4*3.9</f>
        <v>1.5599999999999999E-2</v>
      </c>
      <c r="I25" s="29">
        <f t="shared" si="12"/>
        <v>4.346496000000001</v>
      </c>
      <c r="J25" s="29">
        <f t="shared" si="4"/>
        <v>0.36599999999999999</v>
      </c>
      <c r="K25" s="29">
        <f t="shared" si="4"/>
        <v>0.75891200000000003</v>
      </c>
      <c r="L25" s="29">
        <f t="shared" si="4"/>
        <v>2.3399999999999997E-2</v>
      </c>
      <c r="M25" s="29">
        <f t="shared" si="6"/>
        <v>5.4948079999999999</v>
      </c>
      <c r="N25" s="29"/>
    </row>
    <row r="26" spans="1:14" x14ac:dyDescent="0.2">
      <c r="A26" t="s">
        <v>29</v>
      </c>
      <c r="B26" t="s">
        <v>7</v>
      </c>
      <c r="C26" t="str">
        <f t="shared" si="2"/>
        <v>A24_29_Smoker</v>
      </c>
      <c r="D26" t="s">
        <v>13</v>
      </c>
      <c r="E26" s="27">
        <f t="shared" si="18"/>
        <v>0.49566800000000005</v>
      </c>
      <c r="F26" s="39">
        <f t="shared" si="19"/>
        <v>0.122</v>
      </c>
      <c r="G26" s="27">
        <f t="shared" si="17"/>
        <v>0.35893199999999997</v>
      </c>
      <c r="H26" s="30">
        <f t="shared" si="20"/>
        <v>2.3400000000000001E-2</v>
      </c>
      <c r="I26" s="29">
        <f t="shared" si="12"/>
        <v>4.4610120000000002</v>
      </c>
      <c r="J26" s="29">
        <f t="shared" si="4"/>
        <v>0.36599999999999999</v>
      </c>
      <c r="K26" s="29">
        <f t="shared" si="4"/>
        <v>0.71786399999999995</v>
      </c>
      <c r="L26" s="29">
        <f t="shared" si="4"/>
        <v>3.5099999999999999E-2</v>
      </c>
      <c r="M26" s="29">
        <f t="shared" si="6"/>
        <v>5.5799759999999994</v>
      </c>
      <c r="N26" s="29"/>
    </row>
    <row r="27" spans="1:14" x14ac:dyDescent="0.2">
      <c r="A27" t="s">
        <v>68</v>
      </c>
      <c r="B27" t="s">
        <v>7</v>
      </c>
      <c r="C27" t="str">
        <f t="shared" si="2"/>
        <v>A30_34_Smoker</v>
      </c>
      <c r="D27" t="s">
        <v>13</v>
      </c>
      <c r="E27" s="27">
        <f t="shared" si="18"/>
        <v>0.47780400000000006</v>
      </c>
      <c r="F27" s="39">
        <f t="shared" si="19"/>
        <v>0.14499999999999999</v>
      </c>
      <c r="G27" s="27">
        <f t="shared" si="17"/>
        <v>0.34599599999999997</v>
      </c>
      <c r="H27" s="30">
        <f t="shared" si="20"/>
        <v>3.1199999999999999E-2</v>
      </c>
      <c r="I27" s="29">
        <f t="shared" si="12"/>
        <v>4.3002360000000008</v>
      </c>
      <c r="J27" s="29">
        <f t="shared" si="4"/>
        <v>0.43499999999999994</v>
      </c>
      <c r="K27" s="29">
        <f t="shared" si="4"/>
        <v>0.69199199999999994</v>
      </c>
      <c r="L27" s="29">
        <f t="shared" si="4"/>
        <v>4.6799999999999994E-2</v>
      </c>
      <c r="M27" s="29">
        <f t="shared" si="6"/>
        <v>5.4740280000000006</v>
      </c>
      <c r="N27" s="29"/>
    </row>
    <row r="28" spans="1:14" x14ac:dyDescent="0.2">
      <c r="A28" t="s">
        <v>69</v>
      </c>
      <c r="B28" t="s">
        <v>7</v>
      </c>
      <c r="C28" t="str">
        <f t="shared" si="2"/>
        <v>A35_39_Smoker</v>
      </c>
      <c r="D28" t="s">
        <v>13</v>
      </c>
      <c r="E28" s="27">
        <f t="shared" si="18"/>
        <v>0.3904200000000001</v>
      </c>
      <c r="F28" s="39">
        <f t="shared" si="19"/>
        <v>0.23799999999999999</v>
      </c>
      <c r="G28" s="27">
        <f t="shared" si="17"/>
        <v>0.33258000000000004</v>
      </c>
      <c r="H28" s="30">
        <f t="shared" si="20"/>
        <v>3.9E-2</v>
      </c>
      <c r="I28" s="29">
        <f t="shared" si="12"/>
        <v>3.513780000000001</v>
      </c>
      <c r="J28" s="29">
        <f t="shared" si="4"/>
        <v>0.71399999999999997</v>
      </c>
      <c r="K28" s="29">
        <f t="shared" si="4"/>
        <v>0.66516000000000008</v>
      </c>
      <c r="L28" s="29">
        <f t="shared" si="4"/>
        <v>5.8499999999999996E-2</v>
      </c>
      <c r="M28" s="29">
        <f t="shared" si="6"/>
        <v>4.9514400000000016</v>
      </c>
      <c r="N28" s="29"/>
    </row>
    <row r="29" spans="1:14" x14ac:dyDescent="0.2">
      <c r="A29" t="s">
        <v>70</v>
      </c>
      <c r="B29" t="s">
        <v>7</v>
      </c>
      <c r="C29" t="str">
        <f t="shared" si="2"/>
        <v>A40_44_Smoker</v>
      </c>
      <c r="D29" t="s">
        <v>13</v>
      </c>
      <c r="E29" s="27">
        <f t="shared" si="18"/>
        <v>0.39252600000000004</v>
      </c>
      <c r="F29" s="39">
        <f t="shared" si="19"/>
        <v>0.23799999999999999</v>
      </c>
      <c r="G29" s="27">
        <f t="shared" si="17"/>
        <v>0.334374</v>
      </c>
      <c r="H29" s="30">
        <f t="shared" si="20"/>
        <v>3.5099999999999999E-2</v>
      </c>
      <c r="I29" s="29">
        <f t="shared" si="12"/>
        <v>3.5327340000000005</v>
      </c>
      <c r="J29" s="29">
        <f t="shared" si="4"/>
        <v>0.71399999999999997</v>
      </c>
      <c r="K29" s="29">
        <f t="shared" si="4"/>
        <v>0.66874800000000001</v>
      </c>
      <c r="L29" s="29">
        <f t="shared" si="4"/>
        <v>5.2650000000000002E-2</v>
      </c>
      <c r="M29" s="29">
        <f t="shared" si="6"/>
        <v>4.9681319999999998</v>
      </c>
      <c r="N29" s="29"/>
    </row>
    <row r="30" spans="1:14" x14ac:dyDescent="0.2">
      <c r="A30" t="s">
        <v>71</v>
      </c>
      <c r="B30" t="s">
        <v>7</v>
      </c>
      <c r="C30" t="str">
        <f t="shared" si="2"/>
        <v>A45_49_Smoker</v>
      </c>
      <c r="D30" t="s">
        <v>13</v>
      </c>
      <c r="E30" s="27">
        <f t="shared" si="18"/>
        <v>0.39252600000000004</v>
      </c>
      <c r="F30" s="39">
        <f t="shared" si="19"/>
        <v>0.23799999999999999</v>
      </c>
      <c r="G30" s="27">
        <f t="shared" si="17"/>
        <v>0.334374</v>
      </c>
      <c r="H30" s="30">
        <f t="shared" si="20"/>
        <v>3.5099999999999999E-2</v>
      </c>
      <c r="I30" s="29">
        <f>E30*E$1</f>
        <v>3.5327340000000005</v>
      </c>
      <c r="J30" s="29">
        <f t="shared" si="4"/>
        <v>0.71399999999999997</v>
      </c>
      <c r="K30" s="29">
        <f>G30*G$1</f>
        <v>0.66874800000000001</v>
      </c>
      <c r="L30" s="29">
        <f t="shared" si="4"/>
        <v>5.2650000000000002E-2</v>
      </c>
      <c r="M30" s="29">
        <f t="shared" si="6"/>
        <v>4.9681319999999998</v>
      </c>
      <c r="N30" s="29"/>
    </row>
    <row r="31" spans="1:14" x14ac:dyDescent="0.2">
      <c r="A31" t="s">
        <v>66</v>
      </c>
      <c r="B31" s="12">
        <v>0</v>
      </c>
      <c r="C31" t="str">
        <f t="shared" si="2"/>
        <v>A15_19_0</v>
      </c>
      <c r="D31" t="s">
        <v>76</v>
      </c>
      <c r="E31" s="29">
        <f t="shared" ref="E31:E37" si="21">(1-(H31+F31))*(1-O3)</f>
        <v>0.50492179999999998</v>
      </c>
      <c r="F31" s="38">
        <f>F3</f>
        <v>0.18</v>
      </c>
      <c r="G31" s="29">
        <f t="shared" ref="G31:G37" si="22">(1-(F31+H31))*O3</f>
        <v>0.30946819999999997</v>
      </c>
      <c r="H31" s="30">
        <f>H3*1.87</f>
        <v>5.6100000000000004E-3</v>
      </c>
      <c r="I31" s="29">
        <f>E31*E$1</f>
        <v>4.5442961999999998</v>
      </c>
      <c r="J31" s="29">
        <f>F31*F$1</f>
        <v>0.54</v>
      </c>
      <c r="K31" s="29">
        <f>G31*G$1</f>
        <v>0.61893639999999994</v>
      </c>
      <c r="L31" s="29">
        <f>H31*H$1</f>
        <v>8.4150000000000006E-3</v>
      </c>
      <c r="M31" s="29">
        <f>SUM(I31:L31)</f>
        <v>5.7116476</v>
      </c>
      <c r="N31" s="29"/>
    </row>
    <row r="32" spans="1:14" x14ac:dyDescent="0.2">
      <c r="A32" t="s">
        <v>67</v>
      </c>
      <c r="B32" s="12">
        <v>0</v>
      </c>
      <c r="C32" t="str">
        <f t="shared" si="2"/>
        <v>A20_24_0</v>
      </c>
      <c r="D32" t="s">
        <v>76</v>
      </c>
      <c r="E32" s="29">
        <f t="shared" si="21"/>
        <v>0.48749120000000001</v>
      </c>
      <c r="F32" s="38">
        <f t="shared" ref="F32:F37" si="23">F4</f>
        <v>0.122</v>
      </c>
      <c r="G32" s="29">
        <f t="shared" si="22"/>
        <v>0.3830288</v>
      </c>
      <c r="H32" s="30">
        <f t="shared" ref="H32:H51" si="24">H4*1.87</f>
        <v>7.4800000000000005E-3</v>
      </c>
      <c r="I32" s="29">
        <f>E32*E$1</f>
        <v>4.3874208000000001</v>
      </c>
      <c r="J32" s="29">
        <f t="shared" ref="J32:J58" si="25">F32*F$1</f>
        <v>0.36599999999999999</v>
      </c>
      <c r="K32" s="29">
        <f t="shared" ref="K32:K58" si="26">G32*G$1</f>
        <v>0.76605760000000001</v>
      </c>
      <c r="L32" s="29">
        <f t="shared" ref="L32:L58" si="27">H32*H$1</f>
        <v>1.1220000000000001E-2</v>
      </c>
      <c r="M32" s="29">
        <f t="shared" ref="M32:M58" si="28">SUM(I32:L32)</f>
        <v>5.5306983999999995</v>
      </c>
      <c r="N32" s="29"/>
    </row>
    <row r="33" spans="1:14" x14ac:dyDescent="0.2">
      <c r="A33" t="s">
        <v>4</v>
      </c>
      <c r="B33" s="12">
        <v>0</v>
      </c>
      <c r="C33" t="str">
        <f t="shared" si="2"/>
        <v>A24_29_0</v>
      </c>
      <c r="D33" t="s">
        <v>76</v>
      </c>
      <c r="E33" s="29">
        <f t="shared" si="21"/>
        <v>0.50273240000000008</v>
      </c>
      <c r="F33" s="38">
        <f t="shared" si="23"/>
        <v>0.122</v>
      </c>
      <c r="G33" s="29">
        <f t="shared" si="22"/>
        <v>0.36404759999999997</v>
      </c>
      <c r="H33" s="30">
        <f t="shared" si="24"/>
        <v>1.1220000000000001E-2</v>
      </c>
      <c r="I33" s="29">
        <f t="shared" ref="I33:I58" si="29">E33*E$1</f>
        <v>4.5245916000000008</v>
      </c>
      <c r="J33" s="29">
        <f t="shared" si="25"/>
        <v>0.36599999999999999</v>
      </c>
      <c r="K33" s="29">
        <f t="shared" si="26"/>
        <v>0.72809519999999994</v>
      </c>
      <c r="L33" s="29">
        <f t="shared" si="27"/>
        <v>1.6830000000000001E-2</v>
      </c>
      <c r="M33" s="29">
        <f t="shared" si="28"/>
        <v>5.6355168000000004</v>
      </c>
      <c r="N33" s="29"/>
    </row>
    <row r="34" spans="1:14" x14ac:dyDescent="0.2">
      <c r="A34" t="s">
        <v>68</v>
      </c>
      <c r="B34" s="12">
        <v>0</v>
      </c>
      <c r="C34" t="str">
        <f t="shared" si="2"/>
        <v>A30_34_0</v>
      </c>
      <c r="D34" t="s">
        <v>76</v>
      </c>
      <c r="E34" s="29">
        <f t="shared" si="21"/>
        <v>0.48722320000000008</v>
      </c>
      <c r="F34" s="38">
        <f t="shared" si="23"/>
        <v>0.14499999999999999</v>
      </c>
      <c r="G34" s="29">
        <f t="shared" si="22"/>
        <v>0.35281679999999999</v>
      </c>
      <c r="H34" s="30">
        <f t="shared" si="24"/>
        <v>1.4960000000000001E-2</v>
      </c>
      <c r="I34" s="29">
        <f t="shared" si="29"/>
        <v>4.3850088000000005</v>
      </c>
      <c r="J34" s="29">
        <f t="shared" si="25"/>
        <v>0.43499999999999994</v>
      </c>
      <c r="K34" s="29">
        <f t="shared" si="26"/>
        <v>0.70563359999999997</v>
      </c>
      <c r="L34" s="29">
        <f t="shared" si="27"/>
        <v>2.2440000000000002E-2</v>
      </c>
      <c r="M34" s="29">
        <f t="shared" si="28"/>
        <v>5.5480823999999993</v>
      </c>
      <c r="N34" s="29"/>
    </row>
    <row r="35" spans="1:14" x14ac:dyDescent="0.2">
      <c r="A35" t="s">
        <v>69</v>
      </c>
      <c r="B35" s="12">
        <v>0</v>
      </c>
      <c r="C35" t="str">
        <f t="shared" si="2"/>
        <v>A35_39_0</v>
      </c>
      <c r="D35" t="s">
        <v>76</v>
      </c>
      <c r="E35" s="29">
        <f t="shared" si="21"/>
        <v>0.40138200000000007</v>
      </c>
      <c r="F35" s="38">
        <f t="shared" si="23"/>
        <v>0.23799999999999999</v>
      </c>
      <c r="G35" s="29">
        <f t="shared" si="22"/>
        <v>0.34191800000000006</v>
      </c>
      <c r="H35" s="30">
        <f t="shared" si="24"/>
        <v>1.8700000000000001E-2</v>
      </c>
      <c r="I35" s="29">
        <f t="shared" si="29"/>
        <v>3.6124380000000005</v>
      </c>
      <c r="J35" s="29">
        <f t="shared" si="25"/>
        <v>0.71399999999999997</v>
      </c>
      <c r="K35" s="29">
        <f t="shared" si="26"/>
        <v>0.68383600000000011</v>
      </c>
      <c r="L35" s="29">
        <f t="shared" si="27"/>
        <v>2.8050000000000002E-2</v>
      </c>
      <c r="M35" s="29">
        <f t="shared" si="28"/>
        <v>5.0383240000000011</v>
      </c>
      <c r="N35" s="29"/>
    </row>
    <row r="36" spans="1:14" x14ac:dyDescent="0.2">
      <c r="A36" t="s">
        <v>70</v>
      </c>
      <c r="B36" s="12">
        <v>0</v>
      </c>
      <c r="C36" t="str">
        <f t="shared" si="2"/>
        <v>A40_44_0</v>
      </c>
      <c r="D36" t="s">
        <v>76</v>
      </c>
      <c r="E36" s="29">
        <f t="shared" si="21"/>
        <v>0.40239180000000002</v>
      </c>
      <c r="F36" s="38">
        <f t="shared" si="23"/>
        <v>0.23799999999999999</v>
      </c>
      <c r="G36" s="29">
        <f t="shared" si="22"/>
        <v>0.34277820000000003</v>
      </c>
      <c r="H36" s="30">
        <f t="shared" si="24"/>
        <v>1.6830000000000001E-2</v>
      </c>
      <c r="I36" s="29">
        <f t="shared" si="29"/>
        <v>3.6215262000000004</v>
      </c>
      <c r="J36" s="29">
        <f t="shared" si="25"/>
        <v>0.71399999999999997</v>
      </c>
      <c r="K36" s="29">
        <f t="shared" si="26"/>
        <v>0.68555640000000007</v>
      </c>
      <c r="L36" s="29">
        <f t="shared" si="27"/>
        <v>2.5245000000000004E-2</v>
      </c>
      <c r="M36" s="29">
        <f t="shared" si="28"/>
        <v>5.0463276000000006</v>
      </c>
      <c r="N36" s="29"/>
    </row>
    <row r="37" spans="1:14" x14ac:dyDescent="0.2">
      <c r="A37" t="s">
        <v>71</v>
      </c>
      <c r="B37" s="12">
        <v>0</v>
      </c>
      <c r="C37" t="str">
        <f t="shared" si="2"/>
        <v>A45_49_0</v>
      </c>
      <c r="D37" t="s">
        <v>76</v>
      </c>
      <c r="E37" s="29">
        <f t="shared" si="21"/>
        <v>0.40239180000000002</v>
      </c>
      <c r="F37" s="38">
        <f t="shared" si="23"/>
        <v>0.23799999999999999</v>
      </c>
      <c r="G37" s="29">
        <f t="shared" si="22"/>
        <v>0.34277820000000003</v>
      </c>
      <c r="H37" s="30">
        <f t="shared" si="24"/>
        <v>1.6830000000000001E-2</v>
      </c>
      <c r="I37" s="29">
        <f t="shared" si="29"/>
        <v>3.6215262000000004</v>
      </c>
      <c r="J37" s="29">
        <f t="shared" si="25"/>
        <v>0.71399999999999997</v>
      </c>
      <c r="K37" s="29">
        <f t="shared" si="26"/>
        <v>0.68555640000000007</v>
      </c>
      <c r="L37" s="29">
        <f t="shared" si="27"/>
        <v>2.5245000000000004E-2</v>
      </c>
      <c r="M37" s="29">
        <f t="shared" si="28"/>
        <v>5.0463276000000006</v>
      </c>
      <c r="N37" s="29"/>
    </row>
    <row r="38" spans="1:14" x14ac:dyDescent="0.2">
      <c r="A38" t="s">
        <v>66</v>
      </c>
      <c r="B38" t="s">
        <v>5</v>
      </c>
      <c r="C38" t="str">
        <f t="shared" si="2"/>
        <v>A15_19_Obesity</v>
      </c>
      <c r="D38" t="s">
        <v>76</v>
      </c>
      <c r="E38" s="27">
        <f t="shared" ref="E38:E44" si="30">(1-(H38+F38))*(1-O3)</f>
        <v>0.50492179999999998</v>
      </c>
      <c r="F38" s="39">
        <f>F31</f>
        <v>0.18</v>
      </c>
      <c r="G38" s="27">
        <f t="shared" ref="G38:G44" si="31">(1-(F38+H38))*O3</f>
        <v>0.30946819999999997</v>
      </c>
      <c r="H38" s="28">
        <f t="shared" si="24"/>
        <v>5.6100000000000004E-3</v>
      </c>
      <c r="I38" s="29">
        <f t="shared" si="29"/>
        <v>4.5442961999999998</v>
      </c>
      <c r="J38" s="29">
        <f t="shared" si="25"/>
        <v>0.54</v>
      </c>
      <c r="K38" s="29">
        <f t="shared" si="26"/>
        <v>0.61893639999999994</v>
      </c>
      <c r="L38" s="29">
        <f t="shared" si="27"/>
        <v>8.4150000000000006E-3</v>
      </c>
      <c r="M38" s="29">
        <f t="shared" si="28"/>
        <v>5.7116476</v>
      </c>
      <c r="N38" s="29"/>
    </row>
    <row r="39" spans="1:14" x14ac:dyDescent="0.2">
      <c r="A39" t="s">
        <v>67</v>
      </c>
      <c r="B39" t="s">
        <v>5</v>
      </c>
      <c r="C39" t="str">
        <f t="shared" si="2"/>
        <v>A20_24_Obesity</v>
      </c>
      <c r="D39" t="s">
        <v>76</v>
      </c>
      <c r="E39" s="27">
        <f t="shared" si="30"/>
        <v>0.48749120000000001</v>
      </c>
      <c r="F39" s="39">
        <f t="shared" ref="F39" si="32">F32</f>
        <v>0.122</v>
      </c>
      <c r="G39" s="27">
        <f t="shared" si="31"/>
        <v>0.3830288</v>
      </c>
      <c r="H39" s="28">
        <f t="shared" si="24"/>
        <v>7.4800000000000005E-3</v>
      </c>
      <c r="I39" s="29">
        <f t="shared" si="29"/>
        <v>4.3874208000000001</v>
      </c>
      <c r="J39" s="29">
        <f t="shared" si="25"/>
        <v>0.36599999999999999</v>
      </c>
      <c r="K39" s="29">
        <f t="shared" si="26"/>
        <v>0.76605760000000001</v>
      </c>
      <c r="L39" s="29">
        <f t="shared" si="27"/>
        <v>1.1220000000000001E-2</v>
      </c>
      <c r="M39" s="29">
        <f t="shared" si="28"/>
        <v>5.5306983999999995</v>
      </c>
      <c r="N39" s="29"/>
    </row>
    <row r="40" spans="1:14" x14ac:dyDescent="0.2">
      <c r="A40" t="s">
        <v>29</v>
      </c>
      <c r="B40" t="s">
        <v>5</v>
      </c>
      <c r="C40" t="str">
        <f t="shared" si="2"/>
        <v>A24_29_Obesity</v>
      </c>
      <c r="D40" t="s">
        <v>76</v>
      </c>
      <c r="E40" s="27">
        <f t="shared" si="30"/>
        <v>0.50273240000000008</v>
      </c>
      <c r="F40" s="39">
        <f t="shared" ref="F40" si="33">F33</f>
        <v>0.122</v>
      </c>
      <c r="G40" s="27">
        <f t="shared" si="31"/>
        <v>0.36404759999999997</v>
      </c>
      <c r="H40" s="28">
        <f t="shared" si="24"/>
        <v>1.1220000000000001E-2</v>
      </c>
      <c r="I40" s="29">
        <f t="shared" si="29"/>
        <v>4.5245916000000008</v>
      </c>
      <c r="J40" s="29">
        <f t="shared" si="25"/>
        <v>0.36599999999999999</v>
      </c>
      <c r="K40" s="29">
        <f t="shared" si="26"/>
        <v>0.72809519999999994</v>
      </c>
      <c r="L40" s="29">
        <f t="shared" si="27"/>
        <v>1.6830000000000001E-2</v>
      </c>
      <c r="M40" s="29">
        <f t="shared" si="28"/>
        <v>5.6355168000000004</v>
      </c>
      <c r="N40" s="29"/>
    </row>
    <row r="41" spans="1:14" x14ac:dyDescent="0.2">
      <c r="A41" t="s">
        <v>68</v>
      </c>
      <c r="B41" t="s">
        <v>5</v>
      </c>
      <c r="C41" t="str">
        <f t="shared" si="2"/>
        <v>A30_34_Obesity</v>
      </c>
      <c r="D41" t="s">
        <v>76</v>
      </c>
      <c r="E41" s="27">
        <f t="shared" si="30"/>
        <v>0.48722320000000008</v>
      </c>
      <c r="F41" s="39">
        <f t="shared" ref="F41" si="34">F34</f>
        <v>0.14499999999999999</v>
      </c>
      <c r="G41" s="27">
        <f t="shared" si="31"/>
        <v>0.35281679999999999</v>
      </c>
      <c r="H41" s="28">
        <f t="shared" si="24"/>
        <v>1.4960000000000001E-2</v>
      </c>
      <c r="I41" s="29">
        <f t="shared" si="29"/>
        <v>4.3850088000000005</v>
      </c>
      <c r="J41" s="29">
        <f t="shared" si="25"/>
        <v>0.43499999999999994</v>
      </c>
      <c r="K41" s="29">
        <f t="shared" si="26"/>
        <v>0.70563359999999997</v>
      </c>
      <c r="L41" s="29">
        <f t="shared" si="27"/>
        <v>2.2440000000000002E-2</v>
      </c>
      <c r="M41" s="29">
        <f t="shared" si="28"/>
        <v>5.5480823999999993</v>
      </c>
      <c r="N41" s="29"/>
    </row>
    <row r="42" spans="1:14" x14ac:dyDescent="0.2">
      <c r="A42" t="s">
        <v>69</v>
      </c>
      <c r="B42" t="s">
        <v>5</v>
      </c>
      <c r="C42" t="str">
        <f t="shared" si="2"/>
        <v>A35_39_Obesity</v>
      </c>
      <c r="D42" t="s">
        <v>76</v>
      </c>
      <c r="E42" s="27">
        <f t="shared" si="30"/>
        <v>0.40138200000000007</v>
      </c>
      <c r="F42" s="39">
        <f t="shared" ref="F42" si="35">F35</f>
        <v>0.23799999999999999</v>
      </c>
      <c r="G42" s="27">
        <f t="shared" si="31"/>
        <v>0.34191800000000006</v>
      </c>
      <c r="H42" s="28">
        <f t="shared" si="24"/>
        <v>1.8700000000000001E-2</v>
      </c>
      <c r="I42" s="29">
        <f t="shared" si="29"/>
        <v>3.6124380000000005</v>
      </c>
      <c r="J42" s="29">
        <f t="shared" si="25"/>
        <v>0.71399999999999997</v>
      </c>
      <c r="K42" s="29">
        <f t="shared" si="26"/>
        <v>0.68383600000000011</v>
      </c>
      <c r="L42" s="29">
        <f t="shared" si="27"/>
        <v>2.8050000000000002E-2</v>
      </c>
      <c r="M42" s="29">
        <f t="shared" si="28"/>
        <v>5.0383240000000011</v>
      </c>
      <c r="N42" s="29"/>
    </row>
    <row r="43" spans="1:14" x14ac:dyDescent="0.2">
      <c r="A43" t="s">
        <v>70</v>
      </c>
      <c r="B43" t="s">
        <v>5</v>
      </c>
      <c r="C43" t="str">
        <f t="shared" si="2"/>
        <v>A40_44_Obesity</v>
      </c>
      <c r="D43" t="s">
        <v>76</v>
      </c>
      <c r="E43" s="27">
        <f t="shared" si="30"/>
        <v>0.40239180000000002</v>
      </c>
      <c r="F43" s="39">
        <f t="shared" ref="F43" si="36">F36</f>
        <v>0.23799999999999999</v>
      </c>
      <c r="G43" s="27">
        <f t="shared" si="31"/>
        <v>0.34277820000000003</v>
      </c>
      <c r="H43" s="28">
        <f t="shared" si="24"/>
        <v>1.6830000000000001E-2</v>
      </c>
      <c r="I43" s="29">
        <f t="shared" si="29"/>
        <v>3.6215262000000004</v>
      </c>
      <c r="J43" s="29">
        <f t="shared" si="25"/>
        <v>0.71399999999999997</v>
      </c>
      <c r="K43" s="29">
        <f t="shared" si="26"/>
        <v>0.68555640000000007</v>
      </c>
      <c r="L43" s="29">
        <f t="shared" si="27"/>
        <v>2.5245000000000004E-2</v>
      </c>
      <c r="M43" s="29">
        <f t="shared" si="28"/>
        <v>5.0463276000000006</v>
      </c>
      <c r="N43" s="29"/>
    </row>
    <row r="44" spans="1:14" x14ac:dyDescent="0.2">
      <c r="A44" t="s">
        <v>71</v>
      </c>
      <c r="B44" t="s">
        <v>5</v>
      </c>
      <c r="C44" t="str">
        <f t="shared" si="2"/>
        <v>A45_49_Obesity</v>
      </c>
      <c r="D44" t="s">
        <v>76</v>
      </c>
      <c r="E44" s="27">
        <f t="shared" si="30"/>
        <v>0.40239180000000002</v>
      </c>
      <c r="F44" s="39">
        <f t="shared" ref="F44" si="37">F37</f>
        <v>0.23799999999999999</v>
      </c>
      <c r="G44" s="27">
        <f t="shared" si="31"/>
        <v>0.34277820000000003</v>
      </c>
      <c r="H44" s="28">
        <f t="shared" si="24"/>
        <v>1.6830000000000001E-2</v>
      </c>
      <c r="I44" s="29">
        <f t="shared" si="29"/>
        <v>3.6215262000000004</v>
      </c>
      <c r="J44" s="29">
        <f t="shared" si="25"/>
        <v>0.71399999999999997</v>
      </c>
      <c r="K44" s="29">
        <f t="shared" si="26"/>
        <v>0.68555640000000007</v>
      </c>
      <c r="L44" s="29">
        <f t="shared" si="27"/>
        <v>2.5245000000000004E-2</v>
      </c>
      <c r="M44" s="29">
        <f t="shared" si="28"/>
        <v>5.0463276000000006</v>
      </c>
      <c r="N44" s="29"/>
    </row>
    <row r="45" spans="1:14" x14ac:dyDescent="0.2">
      <c r="A45" t="s">
        <v>66</v>
      </c>
      <c r="B45" t="s">
        <v>6</v>
      </c>
      <c r="C45" t="str">
        <f t="shared" si="2"/>
        <v>A15_19_Htn</v>
      </c>
      <c r="D45" t="s">
        <v>76</v>
      </c>
      <c r="E45" s="27">
        <f t="shared" ref="E45:E51" si="38">(1-(H45+F45))*(1-O3)</f>
        <v>0.50492179999999998</v>
      </c>
      <c r="F45" s="39">
        <f>F31</f>
        <v>0.18</v>
      </c>
      <c r="G45" s="27">
        <f t="shared" ref="G45:G51" si="39">(1-(F45+H45))*O3</f>
        <v>0.30946819999999997</v>
      </c>
      <c r="H45" s="28">
        <f t="shared" si="24"/>
        <v>5.6100000000000004E-3</v>
      </c>
      <c r="I45" s="29">
        <f t="shared" si="29"/>
        <v>4.5442961999999998</v>
      </c>
      <c r="J45" s="29">
        <f t="shared" si="25"/>
        <v>0.54</v>
      </c>
      <c r="K45" s="29">
        <f t="shared" si="26"/>
        <v>0.61893639999999994</v>
      </c>
      <c r="L45" s="29">
        <f t="shared" si="27"/>
        <v>8.4150000000000006E-3</v>
      </c>
      <c r="M45" s="29">
        <f t="shared" si="28"/>
        <v>5.7116476</v>
      </c>
      <c r="N45" s="29"/>
    </row>
    <row r="46" spans="1:14" x14ac:dyDescent="0.2">
      <c r="A46" t="s">
        <v>67</v>
      </c>
      <c r="B46" t="s">
        <v>6</v>
      </c>
      <c r="C46" t="str">
        <f t="shared" si="2"/>
        <v>A20_24_Htn</v>
      </c>
      <c r="D46" t="s">
        <v>76</v>
      </c>
      <c r="E46" s="27">
        <f t="shared" si="38"/>
        <v>0.48749120000000001</v>
      </c>
      <c r="F46" s="39">
        <f t="shared" ref="F46" si="40">F32</f>
        <v>0.122</v>
      </c>
      <c r="G46" s="27">
        <f t="shared" si="39"/>
        <v>0.3830288</v>
      </c>
      <c r="H46" s="28">
        <f t="shared" si="24"/>
        <v>7.4800000000000005E-3</v>
      </c>
      <c r="I46" s="29">
        <f t="shared" si="29"/>
        <v>4.3874208000000001</v>
      </c>
      <c r="J46" s="29">
        <f t="shared" si="25"/>
        <v>0.36599999999999999</v>
      </c>
      <c r="K46" s="29">
        <f t="shared" si="26"/>
        <v>0.76605760000000001</v>
      </c>
      <c r="L46" s="29">
        <f t="shared" si="27"/>
        <v>1.1220000000000001E-2</v>
      </c>
      <c r="M46" s="29">
        <f t="shared" si="28"/>
        <v>5.5306983999999995</v>
      </c>
      <c r="N46" s="29"/>
    </row>
    <row r="47" spans="1:14" x14ac:dyDescent="0.2">
      <c r="A47" t="s">
        <v>29</v>
      </c>
      <c r="B47" t="s">
        <v>6</v>
      </c>
      <c r="C47" t="str">
        <f t="shared" si="2"/>
        <v>A24_29_Htn</v>
      </c>
      <c r="D47" t="s">
        <v>76</v>
      </c>
      <c r="E47" s="27">
        <f t="shared" si="38"/>
        <v>0.50273240000000008</v>
      </c>
      <c r="F47" s="39">
        <f t="shared" ref="F47" si="41">F33</f>
        <v>0.122</v>
      </c>
      <c r="G47" s="27">
        <f t="shared" si="39"/>
        <v>0.36404759999999997</v>
      </c>
      <c r="H47" s="28">
        <f t="shared" si="24"/>
        <v>1.1220000000000001E-2</v>
      </c>
      <c r="I47" s="29">
        <f t="shared" si="29"/>
        <v>4.5245916000000008</v>
      </c>
      <c r="J47" s="29">
        <f t="shared" si="25"/>
        <v>0.36599999999999999</v>
      </c>
      <c r="K47" s="29">
        <f t="shared" si="26"/>
        <v>0.72809519999999994</v>
      </c>
      <c r="L47" s="29">
        <f t="shared" si="27"/>
        <v>1.6830000000000001E-2</v>
      </c>
      <c r="M47" s="29">
        <f t="shared" si="28"/>
        <v>5.6355168000000004</v>
      </c>
      <c r="N47" s="29"/>
    </row>
    <row r="48" spans="1:14" x14ac:dyDescent="0.2">
      <c r="A48" t="s">
        <v>68</v>
      </c>
      <c r="B48" t="s">
        <v>6</v>
      </c>
      <c r="C48" t="str">
        <f t="shared" si="2"/>
        <v>A30_34_Htn</v>
      </c>
      <c r="D48" t="s">
        <v>76</v>
      </c>
      <c r="E48" s="27">
        <f t="shared" si="38"/>
        <v>0.48722320000000008</v>
      </c>
      <c r="F48" s="39">
        <f t="shared" ref="F48" si="42">F34</f>
        <v>0.14499999999999999</v>
      </c>
      <c r="G48" s="27">
        <f t="shared" si="39"/>
        <v>0.35281679999999999</v>
      </c>
      <c r="H48" s="28">
        <f t="shared" si="24"/>
        <v>1.4960000000000001E-2</v>
      </c>
      <c r="I48" s="29">
        <f t="shared" si="29"/>
        <v>4.3850088000000005</v>
      </c>
      <c r="J48" s="29">
        <f t="shared" si="25"/>
        <v>0.43499999999999994</v>
      </c>
      <c r="K48" s="29">
        <f t="shared" si="26"/>
        <v>0.70563359999999997</v>
      </c>
      <c r="L48" s="29">
        <f t="shared" si="27"/>
        <v>2.2440000000000002E-2</v>
      </c>
      <c r="M48" s="29">
        <f t="shared" si="28"/>
        <v>5.5480823999999993</v>
      </c>
      <c r="N48" s="29"/>
    </row>
    <row r="49" spans="1:14" x14ac:dyDescent="0.2">
      <c r="A49" t="s">
        <v>69</v>
      </c>
      <c r="B49" t="s">
        <v>6</v>
      </c>
      <c r="C49" t="str">
        <f t="shared" si="2"/>
        <v>A35_39_Htn</v>
      </c>
      <c r="D49" t="s">
        <v>76</v>
      </c>
      <c r="E49" s="27">
        <f t="shared" si="38"/>
        <v>0.40138200000000007</v>
      </c>
      <c r="F49" s="39">
        <f t="shared" ref="F49" si="43">F35</f>
        <v>0.23799999999999999</v>
      </c>
      <c r="G49" s="27">
        <f t="shared" si="39"/>
        <v>0.34191800000000006</v>
      </c>
      <c r="H49" s="28">
        <f t="shared" si="24"/>
        <v>1.8700000000000001E-2</v>
      </c>
      <c r="I49" s="29">
        <f t="shared" si="29"/>
        <v>3.6124380000000005</v>
      </c>
      <c r="J49" s="29">
        <f t="shared" si="25"/>
        <v>0.71399999999999997</v>
      </c>
      <c r="K49" s="29">
        <f t="shared" si="26"/>
        <v>0.68383600000000011</v>
      </c>
      <c r="L49" s="29">
        <f t="shared" si="27"/>
        <v>2.8050000000000002E-2</v>
      </c>
      <c r="M49" s="29">
        <f t="shared" si="28"/>
        <v>5.0383240000000011</v>
      </c>
      <c r="N49" s="29"/>
    </row>
    <row r="50" spans="1:14" x14ac:dyDescent="0.2">
      <c r="A50" t="s">
        <v>70</v>
      </c>
      <c r="B50" t="s">
        <v>6</v>
      </c>
      <c r="C50" t="str">
        <f t="shared" si="2"/>
        <v>A40_44_Htn</v>
      </c>
      <c r="D50" t="s">
        <v>76</v>
      </c>
      <c r="E50" s="27">
        <f t="shared" si="38"/>
        <v>0.40239180000000002</v>
      </c>
      <c r="F50" s="39">
        <f t="shared" ref="F50" si="44">F36</f>
        <v>0.23799999999999999</v>
      </c>
      <c r="G50" s="27">
        <f t="shared" si="39"/>
        <v>0.34277820000000003</v>
      </c>
      <c r="H50" s="28">
        <f t="shared" si="24"/>
        <v>1.6830000000000001E-2</v>
      </c>
      <c r="I50" s="29">
        <f t="shared" si="29"/>
        <v>3.6215262000000004</v>
      </c>
      <c r="J50" s="29">
        <f t="shared" si="25"/>
        <v>0.71399999999999997</v>
      </c>
      <c r="K50" s="29">
        <f t="shared" si="26"/>
        <v>0.68555640000000007</v>
      </c>
      <c r="L50" s="29">
        <f t="shared" si="27"/>
        <v>2.5245000000000004E-2</v>
      </c>
      <c r="M50" s="29">
        <f t="shared" si="28"/>
        <v>5.0463276000000006</v>
      </c>
      <c r="N50" s="29"/>
    </row>
    <row r="51" spans="1:14" x14ac:dyDescent="0.2">
      <c r="A51" t="s">
        <v>71</v>
      </c>
      <c r="B51" t="s">
        <v>6</v>
      </c>
      <c r="C51" t="str">
        <f t="shared" si="2"/>
        <v>A45_49_Htn</v>
      </c>
      <c r="D51" t="s">
        <v>76</v>
      </c>
      <c r="E51" s="27">
        <f t="shared" si="38"/>
        <v>0.40239180000000002</v>
      </c>
      <c r="F51" s="39">
        <f t="shared" ref="F51" si="45">F37</f>
        <v>0.23799999999999999</v>
      </c>
      <c r="G51" s="27">
        <f t="shared" si="39"/>
        <v>0.34277820000000003</v>
      </c>
      <c r="H51" s="28">
        <f t="shared" si="24"/>
        <v>1.6830000000000001E-2</v>
      </c>
      <c r="I51" s="29">
        <f t="shared" si="29"/>
        <v>3.6215262000000004</v>
      </c>
      <c r="J51" s="29">
        <f t="shared" si="25"/>
        <v>0.71399999999999997</v>
      </c>
      <c r="K51" s="29">
        <f t="shared" si="26"/>
        <v>0.68555640000000007</v>
      </c>
      <c r="L51" s="29">
        <f t="shared" si="27"/>
        <v>2.5245000000000004E-2</v>
      </c>
      <c r="M51" s="29">
        <f t="shared" si="28"/>
        <v>5.0463276000000006</v>
      </c>
      <c r="N51" s="29"/>
    </row>
    <row r="52" spans="1:14" x14ac:dyDescent="0.2">
      <c r="A52" t="s">
        <v>66</v>
      </c>
      <c r="B52" t="s">
        <v>7</v>
      </c>
      <c r="C52" t="str">
        <f t="shared" si="2"/>
        <v>A15_19_Smoker</v>
      </c>
      <c r="D52" t="s">
        <v>76</v>
      </c>
      <c r="E52" s="27">
        <f t="shared" ref="E52:E58" si="46">(1-(H52+F52))*(1-O3)</f>
        <v>0.45549657799999993</v>
      </c>
      <c r="F52" s="39">
        <f>F31</f>
        <v>0.18</v>
      </c>
      <c r="G52" s="27">
        <f t="shared" ref="G52:G58" si="47">(1-(F52+H52))*O3</f>
        <v>0.279175322</v>
      </c>
      <c r="H52" s="30">
        <f>H24*1.87*3.9</f>
        <v>8.5328100000000004E-2</v>
      </c>
      <c r="I52" s="29">
        <f t="shared" si="29"/>
        <v>4.099469201999999</v>
      </c>
      <c r="J52" s="29">
        <f t="shared" si="25"/>
        <v>0.54</v>
      </c>
      <c r="K52" s="29">
        <f t="shared" si="26"/>
        <v>0.55835064400000001</v>
      </c>
      <c r="L52" s="29">
        <f t="shared" si="27"/>
        <v>0.12799215</v>
      </c>
      <c r="M52" s="29">
        <f t="shared" si="28"/>
        <v>5.3258119959999988</v>
      </c>
      <c r="N52" s="29"/>
    </row>
    <row r="53" spans="1:14" x14ac:dyDescent="0.2">
      <c r="A53" t="s">
        <v>67</v>
      </c>
      <c r="B53" t="s">
        <v>7</v>
      </c>
      <c r="C53" t="str">
        <f t="shared" si="2"/>
        <v>A20_24_Smoker</v>
      </c>
      <c r="D53" t="s">
        <v>76</v>
      </c>
      <c r="E53" s="27">
        <f t="shared" si="46"/>
        <v>0.427968352</v>
      </c>
      <c r="F53" s="39">
        <f t="shared" ref="F53" si="48">F32</f>
        <v>0.122</v>
      </c>
      <c r="G53" s="27">
        <f t="shared" si="47"/>
        <v>0.336260848</v>
      </c>
      <c r="H53" s="30">
        <f t="shared" ref="H53:H58" si="49">H25*1.87*3.9</f>
        <v>0.11377079999999999</v>
      </c>
      <c r="I53" s="29">
        <f t="shared" si="29"/>
        <v>3.8517151680000001</v>
      </c>
      <c r="J53" s="29">
        <f t="shared" si="25"/>
        <v>0.36599999999999999</v>
      </c>
      <c r="K53" s="29">
        <f t="shared" si="26"/>
        <v>0.672521696</v>
      </c>
      <c r="L53" s="29">
        <f t="shared" si="27"/>
        <v>0.17065619999999998</v>
      </c>
      <c r="M53" s="29">
        <f t="shared" si="28"/>
        <v>5.0608930640000001</v>
      </c>
      <c r="N53" s="29"/>
    </row>
    <row r="54" spans="1:14" x14ac:dyDescent="0.2">
      <c r="A54" t="s">
        <v>29</v>
      </c>
      <c r="B54" t="s">
        <v>7</v>
      </c>
      <c r="C54" t="str">
        <f t="shared" si="2"/>
        <v>A24_29_Smoker</v>
      </c>
      <c r="D54" t="s">
        <v>76</v>
      </c>
      <c r="E54" s="27">
        <f t="shared" si="46"/>
        <v>0.41025940400000005</v>
      </c>
      <c r="F54" s="39">
        <f t="shared" ref="F54" si="50">F33</f>
        <v>0.122</v>
      </c>
      <c r="G54" s="27">
        <f t="shared" si="47"/>
        <v>0.29708439599999997</v>
      </c>
      <c r="H54" s="30">
        <f t="shared" si="49"/>
        <v>0.17065620000000001</v>
      </c>
      <c r="I54" s="29">
        <f t="shared" si="29"/>
        <v>3.6923346360000004</v>
      </c>
      <c r="J54" s="29">
        <f t="shared" si="25"/>
        <v>0.36599999999999999</v>
      </c>
      <c r="K54" s="29">
        <f t="shared" si="26"/>
        <v>0.59416879199999995</v>
      </c>
      <c r="L54" s="29">
        <f t="shared" si="27"/>
        <v>0.2559843</v>
      </c>
      <c r="M54" s="29">
        <f t="shared" si="28"/>
        <v>4.9084877279999999</v>
      </c>
      <c r="N54" s="29"/>
    </row>
    <row r="55" spans="1:14" x14ac:dyDescent="0.2">
      <c r="A55" t="s">
        <v>68</v>
      </c>
      <c r="B55" t="s">
        <v>7</v>
      </c>
      <c r="C55" t="str">
        <f t="shared" si="2"/>
        <v>A30_34_Smoker</v>
      </c>
      <c r="D55" t="s">
        <v>76</v>
      </c>
      <c r="E55" s="27">
        <f t="shared" si="46"/>
        <v>0.36392587200000009</v>
      </c>
      <c r="F55" s="39">
        <f t="shared" ref="F55" si="51">F34</f>
        <v>0.14499999999999999</v>
      </c>
      <c r="G55" s="27">
        <f t="shared" si="47"/>
        <v>0.26353252800000004</v>
      </c>
      <c r="H55" s="30">
        <f t="shared" si="49"/>
        <v>0.22754159999999998</v>
      </c>
      <c r="I55" s="29">
        <f t="shared" si="29"/>
        <v>3.275332848000001</v>
      </c>
      <c r="J55" s="29">
        <f t="shared" si="25"/>
        <v>0.43499999999999994</v>
      </c>
      <c r="K55" s="29">
        <f t="shared" si="26"/>
        <v>0.52706505600000009</v>
      </c>
      <c r="L55" s="29">
        <f t="shared" si="27"/>
        <v>0.34131239999999996</v>
      </c>
      <c r="M55" s="29">
        <f t="shared" si="28"/>
        <v>4.5787103040000012</v>
      </c>
      <c r="N55" s="29"/>
    </row>
    <row r="56" spans="1:14" x14ac:dyDescent="0.2">
      <c r="A56" t="s">
        <v>69</v>
      </c>
      <c r="B56" t="s">
        <v>7</v>
      </c>
      <c r="C56" t="str">
        <f t="shared" si="2"/>
        <v>A35_39_Smoker</v>
      </c>
      <c r="D56" t="s">
        <v>76</v>
      </c>
      <c r="E56" s="27">
        <f t="shared" si="46"/>
        <v>0.25788942000000004</v>
      </c>
      <c r="F56" s="39">
        <f t="shared" ref="F56" si="52">F35</f>
        <v>0.23799999999999999</v>
      </c>
      <c r="G56" s="27">
        <f t="shared" si="47"/>
        <v>0.21968358000000002</v>
      </c>
      <c r="H56" s="30">
        <f t="shared" si="49"/>
        <v>0.28442700000000004</v>
      </c>
      <c r="I56" s="29">
        <f t="shared" si="29"/>
        <v>2.3210047800000004</v>
      </c>
      <c r="J56" s="29">
        <f t="shared" si="25"/>
        <v>0.71399999999999997</v>
      </c>
      <c r="K56" s="29">
        <f t="shared" si="26"/>
        <v>0.43936716000000003</v>
      </c>
      <c r="L56" s="29">
        <f t="shared" si="27"/>
        <v>0.42664050000000009</v>
      </c>
      <c r="M56" s="29">
        <f t="shared" si="28"/>
        <v>3.9010124400000006</v>
      </c>
      <c r="N56" s="29"/>
    </row>
    <row r="57" spans="1:14" x14ac:dyDescent="0.2">
      <c r="A57" t="s">
        <v>70</v>
      </c>
      <c r="B57" t="s">
        <v>7</v>
      </c>
      <c r="C57" t="str">
        <f t="shared" si="2"/>
        <v>A40_44_Smoker</v>
      </c>
      <c r="D57" t="s">
        <v>76</v>
      </c>
      <c r="E57" s="27">
        <f t="shared" si="46"/>
        <v>0.27324847800000007</v>
      </c>
      <c r="F57" s="39">
        <f t="shared" ref="F57" si="53">F36</f>
        <v>0.23799999999999999</v>
      </c>
      <c r="G57" s="27">
        <f t="shared" si="47"/>
        <v>0.23276722200000005</v>
      </c>
      <c r="H57" s="30">
        <f t="shared" si="49"/>
        <v>0.2559843</v>
      </c>
      <c r="I57" s="29">
        <f t="shared" si="29"/>
        <v>2.4592363020000008</v>
      </c>
      <c r="J57" s="29">
        <f t="shared" si="25"/>
        <v>0.71399999999999997</v>
      </c>
      <c r="K57" s="29">
        <f t="shared" si="26"/>
        <v>0.4655344440000001</v>
      </c>
      <c r="L57" s="29">
        <f t="shared" si="27"/>
        <v>0.38397645000000002</v>
      </c>
      <c r="M57" s="29">
        <f t="shared" si="28"/>
        <v>4.022747196000001</v>
      </c>
      <c r="N57" s="29"/>
    </row>
    <row r="58" spans="1:14" x14ac:dyDescent="0.2">
      <c r="A58" t="s">
        <v>71</v>
      </c>
      <c r="B58" t="s">
        <v>7</v>
      </c>
      <c r="C58" t="str">
        <f t="shared" si="2"/>
        <v>A45_49_Smoker</v>
      </c>
      <c r="D58" t="s">
        <v>76</v>
      </c>
      <c r="E58" s="27">
        <f t="shared" si="46"/>
        <v>0.27324847800000007</v>
      </c>
      <c r="F58" s="39">
        <f t="shared" ref="F58" si="54">F37</f>
        <v>0.23799999999999999</v>
      </c>
      <c r="G58" s="27">
        <f t="shared" si="47"/>
        <v>0.23276722200000005</v>
      </c>
      <c r="H58" s="30">
        <f t="shared" si="49"/>
        <v>0.2559843</v>
      </c>
      <c r="I58" s="29">
        <f t="shared" si="29"/>
        <v>2.4592363020000008</v>
      </c>
      <c r="J58" s="29">
        <f t="shared" si="25"/>
        <v>0.71399999999999997</v>
      </c>
      <c r="K58" s="29">
        <f t="shared" si="26"/>
        <v>0.4655344440000001</v>
      </c>
      <c r="L58" s="29">
        <f t="shared" si="27"/>
        <v>0.38397645000000002</v>
      </c>
      <c r="M58" s="29">
        <f t="shared" si="28"/>
        <v>4.022747196000001</v>
      </c>
      <c r="N58" s="29"/>
    </row>
    <row r="60" spans="1:14" x14ac:dyDescent="0.2">
      <c r="A60" s="3"/>
      <c r="B60" s="8" t="s">
        <v>62</v>
      </c>
    </row>
    <row r="61" spans="1:14" x14ac:dyDescent="0.2">
      <c r="A61" s="9"/>
      <c r="B61" s="8" t="s">
        <v>14</v>
      </c>
    </row>
    <row r="62" spans="1:14" x14ac:dyDescent="0.2">
      <c r="A62" s="10"/>
      <c r="B62" s="8" t="s">
        <v>15</v>
      </c>
    </row>
    <row r="63" spans="1:14" x14ac:dyDescent="0.2">
      <c r="A63" s="11"/>
      <c r="B63" s="8" t="s">
        <v>16</v>
      </c>
    </row>
    <row r="64" spans="1:14" x14ac:dyDescent="0.2">
      <c r="A64" s="34"/>
      <c r="B64" s="23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7B27-5D9D-5D44-832A-4E9A94ACBB1C}">
  <dimension ref="A1:Q64"/>
  <sheetViews>
    <sheetView workbookViewId="0">
      <selection activeCell="N25" sqref="N25"/>
    </sheetView>
  </sheetViews>
  <sheetFormatPr baseColWidth="10" defaultColWidth="8.6640625" defaultRowHeight="15" x14ac:dyDescent="0.2"/>
  <cols>
    <col min="3" max="3" width="21.1640625" customWidth="1"/>
    <col min="4" max="4" width="9" customWidth="1"/>
    <col min="14" max="14" width="8.6640625" style="22"/>
  </cols>
  <sheetData>
    <row r="1" spans="1:17" x14ac:dyDescent="0.2">
      <c r="C1" t="s">
        <v>12</v>
      </c>
      <c r="E1" s="55">
        <v>11</v>
      </c>
      <c r="F1" s="3">
        <v>3</v>
      </c>
      <c r="G1" s="3">
        <v>2</v>
      </c>
      <c r="H1" s="3">
        <v>1.5</v>
      </c>
      <c r="O1" t="s">
        <v>25</v>
      </c>
      <c r="Q1" t="s">
        <v>23</v>
      </c>
    </row>
    <row r="2" spans="1:17" x14ac:dyDescent="0.2">
      <c r="A2" t="s">
        <v>64</v>
      </c>
      <c r="B2" t="s">
        <v>65</v>
      </c>
      <c r="C2" t="s">
        <v>63</v>
      </c>
      <c r="D2" t="s">
        <v>76</v>
      </c>
      <c r="E2" t="s">
        <v>9</v>
      </c>
      <c r="F2" t="s">
        <v>10</v>
      </c>
      <c r="G2" t="s">
        <v>11</v>
      </c>
      <c r="H2" t="s">
        <v>82</v>
      </c>
      <c r="I2" t="s">
        <v>9</v>
      </c>
      <c r="J2" t="s">
        <v>10</v>
      </c>
      <c r="K2" t="s">
        <v>11</v>
      </c>
      <c r="L2" t="s">
        <v>82</v>
      </c>
      <c r="M2" t="s">
        <v>50</v>
      </c>
      <c r="O2" t="s">
        <v>24</v>
      </c>
      <c r="Q2" t="s">
        <v>22</v>
      </c>
    </row>
    <row r="3" spans="1:17" x14ac:dyDescent="0.2">
      <c r="A3" t="s">
        <v>66</v>
      </c>
      <c r="B3" s="12">
        <v>0</v>
      </c>
      <c r="C3" t="str">
        <f>CONCATENATE(A3,"_",B3)</f>
        <v>A15_19_0</v>
      </c>
      <c r="D3" t="s">
        <v>13</v>
      </c>
      <c r="E3" s="29">
        <f t="shared" ref="E3:E9" si="0">(1-(H3+F3))*(1-O3)</f>
        <v>0.50653999999999999</v>
      </c>
      <c r="F3" s="47">
        <f>Q3</f>
        <v>0.18</v>
      </c>
      <c r="G3" s="29">
        <f t="shared" ref="G3:G9" si="1">(1-(F3+H3))*O3</f>
        <v>0.31045999999999996</v>
      </c>
      <c r="H3" s="52">
        <v>3.0000000000000001E-3</v>
      </c>
      <c r="I3" s="29">
        <f>G3*E$1</f>
        <v>3.4150599999999995</v>
      </c>
      <c r="J3" s="29">
        <f>F3*F$1</f>
        <v>0.54</v>
      </c>
      <c r="K3" s="29">
        <f>G3*G1</f>
        <v>0.62091999999999992</v>
      </c>
      <c r="L3" s="29">
        <f>H3*H$1</f>
        <v>4.5000000000000005E-3</v>
      </c>
      <c r="M3" s="29">
        <f>SUM(I3:L3)</f>
        <v>4.5804799999999997</v>
      </c>
      <c r="N3" s="29"/>
      <c r="O3">
        <v>0.38</v>
      </c>
      <c r="Q3" s="22">
        <v>0.18</v>
      </c>
    </row>
    <row r="4" spans="1:17" x14ac:dyDescent="0.2">
      <c r="A4" t="s">
        <v>67</v>
      </c>
      <c r="B4" s="12">
        <v>0</v>
      </c>
      <c r="C4" t="str">
        <f t="shared" ref="C4:C58" si="2">CONCATENATE(A4,"_",B4)</f>
        <v>A20_24_0</v>
      </c>
      <c r="D4" t="s">
        <v>13</v>
      </c>
      <c r="E4" s="29">
        <f t="shared" si="0"/>
        <v>0.48944000000000004</v>
      </c>
      <c r="F4" s="47">
        <f t="shared" ref="F4:F9" si="3">Q4</f>
        <v>0.122</v>
      </c>
      <c r="G4" s="29">
        <f t="shared" si="1"/>
        <v>0.38456000000000001</v>
      </c>
      <c r="H4" s="53">
        <v>4.0000000000000001E-3</v>
      </c>
      <c r="I4" s="29">
        <f t="shared" ref="I4:L29" si="4">E4*E$1</f>
        <v>5.3838400000000002</v>
      </c>
      <c r="J4" s="29">
        <f t="shared" si="4"/>
        <v>0.36599999999999999</v>
      </c>
      <c r="K4" s="29">
        <f t="shared" si="4"/>
        <v>0.76912000000000003</v>
      </c>
      <c r="L4" s="29">
        <f t="shared" si="4"/>
        <v>6.0000000000000001E-3</v>
      </c>
      <c r="M4" s="29">
        <f t="shared" ref="M4:M30" si="5">SUM(I4:L4)</f>
        <v>6.5249600000000001</v>
      </c>
      <c r="N4" s="29"/>
      <c r="O4">
        <v>0.44</v>
      </c>
      <c r="P4" s="37"/>
      <c r="Q4" s="22">
        <v>0.122</v>
      </c>
    </row>
    <row r="5" spans="1:17" x14ac:dyDescent="0.2">
      <c r="A5" t="s">
        <v>4</v>
      </c>
      <c r="B5" s="12">
        <v>0</v>
      </c>
      <c r="C5" t="str">
        <f t="shared" si="2"/>
        <v>A24_29_0</v>
      </c>
      <c r="D5" t="s">
        <v>13</v>
      </c>
      <c r="E5" s="29">
        <f t="shared" si="0"/>
        <v>0.5057600000000001</v>
      </c>
      <c r="F5" s="47">
        <f t="shared" si="3"/>
        <v>0.122</v>
      </c>
      <c r="G5" s="29">
        <f t="shared" si="1"/>
        <v>0.36624000000000001</v>
      </c>
      <c r="H5" s="53">
        <v>6.0000000000000001E-3</v>
      </c>
      <c r="I5" s="29">
        <f t="shared" si="4"/>
        <v>5.5633600000000012</v>
      </c>
      <c r="J5" s="29">
        <f t="shared" si="4"/>
        <v>0.36599999999999999</v>
      </c>
      <c r="K5" s="29">
        <f t="shared" si="4"/>
        <v>0.73248000000000002</v>
      </c>
      <c r="L5" s="29">
        <f t="shared" si="4"/>
        <v>9.0000000000000011E-3</v>
      </c>
      <c r="M5" s="29">
        <f t="shared" si="5"/>
        <v>6.670840000000001</v>
      </c>
      <c r="N5" s="29"/>
      <c r="O5">
        <v>0.42</v>
      </c>
      <c r="Q5" s="22">
        <v>0.122</v>
      </c>
    </row>
    <row r="6" spans="1:17" x14ac:dyDescent="0.2">
      <c r="A6" t="s">
        <v>68</v>
      </c>
      <c r="B6" s="12">
        <v>0</v>
      </c>
      <c r="C6" t="str">
        <f t="shared" si="2"/>
        <v>A30_34_0</v>
      </c>
      <c r="D6" t="s">
        <v>13</v>
      </c>
      <c r="E6" s="29">
        <f t="shared" si="0"/>
        <v>0.49126000000000003</v>
      </c>
      <c r="F6" s="47">
        <f t="shared" si="3"/>
        <v>0.14499999999999999</v>
      </c>
      <c r="G6" s="29">
        <f t="shared" si="1"/>
        <v>0.35574</v>
      </c>
      <c r="H6" s="53">
        <v>8.0000000000000002E-3</v>
      </c>
      <c r="I6" s="29">
        <f t="shared" si="4"/>
        <v>5.4038599999999999</v>
      </c>
      <c r="J6" s="29">
        <f t="shared" si="4"/>
        <v>0.43499999999999994</v>
      </c>
      <c r="K6" s="29">
        <f t="shared" si="4"/>
        <v>0.71148</v>
      </c>
      <c r="L6" s="29">
        <f t="shared" si="4"/>
        <v>1.2E-2</v>
      </c>
      <c r="M6" s="29">
        <f t="shared" si="5"/>
        <v>6.562339999999999</v>
      </c>
      <c r="N6" s="29"/>
      <c r="O6">
        <v>0.42</v>
      </c>
      <c r="Q6" s="22">
        <v>0.14499999999999999</v>
      </c>
    </row>
    <row r="7" spans="1:17" x14ac:dyDescent="0.2">
      <c r="A7" t="s">
        <v>69</v>
      </c>
      <c r="B7" s="12">
        <v>0</v>
      </c>
      <c r="C7" t="str">
        <f t="shared" si="2"/>
        <v>A35_39_0</v>
      </c>
      <c r="D7" t="s">
        <v>13</v>
      </c>
      <c r="E7" s="29">
        <f t="shared" si="0"/>
        <v>0.40608000000000005</v>
      </c>
      <c r="F7" s="47">
        <f t="shared" si="3"/>
        <v>0.23799999999999999</v>
      </c>
      <c r="G7" s="29">
        <f t="shared" si="1"/>
        <v>0.34592000000000001</v>
      </c>
      <c r="H7" s="53">
        <v>0.01</v>
      </c>
      <c r="I7" s="29">
        <f t="shared" si="4"/>
        <v>4.4668800000000006</v>
      </c>
      <c r="J7" s="29">
        <f t="shared" si="4"/>
        <v>0.71399999999999997</v>
      </c>
      <c r="K7" s="29">
        <f t="shared" si="4"/>
        <v>0.69184000000000001</v>
      </c>
      <c r="L7" s="29">
        <f t="shared" si="4"/>
        <v>1.4999999999999999E-2</v>
      </c>
      <c r="M7" s="29">
        <f t="shared" si="5"/>
        <v>5.8877199999999998</v>
      </c>
      <c r="N7" s="29"/>
      <c r="O7">
        <v>0.46</v>
      </c>
      <c r="Q7" s="22">
        <v>0.23799999999999999</v>
      </c>
    </row>
    <row r="8" spans="1:17" x14ac:dyDescent="0.2">
      <c r="A8" t="s">
        <v>70</v>
      </c>
      <c r="B8" s="12">
        <v>0</v>
      </c>
      <c r="C8" t="str">
        <f t="shared" si="2"/>
        <v>A40_44_0</v>
      </c>
      <c r="D8" t="s">
        <v>13</v>
      </c>
      <c r="E8" s="29">
        <f t="shared" si="0"/>
        <v>0.40608000000000005</v>
      </c>
      <c r="F8" s="47">
        <f t="shared" si="3"/>
        <v>0.23799999999999999</v>
      </c>
      <c r="G8" s="29">
        <f t="shared" si="1"/>
        <v>0.34592000000000001</v>
      </c>
      <c r="H8" s="53">
        <v>0.01</v>
      </c>
      <c r="I8" s="29">
        <f t="shared" si="4"/>
        <v>4.4668800000000006</v>
      </c>
      <c r="J8" s="29">
        <f t="shared" si="4"/>
        <v>0.71399999999999997</v>
      </c>
      <c r="K8" s="29">
        <f t="shared" si="4"/>
        <v>0.69184000000000001</v>
      </c>
      <c r="L8" s="29">
        <f t="shared" si="4"/>
        <v>1.4999999999999999E-2</v>
      </c>
      <c r="M8" s="29">
        <f t="shared" si="5"/>
        <v>5.8877199999999998</v>
      </c>
      <c r="N8" s="29"/>
      <c r="O8">
        <v>0.46</v>
      </c>
      <c r="Q8" s="22">
        <v>0.23799999999999999</v>
      </c>
    </row>
    <row r="9" spans="1:17" x14ac:dyDescent="0.2">
      <c r="A9" t="s">
        <v>71</v>
      </c>
      <c r="B9" s="12">
        <v>0</v>
      </c>
      <c r="C9" t="str">
        <f t="shared" si="2"/>
        <v>A45_49_0</v>
      </c>
      <c r="D9" t="s">
        <v>13</v>
      </c>
      <c r="E9" s="29">
        <f t="shared" si="0"/>
        <v>0.40608000000000005</v>
      </c>
      <c r="F9" s="47">
        <f t="shared" si="3"/>
        <v>0.23799999999999999</v>
      </c>
      <c r="G9" s="29">
        <f t="shared" si="1"/>
        <v>0.34592000000000001</v>
      </c>
      <c r="H9" s="53">
        <v>0.01</v>
      </c>
      <c r="I9" s="29">
        <f t="shared" si="4"/>
        <v>4.4668800000000006</v>
      </c>
      <c r="J9" s="29">
        <f t="shared" si="4"/>
        <v>0.71399999999999997</v>
      </c>
      <c r="K9" s="29">
        <f t="shared" si="4"/>
        <v>0.69184000000000001</v>
      </c>
      <c r="L9" s="29">
        <f t="shared" si="4"/>
        <v>1.4999999999999999E-2</v>
      </c>
      <c r="M9" s="29">
        <f t="shared" si="5"/>
        <v>5.8877199999999998</v>
      </c>
      <c r="N9" s="29"/>
      <c r="O9">
        <v>0.46</v>
      </c>
      <c r="Q9" s="22">
        <v>0.23799999999999999</v>
      </c>
    </row>
    <row r="10" spans="1:17" x14ac:dyDescent="0.2">
      <c r="A10" t="s">
        <v>66</v>
      </c>
      <c r="B10" t="s">
        <v>5</v>
      </c>
      <c r="C10" t="str">
        <f t="shared" si="2"/>
        <v>A15_19_Obesity</v>
      </c>
      <c r="D10" t="s">
        <v>13</v>
      </c>
      <c r="E10" s="27">
        <f t="shared" ref="E10:E16" si="6">(1-(H10+F10))*(1-O3)</f>
        <v>0.50653999999999999</v>
      </c>
      <c r="F10" s="39">
        <f>F3</f>
        <v>0.18</v>
      </c>
      <c r="G10" s="27">
        <f t="shared" ref="G10:G16" si="7">(1-(F10+H10))*O3</f>
        <v>0.31045999999999996</v>
      </c>
      <c r="H10" s="31">
        <f>H3</f>
        <v>3.0000000000000001E-3</v>
      </c>
      <c r="I10" s="29">
        <f t="shared" si="4"/>
        <v>5.5719399999999997</v>
      </c>
      <c r="J10" s="29">
        <f t="shared" si="4"/>
        <v>0.54</v>
      </c>
      <c r="K10" s="29">
        <f t="shared" si="4"/>
        <v>0.62091999999999992</v>
      </c>
      <c r="L10" s="29">
        <f t="shared" si="4"/>
        <v>4.5000000000000005E-3</v>
      </c>
      <c r="M10" s="29">
        <f t="shared" si="5"/>
        <v>6.7373599999999998</v>
      </c>
      <c r="N10" s="29"/>
    </row>
    <row r="11" spans="1:17" x14ac:dyDescent="0.2">
      <c r="A11" t="s">
        <v>67</v>
      </c>
      <c r="B11" t="s">
        <v>5</v>
      </c>
      <c r="C11" t="str">
        <f t="shared" si="2"/>
        <v>A20_24_Obesity</v>
      </c>
      <c r="D11" t="s">
        <v>13</v>
      </c>
      <c r="E11" s="27">
        <f t="shared" si="6"/>
        <v>0.48944000000000004</v>
      </c>
      <c r="F11" s="39">
        <f t="shared" ref="F11:F16" si="8">F4</f>
        <v>0.122</v>
      </c>
      <c r="G11" s="27">
        <f t="shared" si="7"/>
        <v>0.38456000000000001</v>
      </c>
      <c r="H11" s="31">
        <f t="shared" ref="H11:H16" si="9">H4</f>
        <v>4.0000000000000001E-3</v>
      </c>
      <c r="I11" s="29">
        <f t="shared" si="4"/>
        <v>5.3838400000000002</v>
      </c>
      <c r="J11" s="29">
        <f t="shared" si="4"/>
        <v>0.36599999999999999</v>
      </c>
      <c r="K11" s="29">
        <f t="shared" si="4"/>
        <v>0.76912000000000003</v>
      </c>
      <c r="L11" s="29">
        <f t="shared" si="4"/>
        <v>6.0000000000000001E-3</v>
      </c>
      <c r="M11" s="29">
        <f t="shared" si="5"/>
        <v>6.5249600000000001</v>
      </c>
      <c r="N11" s="29"/>
    </row>
    <row r="12" spans="1:17" x14ac:dyDescent="0.2">
      <c r="A12" t="s">
        <v>17</v>
      </c>
      <c r="B12" t="s">
        <v>5</v>
      </c>
      <c r="C12" t="str">
        <f t="shared" si="2"/>
        <v>A24_29_Obesity</v>
      </c>
      <c r="D12" t="s">
        <v>13</v>
      </c>
      <c r="E12" s="27">
        <f t="shared" si="6"/>
        <v>0.5057600000000001</v>
      </c>
      <c r="F12" s="39">
        <f t="shared" si="8"/>
        <v>0.122</v>
      </c>
      <c r="G12" s="27">
        <f t="shared" si="7"/>
        <v>0.36624000000000001</v>
      </c>
      <c r="H12" s="31">
        <f t="shared" si="9"/>
        <v>6.0000000000000001E-3</v>
      </c>
      <c r="I12" s="29">
        <f t="shared" si="4"/>
        <v>5.5633600000000012</v>
      </c>
      <c r="J12" s="29">
        <f t="shared" si="4"/>
        <v>0.36599999999999999</v>
      </c>
      <c r="K12" s="29">
        <f t="shared" si="4"/>
        <v>0.73248000000000002</v>
      </c>
      <c r="L12" s="29">
        <f t="shared" si="4"/>
        <v>9.0000000000000011E-3</v>
      </c>
      <c r="M12" s="29">
        <f t="shared" si="5"/>
        <v>6.670840000000001</v>
      </c>
      <c r="N12" s="29"/>
    </row>
    <row r="13" spans="1:17" x14ac:dyDescent="0.2">
      <c r="A13" t="s">
        <v>68</v>
      </c>
      <c r="B13" t="s">
        <v>5</v>
      </c>
      <c r="C13" t="str">
        <f t="shared" si="2"/>
        <v>A30_34_Obesity</v>
      </c>
      <c r="D13" t="s">
        <v>13</v>
      </c>
      <c r="E13" s="27">
        <f t="shared" si="6"/>
        <v>0.49126000000000003</v>
      </c>
      <c r="F13" s="39">
        <f t="shared" si="8"/>
        <v>0.14499999999999999</v>
      </c>
      <c r="G13" s="27">
        <f t="shared" si="7"/>
        <v>0.35574</v>
      </c>
      <c r="H13" s="31">
        <f t="shared" si="9"/>
        <v>8.0000000000000002E-3</v>
      </c>
      <c r="I13" s="29">
        <f t="shared" si="4"/>
        <v>5.4038599999999999</v>
      </c>
      <c r="J13" s="29">
        <f t="shared" si="4"/>
        <v>0.43499999999999994</v>
      </c>
      <c r="K13" s="29">
        <f t="shared" si="4"/>
        <v>0.71148</v>
      </c>
      <c r="L13" s="29">
        <f t="shared" si="4"/>
        <v>1.2E-2</v>
      </c>
      <c r="M13" s="29">
        <f t="shared" si="5"/>
        <v>6.562339999999999</v>
      </c>
      <c r="N13" s="29"/>
    </row>
    <row r="14" spans="1:17" x14ac:dyDescent="0.2">
      <c r="A14" t="s">
        <v>69</v>
      </c>
      <c r="B14" t="s">
        <v>5</v>
      </c>
      <c r="C14" t="str">
        <f t="shared" si="2"/>
        <v>A35_39_Obesity</v>
      </c>
      <c r="D14" t="s">
        <v>13</v>
      </c>
      <c r="E14" s="27">
        <f t="shared" si="6"/>
        <v>0.40608000000000005</v>
      </c>
      <c r="F14" s="39">
        <f t="shared" si="8"/>
        <v>0.23799999999999999</v>
      </c>
      <c r="G14" s="27">
        <f t="shared" si="7"/>
        <v>0.34592000000000001</v>
      </c>
      <c r="H14" s="31">
        <f t="shared" si="9"/>
        <v>0.01</v>
      </c>
      <c r="I14" s="29">
        <f t="shared" si="4"/>
        <v>4.4668800000000006</v>
      </c>
      <c r="J14" s="29">
        <f t="shared" si="4"/>
        <v>0.71399999999999997</v>
      </c>
      <c r="K14" s="29">
        <f t="shared" si="4"/>
        <v>0.69184000000000001</v>
      </c>
      <c r="L14" s="29">
        <f t="shared" si="4"/>
        <v>1.4999999999999999E-2</v>
      </c>
      <c r="M14" s="29">
        <f t="shared" si="5"/>
        <v>5.8877199999999998</v>
      </c>
      <c r="N14" s="29"/>
    </row>
    <row r="15" spans="1:17" x14ac:dyDescent="0.2">
      <c r="A15" t="s">
        <v>70</v>
      </c>
      <c r="B15" t="s">
        <v>5</v>
      </c>
      <c r="C15" t="str">
        <f t="shared" si="2"/>
        <v>A40_44_Obesity</v>
      </c>
      <c r="D15" t="s">
        <v>13</v>
      </c>
      <c r="E15" s="27">
        <f t="shared" si="6"/>
        <v>0.40608000000000005</v>
      </c>
      <c r="F15" s="39">
        <f t="shared" si="8"/>
        <v>0.23799999999999999</v>
      </c>
      <c r="G15" s="27">
        <f t="shared" si="7"/>
        <v>0.34592000000000001</v>
      </c>
      <c r="H15" s="31">
        <f t="shared" si="9"/>
        <v>0.01</v>
      </c>
      <c r="I15" s="29">
        <f t="shared" si="4"/>
        <v>4.4668800000000006</v>
      </c>
      <c r="J15" s="29">
        <f t="shared" si="4"/>
        <v>0.71399999999999997</v>
      </c>
      <c r="K15" s="29">
        <f t="shared" si="4"/>
        <v>0.69184000000000001</v>
      </c>
      <c r="L15" s="29">
        <f t="shared" si="4"/>
        <v>1.4999999999999999E-2</v>
      </c>
      <c r="M15" s="29">
        <f t="shared" si="5"/>
        <v>5.8877199999999998</v>
      </c>
      <c r="N15" s="29"/>
    </row>
    <row r="16" spans="1:17" x14ac:dyDescent="0.2">
      <c r="A16" t="s">
        <v>71</v>
      </c>
      <c r="B16" t="s">
        <v>5</v>
      </c>
      <c r="C16" t="str">
        <f t="shared" si="2"/>
        <v>A45_49_Obesity</v>
      </c>
      <c r="D16" t="s">
        <v>13</v>
      </c>
      <c r="E16" s="27">
        <f t="shared" si="6"/>
        <v>0.40608000000000005</v>
      </c>
      <c r="F16" s="39">
        <f t="shared" si="8"/>
        <v>0.23799999999999999</v>
      </c>
      <c r="G16" s="27">
        <f t="shared" si="7"/>
        <v>0.34592000000000001</v>
      </c>
      <c r="H16" s="31">
        <f t="shared" si="9"/>
        <v>0.01</v>
      </c>
      <c r="I16" s="29">
        <f t="shared" si="4"/>
        <v>4.4668800000000006</v>
      </c>
      <c r="J16" s="29">
        <f t="shared" si="4"/>
        <v>0.71399999999999997</v>
      </c>
      <c r="K16" s="29">
        <f t="shared" si="4"/>
        <v>0.69184000000000001</v>
      </c>
      <c r="L16" s="29">
        <f t="shared" si="4"/>
        <v>1.4999999999999999E-2</v>
      </c>
      <c r="M16" s="29">
        <f t="shared" si="5"/>
        <v>5.8877199999999998</v>
      </c>
      <c r="N16" s="29"/>
    </row>
    <row r="17" spans="1:14" x14ac:dyDescent="0.2">
      <c r="A17" t="s">
        <v>66</v>
      </c>
      <c r="B17" t="s">
        <v>6</v>
      </c>
      <c r="C17" t="str">
        <f t="shared" si="2"/>
        <v>A15_19_Htn</v>
      </c>
      <c r="D17" t="s">
        <v>13</v>
      </c>
      <c r="E17" s="27">
        <f t="shared" ref="E17:E23" si="10">(1-(H17+F17))*(1-O3)</f>
        <v>0.50653999999999999</v>
      </c>
      <c r="F17" s="39">
        <f>F3</f>
        <v>0.18</v>
      </c>
      <c r="G17" s="27">
        <f t="shared" ref="G17:G23" si="11">(1-(F17+H17))*O3</f>
        <v>0.31045999999999996</v>
      </c>
      <c r="H17" s="28">
        <f>H3</f>
        <v>3.0000000000000001E-3</v>
      </c>
      <c r="I17" s="29">
        <f t="shared" si="4"/>
        <v>5.5719399999999997</v>
      </c>
      <c r="J17" s="29">
        <f t="shared" si="4"/>
        <v>0.54</v>
      </c>
      <c r="K17" s="29">
        <f t="shared" si="4"/>
        <v>0.62091999999999992</v>
      </c>
      <c r="L17" s="29">
        <f t="shared" si="4"/>
        <v>4.5000000000000005E-3</v>
      </c>
      <c r="M17" s="29">
        <f t="shared" si="5"/>
        <v>6.7373599999999998</v>
      </c>
      <c r="N17" s="29"/>
    </row>
    <row r="18" spans="1:14" x14ac:dyDescent="0.2">
      <c r="A18" t="s">
        <v>67</v>
      </c>
      <c r="B18" t="s">
        <v>6</v>
      </c>
      <c r="C18" t="str">
        <f t="shared" si="2"/>
        <v>A20_24_Htn</v>
      </c>
      <c r="D18" t="s">
        <v>13</v>
      </c>
      <c r="E18" s="27">
        <f t="shared" si="10"/>
        <v>0.48944000000000004</v>
      </c>
      <c r="F18" s="39">
        <f t="shared" ref="F18:F23" si="12">F4</f>
        <v>0.122</v>
      </c>
      <c r="G18" s="27">
        <f t="shared" si="11"/>
        <v>0.38456000000000001</v>
      </c>
      <c r="H18" s="28">
        <f t="shared" ref="H18:H23" si="13">H4</f>
        <v>4.0000000000000001E-3</v>
      </c>
      <c r="I18" s="29">
        <f t="shared" si="4"/>
        <v>5.3838400000000002</v>
      </c>
      <c r="J18" s="29">
        <f t="shared" si="4"/>
        <v>0.36599999999999999</v>
      </c>
      <c r="K18" s="29">
        <f t="shared" si="4"/>
        <v>0.76912000000000003</v>
      </c>
      <c r="L18" s="29">
        <f t="shared" si="4"/>
        <v>6.0000000000000001E-3</v>
      </c>
      <c r="M18" s="29">
        <f t="shared" si="5"/>
        <v>6.5249600000000001</v>
      </c>
      <c r="N18" s="29"/>
    </row>
    <row r="19" spans="1:14" x14ac:dyDescent="0.2">
      <c r="A19" t="s">
        <v>17</v>
      </c>
      <c r="B19" t="s">
        <v>6</v>
      </c>
      <c r="C19" t="str">
        <f t="shared" si="2"/>
        <v>A24_29_Htn</v>
      </c>
      <c r="D19" t="s">
        <v>13</v>
      </c>
      <c r="E19" s="27">
        <f t="shared" si="10"/>
        <v>0.5057600000000001</v>
      </c>
      <c r="F19" s="39">
        <f t="shared" si="12"/>
        <v>0.122</v>
      </c>
      <c r="G19" s="27">
        <f t="shared" si="11"/>
        <v>0.36624000000000001</v>
      </c>
      <c r="H19" s="28">
        <f t="shared" si="13"/>
        <v>6.0000000000000001E-3</v>
      </c>
      <c r="I19" s="29">
        <f t="shared" si="4"/>
        <v>5.5633600000000012</v>
      </c>
      <c r="J19" s="29">
        <f t="shared" si="4"/>
        <v>0.36599999999999999</v>
      </c>
      <c r="K19" s="29">
        <f t="shared" si="4"/>
        <v>0.73248000000000002</v>
      </c>
      <c r="L19" s="29">
        <f t="shared" si="4"/>
        <v>9.0000000000000011E-3</v>
      </c>
      <c r="M19" s="29">
        <f t="shared" si="5"/>
        <v>6.670840000000001</v>
      </c>
      <c r="N19" s="29"/>
    </row>
    <row r="20" spans="1:14" x14ac:dyDescent="0.2">
      <c r="A20" t="s">
        <v>68</v>
      </c>
      <c r="B20" t="s">
        <v>6</v>
      </c>
      <c r="C20" t="str">
        <f t="shared" si="2"/>
        <v>A30_34_Htn</v>
      </c>
      <c r="D20" t="s">
        <v>13</v>
      </c>
      <c r="E20" s="27">
        <f t="shared" si="10"/>
        <v>0.49126000000000003</v>
      </c>
      <c r="F20" s="39">
        <f t="shared" si="12"/>
        <v>0.14499999999999999</v>
      </c>
      <c r="G20" s="27">
        <f t="shared" si="11"/>
        <v>0.35574</v>
      </c>
      <c r="H20" s="28">
        <f t="shared" si="13"/>
        <v>8.0000000000000002E-3</v>
      </c>
      <c r="I20" s="29">
        <f t="shared" si="4"/>
        <v>5.4038599999999999</v>
      </c>
      <c r="J20" s="29">
        <f t="shared" si="4"/>
        <v>0.43499999999999994</v>
      </c>
      <c r="K20" s="29">
        <f t="shared" si="4"/>
        <v>0.71148</v>
      </c>
      <c r="L20" s="29">
        <f t="shared" si="4"/>
        <v>1.2E-2</v>
      </c>
      <c r="M20" s="29">
        <f t="shared" si="5"/>
        <v>6.562339999999999</v>
      </c>
      <c r="N20" s="29"/>
    </row>
    <row r="21" spans="1:14" x14ac:dyDescent="0.2">
      <c r="A21" t="s">
        <v>69</v>
      </c>
      <c r="B21" t="s">
        <v>6</v>
      </c>
      <c r="C21" t="str">
        <f t="shared" si="2"/>
        <v>A35_39_Htn</v>
      </c>
      <c r="D21" t="s">
        <v>13</v>
      </c>
      <c r="E21" s="27">
        <f t="shared" si="10"/>
        <v>0.40608000000000005</v>
      </c>
      <c r="F21" s="39">
        <f t="shared" si="12"/>
        <v>0.23799999999999999</v>
      </c>
      <c r="G21" s="27">
        <f t="shared" si="11"/>
        <v>0.34592000000000001</v>
      </c>
      <c r="H21" s="28">
        <f t="shared" si="13"/>
        <v>0.01</v>
      </c>
      <c r="I21" s="29">
        <f t="shared" si="4"/>
        <v>4.4668800000000006</v>
      </c>
      <c r="J21" s="29">
        <f t="shared" si="4"/>
        <v>0.71399999999999997</v>
      </c>
      <c r="K21" s="29">
        <f t="shared" si="4"/>
        <v>0.69184000000000001</v>
      </c>
      <c r="L21" s="29">
        <f t="shared" si="4"/>
        <v>1.4999999999999999E-2</v>
      </c>
      <c r="M21" s="29">
        <f t="shared" si="5"/>
        <v>5.8877199999999998</v>
      </c>
      <c r="N21" s="29"/>
    </row>
    <row r="22" spans="1:14" x14ac:dyDescent="0.2">
      <c r="A22" t="s">
        <v>70</v>
      </c>
      <c r="B22" t="s">
        <v>6</v>
      </c>
      <c r="C22" t="str">
        <f t="shared" si="2"/>
        <v>A40_44_Htn</v>
      </c>
      <c r="D22" t="s">
        <v>13</v>
      </c>
      <c r="E22" s="27">
        <f t="shared" si="10"/>
        <v>0.40608000000000005</v>
      </c>
      <c r="F22" s="39">
        <f t="shared" si="12"/>
        <v>0.23799999999999999</v>
      </c>
      <c r="G22" s="27">
        <f t="shared" si="11"/>
        <v>0.34592000000000001</v>
      </c>
      <c r="H22" s="28">
        <f t="shared" si="13"/>
        <v>0.01</v>
      </c>
      <c r="I22" s="29">
        <f t="shared" si="4"/>
        <v>4.4668800000000006</v>
      </c>
      <c r="J22" s="29">
        <f t="shared" si="4"/>
        <v>0.71399999999999997</v>
      </c>
      <c r="K22" s="29">
        <f t="shared" si="4"/>
        <v>0.69184000000000001</v>
      </c>
      <c r="L22" s="29">
        <f t="shared" si="4"/>
        <v>1.4999999999999999E-2</v>
      </c>
      <c r="M22" s="29">
        <f t="shared" si="5"/>
        <v>5.8877199999999998</v>
      </c>
      <c r="N22" s="29"/>
    </row>
    <row r="23" spans="1:14" x14ac:dyDescent="0.2">
      <c r="A23" t="s">
        <v>71</v>
      </c>
      <c r="B23" t="s">
        <v>6</v>
      </c>
      <c r="C23" t="str">
        <f t="shared" si="2"/>
        <v>A45_49_Htn</v>
      </c>
      <c r="D23" t="s">
        <v>13</v>
      </c>
      <c r="E23" s="27">
        <f t="shared" si="10"/>
        <v>0.40608000000000005</v>
      </c>
      <c r="F23" s="39">
        <f t="shared" si="12"/>
        <v>0.23799999999999999</v>
      </c>
      <c r="G23" s="27">
        <f t="shared" si="11"/>
        <v>0.34592000000000001</v>
      </c>
      <c r="H23" s="28">
        <f t="shared" si="13"/>
        <v>0.01</v>
      </c>
      <c r="I23" s="29">
        <f t="shared" si="4"/>
        <v>4.4668800000000006</v>
      </c>
      <c r="J23" s="29">
        <f t="shared" si="4"/>
        <v>0.71399999999999997</v>
      </c>
      <c r="K23" s="29">
        <f t="shared" si="4"/>
        <v>0.69184000000000001</v>
      </c>
      <c r="L23" s="29">
        <f t="shared" si="4"/>
        <v>1.4999999999999999E-2</v>
      </c>
      <c r="M23" s="29">
        <f t="shared" si="5"/>
        <v>5.8877199999999998</v>
      </c>
      <c r="N23" s="29"/>
    </row>
    <row r="24" spans="1:14" x14ac:dyDescent="0.2">
      <c r="A24" t="s">
        <v>66</v>
      </c>
      <c r="B24" t="s">
        <v>7</v>
      </c>
      <c r="C24" t="str">
        <f t="shared" si="2"/>
        <v>A15_19_Smoker</v>
      </c>
      <c r="D24" t="s">
        <v>13</v>
      </c>
      <c r="E24" s="27">
        <f t="shared" ref="E24:E30" si="14">(1-(H24+F24))*(1-O3)</f>
        <v>0.50114599999999998</v>
      </c>
      <c r="F24" s="39">
        <f>F3</f>
        <v>0.18</v>
      </c>
      <c r="G24" s="27">
        <f t="shared" ref="G24:G30" si="15">(1-(F24+H24))*O3</f>
        <v>0.30715400000000004</v>
      </c>
      <c r="H24" s="30">
        <f>H3*3.9</f>
        <v>1.17E-2</v>
      </c>
      <c r="I24" s="29">
        <f t="shared" si="4"/>
        <v>5.5126059999999999</v>
      </c>
      <c r="J24" s="29">
        <f t="shared" si="4"/>
        <v>0.54</v>
      </c>
      <c r="K24" s="29">
        <f t="shared" si="4"/>
        <v>0.61430800000000008</v>
      </c>
      <c r="L24" s="29">
        <f t="shared" si="4"/>
        <v>1.755E-2</v>
      </c>
      <c r="M24" s="29">
        <f t="shared" si="5"/>
        <v>6.6844640000000002</v>
      </c>
      <c r="N24" s="29"/>
    </row>
    <row r="25" spans="1:14" x14ac:dyDescent="0.2">
      <c r="A25" t="s">
        <v>67</v>
      </c>
      <c r="B25" t="s">
        <v>7</v>
      </c>
      <c r="C25" t="str">
        <f t="shared" si="2"/>
        <v>A20_24_Smoker</v>
      </c>
      <c r="D25" t="s">
        <v>13</v>
      </c>
      <c r="E25" s="27">
        <f t="shared" si="14"/>
        <v>0.4829440000000001</v>
      </c>
      <c r="F25" s="39">
        <f t="shared" ref="F25:F30" si="16">F4</f>
        <v>0.122</v>
      </c>
      <c r="G25" s="27">
        <f t="shared" si="15"/>
        <v>0.37945600000000002</v>
      </c>
      <c r="H25" s="30">
        <f t="shared" ref="H25:H30" si="17">H4*3.9</f>
        <v>1.5599999999999999E-2</v>
      </c>
      <c r="I25" s="29">
        <f t="shared" si="4"/>
        <v>5.3123840000000007</v>
      </c>
      <c r="J25" s="29">
        <f t="shared" si="4"/>
        <v>0.36599999999999999</v>
      </c>
      <c r="K25" s="29">
        <f t="shared" si="4"/>
        <v>0.75891200000000003</v>
      </c>
      <c r="L25" s="29">
        <f t="shared" si="4"/>
        <v>2.3399999999999997E-2</v>
      </c>
      <c r="M25" s="29">
        <f t="shared" si="5"/>
        <v>6.4606959999999996</v>
      </c>
      <c r="N25" s="29"/>
    </row>
    <row r="26" spans="1:14" x14ac:dyDescent="0.2">
      <c r="A26" t="s">
        <v>17</v>
      </c>
      <c r="B26" t="s">
        <v>7</v>
      </c>
      <c r="C26" t="str">
        <f t="shared" si="2"/>
        <v>A24_29_Smoker</v>
      </c>
      <c r="D26" t="s">
        <v>13</v>
      </c>
      <c r="E26" s="27">
        <f t="shared" si="14"/>
        <v>0.49566800000000005</v>
      </c>
      <c r="F26" s="39">
        <f t="shared" si="16"/>
        <v>0.122</v>
      </c>
      <c r="G26" s="27">
        <f t="shared" si="15"/>
        <v>0.35893199999999997</v>
      </c>
      <c r="H26" s="30">
        <f t="shared" si="17"/>
        <v>2.3400000000000001E-2</v>
      </c>
      <c r="I26" s="29">
        <f t="shared" si="4"/>
        <v>5.4523480000000006</v>
      </c>
      <c r="J26" s="29">
        <f t="shared" si="4"/>
        <v>0.36599999999999999</v>
      </c>
      <c r="K26" s="29">
        <f t="shared" si="4"/>
        <v>0.71786399999999995</v>
      </c>
      <c r="L26" s="29">
        <f t="shared" si="4"/>
        <v>3.5099999999999999E-2</v>
      </c>
      <c r="M26" s="29">
        <f t="shared" si="5"/>
        <v>6.5713119999999998</v>
      </c>
      <c r="N26" s="29"/>
    </row>
    <row r="27" spans="1:14" x14ac:dyDescent="0.2">
      <c r="A27" t="s">
        <v>68</v>
      </c>
      <c r="B27" t="s">
        <v>7</v>
      </c>
      <c r="C27" t="str">
        <f t="shared" si="2"/>
        <v>A30_34_Smoker</v>
      </c>
      <c r="D27" t="s">
        <v>13</v>
      </c>
      <c r="E27" s="27">
        <f t="shared" si="14"/>
        <v>0.47780400000000006</v>
      </c>
      <c r="F27" s="39">
        <f t="shared" si="16"/>
        <v>0.14499999999999999</v>
      </c>
      <c r="G27" s="27">
        <f t="shared" si="15"/>
        <v>0.34599599999999997</v>
      </c>
      <c r="H27" s="30">
        <f t="shared" si="17"/>
        <v>3.1199999999999999E-2</v>
      </c>
      <c r="I27" s="29">
        <f t="shared" si="4"/>
        <v>5.2558440000000006</v>
      </c>
      <c r="J27" s="29">
        <f t="shared" si="4"/>
        <v>0.43499999999999994</v>
      </c>
      <c r="K27" s="29">
        <f t="shared" si="4"/>
        <v>0.69199199999999994</v>
      </c>
      <c r="L27" s="29">
        <f t="shared" si="4"/>
        <v>4.6799999999999994E-2</v>
      </c>
      <c r="M27" s="29">
        <f t="shared" si="5"/>
        <v>6.4296360000000004</v>
      </c>
      <c r="N27" s="29"/>
    </row>
    <row r="28" spans="1:14" x14ac:dyDescent="0.2">
      <c r="A28" t="s">
        <v>69</v>
      </c>
      <c r="B28" t="s">
        <v>7</v>
      </c>
      <c r="C28" t="str">
        <f t="shared" si="2"/>
        <v>A35_39_Smoker</v>
      </c>
      <c r="D28" t="s">
        <v>13</v>
      </c>
      <c r="E28" s="27">
        <f t="shared" si="14"/>
        <v>0.3904200000000001</v>
      </c>
      <c r="F28" s="39">
        <f t="shared" si="16"/>
        <v>0.23799999999999999</v>
      </c>
      <c r="G28" s="27">
        <f t="shared" si="15"/>
        <v>0.33258000000000004</v>
      </c>
      <c r="H28" s="30">
        <f t="shared" si="17"/>
        <v>3.9E-2</v>
      </c>
      <c r="I28" s="29">
        <f t="shared" si="4"/>
        <v>4.294620000000001</v>
      </c>
      <c r="J28" s="29">
        <f t="shared" si="4"/>
        <v>0.71399999999999997</v>
      </c>
      <c r="K28" s="29">
        <f t="shared" si="4"/>
        <v>0.66516000000000008</v>
      </c>
      <c r="L28" s="29">
        <f t="shared" si="4"/>
        <v>5.8499999999999996E-2</v>
      </c>
      <c r="M28" s="29">
        <f t="shared" si="5"/>
        <v>5.7322800000000012</v>
      </c>
      <c r="N28" s="29"/>
    </row>
    <row r="29" spans="1:14" x14ac:dyDescent="0.2">
      <c r="A29" t="s">
        <v>70</v>
      </c>
      <c r="B29" t="s">
        <v>7</v>
      </c>
      <c r="C29" t="str">
        <f t="shared" si="2"/>
        <v>A40_44_Smoker</v>
      </c>
      <c r="D29" t="s">
        <v>13</v>
      </c>
      <c r="E29" s="27">
        <f t="shared" si="14"/>
        <v>0.3904200000000001</v>
      </c>
      <c r="F29" s="39">
        <f t="shared" si="16"/>
        <v>0.23799999999999999</v>
      </c>
      <c r="G29" s="27">
        <f t="shared" si="15"/>
        <v>0.33258000000000004</v>
      </c>
      <c r="H29" s="30">
        <f t="shared" si="17"/>
        <v>3.9E-2</v>
      </c>
      <c r="I29" s="29">
        <f t="shared" si="4"/>
        <v>4.294620000000001</v>
      </c>
      <c r="J29" s="29">
        <f t="shared" si="4"/>
        <v>0.71399999999999997</v>
      </c>
      <c r="K29" s="29">
        <f t="shared" si="4"/>
        <v>0.66516000000000008</v>
      </c>
      <c r="L29" s="29">
        <f t="shared" si="4"/>
        <v>5.8499999999999996E-2</v>
      </c>
      <c r="M29" s="29">
        <f t="shared" si="5"/>
        <v>5.7322800000000012</v>
      </c>
      <c r="N29" s="29"/>
    </row>
    <row r="30" spans="1:14" x14ac:dyDescent="0.2">
      <c r="A30" t="s">
        <v>71</v>
      </c>
      <c r="B30" t="s">
        <v>7</v>
      </c>
      <c r="C30" t="str">
        <f t="shared" si="2"/>
        <v>A45_49_Smoker</v>
      </c>
      <c r="D30" t="s">
        <v>13</v>
      </c>
      <c r="E30" s="27">
        <f t="shared" si="14"/>
        <v>0.3904200000000001</v>
      </c>
      <c r="F30" s="39">
        <f t="shared" si="16"/>
        <v>0.23799999999999999</v>
      </c>
      <c r="G30" s="27">
        <f t="shared" si="15"/>
        <v>0.33258000000000004</v>
      </c>
      <c r="H30" s="30">
        <f t="shared" si="17"/>
        <v>3.9E-2</v>
      </c>
      <c r="I30" s="29">
        <f>E30*E$1</f>
        <v>4.294620000000001</v>
      </c>
      <c r="J30" s="29">
        <f t="shared" ref="J30:L30" si="18">F30*F$1</f>
        <v>0.71399999999999997</v>
      </c>
      <c r="K30" s="29">
        <f>G30*G$1</f>
        <v>0.66516000000000008</v>
      </c>
      <c r="L30" s="29">
        <f t="shared" si="18"/>
        <v>5.8499999999999996E-2</v>
      </c>
      <c r="M30" s="29">
        <f t="shared" si="5"/>
        <v>5.7322800000000012</v>
      </c>
      <c r="N30" s="29"/>
    </row>
    <row r="31" spans="1:14" x14ac:dyDescent="0.2">
      <c r="A31" t="s">
        <v>66</v>
      </c>
      <c r="B31" s="12">
        <v>0</v>
      </c>
      <c r="C31" t="str">
        <f t="shared" si="2"/>
        <v>A15_19_0</v>
      </c>
      <c r="D31" t="s">
        <v>76</v>
      </c>
      <c r="E31" s="29">
        <f t="shared" ref="E31:E37" si="19">(1-(H31+F31))*(1-O3)</f>
        <v>0.50492179999999998</v>
      </c>
      <c r="F31" s="47">
        <f>F3</f>
        <v>0.18</v>
      </c>
      <c r="G31" s="29">
        <f t="shared" ref="G31:G37" si="20">(1-(F31+H31))*O3</f>
        <v>0.30946819999999997</v>
      </c>
      <c r="H31" s="30">
        <f>H3*1.87</f>
        <v>5.6100000000000004E-3</v>
      </c>
      <c r="I31" s="29">
        <f>E31*E$1</f>
        <v>5.5541397999999997</v>
      </c>
      <c r="J31" s="29">
        <f>F31*F$1</f>
        <v>0.54</v>
      </c>
      <c r="K31" s="29">
        <f>G31*G$1</f>
        <v>0.61893639999999994</v>
      </c>
      <c r="L31" s="29">
        <f>H31*H$1</f>
        <v>8.4150000000000006E-3</v>
      </c>
      <c r="M31" s="29">
        <f>SUM(I31:L31)</f>
        <v>6.7214912</v>
      </c>
      <c r="N31" s="29"/>
    </row>
    <row r="32" spans="1:14" x14ac:dyDescent="0.2">
      <c r="A32" t="s">
        <v>67</v>
      </c>
      <c r="B32" s="12">
        <v>0</v>
      </c>
      <c r="C32" t="str">
        <f t="shared" si="2"/>
        <v>A20_24_0</v>
      </c>
      <c r="D32" t="s">
        <v>76</v>
      </c>
      <c r="E32" s="29">
        <f t="shared" si="19"/>
        <v>0.48749120000000001</v>
      </c>
      <c r="F32" s="47">
        <f t="shared" ref="F32:F37" si="21">F4</f>
        <v>0.122</v>
      </c>
      <c r="G32" s="29">
        <f t="shared" si="20"/>
        <v>0.3830288</v>
      </c>
      <c r="H32" s="30">
        <f t="shared" ref="H32:H51" si="22">H4*1.87</f>
        <v>7.4800000000000005E-3</v>
      </c>
      <c r="I32" s="29">
        <f>E32*E$1</f>
        <v>5.3624032000000001</v>
      </c>
      <c r="J32" s="29">
        <f t="shared" ref="J32:L58" si="23">F32*F$1</f>
        <v>0.36599999999999999</v>
      </c>
      <c r="K32" s="29">
        <f t="shared" si="23"/>
        <v>0.76605760000000001</v>
      </c>
      <c r="L32" s="29">
        <f t="shared" si="23"/>
        <v>1.1220000000000001E-2</v>
      </c>
      <c r="M32" s="29">
        <f t="shared" ref="M32:M58" si="24">SUM(I32:L32)</f>
        <v>6.5056807999999995</v>
      </c>
      <c r="N32" s="29"/>
    </row>
    <row r="33" spans="1:14" x14ac:dyDescent="0.2">
      <c r="A33" t="s">
        <v>4</v>
      </c>
      <c r="B33" s="12">
        <v>0</v>
      </c>
      <c r="C33" t="str">
        <f t="shared" si="2"/>
        <v>A24_29_0</v>
      </c>
      <c r="D33" t="s">
        <v>76</v>
      </c>
      <c r="E33" s="29">
        <f t="shared" si="19"/>
        <v>0.50273240000000008</v>
      </c>
      <c r="F33" s="47">
        <f t="shared" si="21"/>
        <v>0.122</v>
      </c>
      <c r="G33" s="29">
        <f t="shared" si="20"/>
        <v>0.36404759999999997</v>
      </c>
      <c r="H33" s="30">
        <f t="shared" si="22"/>
        <v>1.1220000000000001E-2</v>
      </c>
      <c r="I33" s="29">
        <f t="shared" ref="I33:I58" si="25">E33*E$1</f>
        <v>5.5300564000000012</v>
      </c>
      <c r="J33" s="29">
        <f t="shared" si="23"/>
        <v>0.36599999999999999</v>
      </c>
      <c r="K33" s="29">
        <f t="shared" si="23"/>
        <v>0.72809519999999994</v>
      </c>
      <c r="L33" s="29">
        <f t="shared" si="23"/>
        <v>1.6830000000000001E-2</v>
      </c>
      <c r="M33" s="29">
        <f t="shared" si="24"/>
        <v>6.6409816000000008</v>
      </c>
      <c r="N33" s="29"/>
    </row>
    <row r="34" spans="1:14" x14ac:dyDescent="0.2">
      <c r="A34" t="s">
        <v>68</v>
      </c>
      <c r="B34" s="12">
        <v>0</v>
      </c>
      <c r="C34" t="str">
        <f t="shared" si="2"/>
        <v>A30_34_0</v>
      </c>
      <c r="D34" t="s">
        <v>76</v>
      </c>
      <c r="E34" s="29">
        <f t="shared" si="19"/>
        <v>0.48722320000000008</v>
      </c>
      <c r="F34" s="47">
        <f t="shared" si="21"/>
        <v>0.14499999999999999</v>
      </c>
      <c r="G34" s="29">
        <f t="shared" si="20"/>
        <v>0.35281679999999999</v>
      </c>
      <c r="H34" s="30">
        <f t="shared" si="22"/>
        <v>1.4960000000000001E-2</v>
      </c>
      <c r="I34" s="29">
        <f t="shared" si="25"/>
        <v>5.3594552000000011</v>
      </c>
      <c r="J34" s="29">
        <f t="shared" si="23"/>
        <v>0.43499999999999994</v>
      </c>
      <c r="K34" s="29">
        <f t="shared" si="23"/>
        <v>0.70563359999999997</v>
      </c>
      <c r="L34" s="29">
        <f t="shared" si="23"/>
        <v>2.2440000000000002E-2</v>
      </c>
      <c r="M34" s="29">
        <f t="shared" si="24"/>
        <v>6.5225287999999999</v>
      </c>
      <c r="N34" s="29"/>
    </row>
    <row r="35" spans="1:14" x14ac:dyDescent="0.2">
      <c r="A35" t="s">
        <v>69</v>
      </c>
      <c r="B35" s="12">
        <v>0</v>
      </c>
      <c r="C35" t="str">
        <f t="shared" si="2"/>
        <v>A35_39_0</v>
      </c>
      <c r="D35" t="s">
        <v>76</v>
      </c>
      <c r="E35" s="29">
        <f t="shared" si="19"/>
        <v>0.40138200000000007</v>
      </c>
      <c r="F35" s="47">
        <f t="shared" si="21"/>
        <v>0.23799999999999999</v>
      </c>
      <c r="G35" s="29">
        <f t="shared" si="20"/>
        <v>0.34191800000000006</v>
      </c>
      <c r="H35" s="30">
        <f t="shared" si="22"/>
        <v>1.8700000000000001E-2</v>
      </c>
      <c r="I35" s="29">
        <f t="shared" si="25"/>
        <v>4.4152020000000007</v>
      </c>
      <c r="J35" s="29">
        <f t="shared" si="23"/>
        <v>0.71399999999999997</v>
      </c>
      <c r="K35" s="29">
        <f t="shared" si="23"/>
        <v>0.68383600000000011</v>
      </c>
      <c r="L35" s="29">
        <f t="shared" si="23"/>
        <v>2.8050000000000002E-2</v>
      </c>
      <c r="M35" s="29">
        <f t="shared" si="24"/>
        <v>5.8410880000000018</v>
      </c>
      <c r="N35" s="29"/>
    </row>
    <row r="36" spans="1:14" x14ac:dyDescent="0.2">
      <c r="A36" t="s">
        <v>70</v>
      </c>
      <c r="B36" s="12">
        <v>0</v>
      </c>
      <c r="C36" t="str">
        <f t="shared" si="2"/>
        <v>A40_44_0</v>
      </c>
      <c r="D36" t="s">
        <v>76</v>
      </c>
      <c r="E36" s="29">
        <f t="shared" si="19"/>
        <v>0.40138200000000007</v>
      </c>
      <c r="F36" s="47">
        <f t="shared" si="21"/>
        <v>0.23799999999999999</v>
      </c>
      <c r="G36" s="29">
        <f t="shared" si="20"/>
        <v>0.34191800000000006</v>
      </c>
      <c r="H36" s="30">
        <f t="shared" si="22"/>
        <v>1.8700000000000001E-2</v>
      </c>
      <c r="I36" s="29">
        <f t="shared" si="25"/>
        <v>4.4152020000000007</v>
      </c>
      <c r="J36" s="29">
        <f t="shared" si="23"/>
        <v>0.71399999999999997</v>
      </c>
      <c r="K36" s="29">
        <f t="shared" si="23"/>
        <v>0.68383600000000011</v>
      </c>
      <c r="L36" s="29">
        <f t="shared" si="23"/>
        <v>2.8050000000000002E-2</v>
      </c>
      <c r="M36" s="29">
        <f t="shared" si="24"/>
        <v>5.8410880000000018</v>
      </c>
      <c r="N36" s="29"/>
    </row>
    <row r="37" spans="1:14" x14ac:dyDescent="0.2">
      <c r="A37" t="s">
        <v>71</v>
      </c>
      <c r="B37" s="12">
        <v>0</v>
      </c>
      <c r="C37" t="str">
        <f t="shared" si="2"/>
        <v>A45_49_0</v>
      </c>
      <c r="D37" t="s">
        <v>76</v>
      </c>
      <c r="E37" s="29">
        <f t="shared" si="19"/>
        <v>0.40138200000000007</v>
      </c>
      <c r="F37" s="47">
        <f t="shared" si="21"/>
        <v>0.23799999999999999</v>
      </c>
      <c r="G37" s="29">
        <f t="shared" si="20"/>
        <v>0.34191800000000006</v>
      </c>
      <c r="H37" s="30">
        <f t="shared" si="22"/>
        <v>1.8700000000000001E-2</v>
      </c>
      <c r="I37" s="29">
        <f t="shared" si="25"/>
        <v>4.4152020000000007</v>
      </c>
      <c r="J37" s="29">
        <f t="shared" si="23"/>
        <v>0.71399999999999997</v>
      </c>
      <c r="K37" s="29">
        <f t="shared" si="23"/>
        <v>0.68383600000000011</v>
      </c>
      <c r="L37" s="29">
        <f t="shared" si="23"/>
        <v>2.8050000000000002E-2</v>
      </c>
      <c r="M37" s="29">
        <f t="shared" si="24"/>
        <v>5.8410880000000018</v>
      </c>
      <c r="N37" s="29"/>
    </row>
    <row r="38" spans="1:14" x14ac:dyDescent="0.2">
      <c r="A38" t="s">
        <v>66</v>
      </c>
      <c r="B38" t="s">
        <v>5</v>
      </c>
      <c r="C38" t="str">
        <f t="shared" si="2"/>
        <v>A15_19_Obesity</v>
      </c>
      <c r="D38" t="s">
        <v>76</v>
      </c>
      <c r="E38" s="27">
        <f t="shared" ref="E38:E44" si="26">(1-(H38+F38))*(1-O3)</f>
        <v>0.50492179999999998</v>
      </c>
      <c r="F38" s="39">
        <f>F31</f>
        <v>0.18</v>
      </c>
      <c r="G38" s="27">
        <f t="shared" ref="G38:G44" si="27">(1-(F38+H38))*O3</f>
        <v>0.30946819999999997</v>
      </c>
      <c r="H38" s="28">
        <f t="shared" si="22"/>
        <v>5.6100000000000004E-3</v>
      </c>
      <c r="I38" s="29">
        <f t="shared" si="25"/>
        <v>5.5541397999999997</v>
      </c>
      <c r="J38" s="29">
        <f t="shared" si="23"/>
        <v>0.54</v>
      </c>
      <c r="K38" s="29">
        <f t="shared" si="23"/>
        <v>0.61893639999999994</v>
      </c>
      <c r="L38" s="29">
        <f t="shared" si="23"/>
        <v>8.4150000000000006E-3</v>
      </c>
      <c r="M38" s="29">
        <f t="shared" si="24"/>
        <v>6.7214912</v>
      </c>
      <c r="N38" s="29"/>
    </row>
    <row r="39" spans="1:14" x14ac:dyDescent="0.2">
      <c r="A39" t="s">
        <v>67</v>
      </c>
      <c r="B39" t="s">
        <v>5</v>
      </c>
      <c r="C39" t="str">
        <f t="shared" si="2"/>
        <v>A20_24_Obesity</v>
      </c>
      <c r="D39" t="s">
        <v>76</v>
      </c>
      <c r="E39" s="27">
        <f t="shared" si="26"/>
        <v>0.48749120000000001</v>
      </c>
      <c r="F39" s="39">
        <f t="shared" ref="F39:F44" si="28">F32</f>
        <v>0.122</v>
      </c>
      <c r="G39" s="27">
        <f t="shared" si="27"/>
        <v>0.3830288</v>
      </c>
      <c r="H39" s="28">
        <f t="shared" si="22"/>
        <v>7.4800000000000005E-3</v>
      </c>
      <c r="I39" s="29">
        <f t="shared" si="25"/>
        <v>5.3624032000000001</v>
      </c>
      <c r="J39" s="29">
        <f t="shared" si="23"/>
        <v>0.36599999999999999</v>
      </c>
      <c r="K39" s="29">
        <f t="shared" si="23"/>
        <v>0.76605760000000001</v>
      </c>
      <c r="L39" s="29">
        <f t="shared" si="23"/>
        <v>1.1220000000000001E-2</v>
      </c>
      <c r="M39" s="29">
        <f t="shared" si="24"/>
        <v>6.5056807999999995</v>
      </c>
      <c r="N39" s="29"/>
    </row>
    <row r="40" spans="1:14" x14ac:dyDescent="0.2">
      <c r="A40" t="s">
        <v>17</v>
      </c>
      <c r="B40" t="s">
        <v>5</v>
      </c>
      <c r="C40" t="str">
        <f t="shared" si="2"/>
        <v>A24_29_Obesity</v>
      </c>
      <c r="D40" t="s">
        <v>76</v>
      </c>
      <c r="E40" s="27">
        <f t="shared" si="26"/>
        <v>0.50273240000000008</v>
      </c>
      <c r="F40" s="39">
        <f t="shared" si="28"/>
        <v>0.122</v>
      </c>
      <c r="G40" s="27">
        <f t="shared" si="27"/>
        <v>0.36404759999999997</v>
      </c>
      <c r="H40" s="28">
        <f t="shared" si="22"/>
        <v>1.1220000000000001E-2</v>
      </c>
      <c r="I40" s="29">
        <f t="shared" si="25"/>
        <v>5.5300564000000012</v>
      </c>
      <c r="J40" s="29">
        <f t="shared" si="23"/>
        <v>0.36599999999999999</v>
      </c>
      <c r="K40" s="29">
        <f t="shared" si="23"/>
        <v>0.72809519999999994</v>
      </c>
      <c r="L40" s="29">
        <f t="shared" si="23"/>
        <v>1.6830000000000001E-2</v>
      </c>
      <c r="M40" s="29">
        <f t="shared" si="24"/>
        <v>6.6409816000000008</v>
      </c>
      <c r="N40" s="29"/>
    </row>
    <row r="41" spans="1:14" x14ac:dyDescent="0.2">
      <c r="A41" t="s">
        <v>68</v>
      </c>
      <c r="B41" t="s">
        <v>5</v>
      </c>
      <c r="C41" t="str">
        <f t="shared" si="2"/>
        <v>A30_34_Obesity</v>
      </c>
      <c r="D41" t="s">
        <v>76</v>
      </c>
      <c r="E41" s="27">
        <f t="shared" si="26"/>
        <v>0.48722320000000008</v>
      </c>
      <c r="F41" s="39">
        <f t="shared" si="28"/>
        <v>0.14499999999999999</v>
      </c>
      <c r="G41" s="27">
        <f t="shared" si="27"/>
        <v>0.35281679999999999</v>
      </c>
      <c r="H41" s="28">
        <f t="shared" si="22"/>
        <v>1.4960000000000001E-2</v>
      </c>
      <c r="I41" s="29">
        <f t="shared" si="25"/>
        <v>5.3594552000000011</v>
      </c>
      <c r="J41" s="29">
        <f t="shared" si="23"/>
        <v>0.43499999999999994</v>
      </c>
      <c r="K41" s="29">
        <f t="shared" si="23"/>
        <v>0.70563359999999997</v>
      </c>
      <c r="L41" s="29">
        <f t="shared" si="23"/>
        <v>2.2440000000000002E-2</v>
      </c>
      <c r="M41" s="29">
        <f t="shared" si="24"/>
        <v>6.5225287999999999</v>
      </c>
      <c r="N41" s="29"/>
    </row>
    <row r="42" spans="1:14" x14ac:dyDescent="0.2">
      <c r="A42" t="s">
        <v>69</v>
      </c>
      <c r="B42" t="s">
        <v>5</v>
      </c>
      <c r="C42" t="str">
        <f t="shared" si="2"/>
        <v>A35_39_Obesity</v>
      </c>
      <c r="D42" t="s">
        <v>76</v>
      </c>
      <c r="E42" s="27">
        <f t="shared" si="26"/>
        <v>0.40138200000000007</v>
      </c>
      <c r="F42" s="39">
        <f t="shared" si="28"/>
        <v>0.23799999999999999</v>
      </c>
      <c r="G42" s="27">
        <f t="shared" si="27"/>
        <v>0.34191800000000006</v>
      </c>
      <c r="H42" s="28">
        <f t="shared" si="22"/>
        <v>1.8700000000000001E-2</v>
      </c>
      <c r="I42" s="29">
        <f t="shared" si="25"/>
        <v>4.4152020000000007</v>
      </c>
      <c r="J42" s="29">
        <f t="shared" si="23"/>
        <v>0.71399999999999997</v>
      </c>
      <c r="K42" s="29">
        <f t="shared" si="23"/>
        <v>0.68383600000000011</v>
      </c>
      <c r="L42" s="29">
        <f t="shared" si="23"/>
        <v>2.8050000000000002E-2</v>
      </c>
      <c r="M42" s="29">
        <f t="shared" si="24"/>
        <v>5.8410880000000018</v>
      </c>
      <c r="N42" s="29"/>
    </row>
    <row r="43" spans="1:14" x14ac:dyDescent="0.2">
      <c r="A43" t="s">
        <v>70</v>
      </c>
      <c r="B43" t="s">
        <v>5</v>
      </c>
      <c r="C43" t="str">
        <f t="shared" si="2"/>
        <v>A40_44_Obesity</v>
      </c>
      <c r="D43" t="s">
        <v>76</v>
      </c>
      <c r="E43" s="27">
        <f t="shared" si="26"/>
        <v>0.40138200000000007</v>
      </c>
      <c r="F43" s="39">
        <f t="shared" si="28"/>
        <v>0.23799999999999999</v>
      </c>
      <c r="G43" s="27">
        <f t="shared" si="27"/>
        <v>0.34191800000000006</v>
      </c>
      <c r="H43" s="28">
        <f t="shared" si="22"/>
        <v>1.8700000000000001E-2</v>
      </c>
      <c r="I43" s="29">
        <f t="shared" si="25"/>
        <v>4.4152020000000007</v>
      </c>
      <c r="J43" s="29">
        <f t="shared" si="23"/>
        <v>0.71399999999999997</v>
      </c>
      <c r="K43" s="29">
        <f t="shared" si="23"/>
        <v>0.68383600000000011</v>
      </c>
      <c r="L43" s="29">
        <f t="shared" si="23"/>
        <v>2.8050000000000002E-2</v>
      </c>
      <c r="M43" s="29">
        <f t="shared" si="24"/>
        <v>5.8410880000000018</v>
      </c>
      <c r="N43" s="29"/>
    </row>
    <row r="44" spans="1:14" x14ac:dyDescent="0.2">
      <c r="A44" t="s">
        <v>71</v>
      </c>
      <c r="B44" t="s">
        <v>5</v>
      </c>
      <c r="C44" t="str">
        <f t="shared" si="2"/>
        <v>A45_49_Obesity</v>
      </c>
      <c r="D44" t="s">
        <v>76</v>
      </c>
      <c r="E44" s="27">
        <f t="shared" si="26"/>
        <v>0.40138200000000007</v>
      </c>
      <c r="F44" s="39">
        <f t="shared" si="28"/>
        <v>0.23799999999999999</v>
      </c>
      <c r="G44" s="27">
        <f t="shared" si="27"/>
        <v>0.34191800000000006</v>
      </c>
      <c r="H44" s="28">
        <f t="shared" si="22"/>
        <v>1.8700000000000001E-2</v>
      </c>
      <c r="I44" s="29">
        <f t="shared" si="25"/>
        <v>4.4152020000000007</v>
      </c>
      <c r="J44" s="29">
        <f t="shared" si="23"/>
        <v>0.71399999999999997</v>
      </c>
      <c r="K44" s="29">
        <f t="shared" si="23"/>
        <v>0.68383600000000011</v>
      </c>
      <c r="L44" s="29">
        <f t="shared" si="23"/>
        <v>2.8050000000000002E-2</v>
      </c>
      <c r="M44" s="29">
        <f t="shared" si="24"/>
        <v>5.8410880000000018</v>
      </c>
      <c r="N44" s="29"/>
    </row>
    <row r="45" spans="1:14" x14ac:dyDescent="0.2">
      <c r="A45" t="s">
        <v>66</v>
      </c>
      <c r="B45" t="s">
        <v>6</v>
      </c>
      <c r="C45" t="str">
        <f t="shared" si="2"/>
        <v>A15_19_Htn</v>
      </c>
      <c r="D45" t="s">
        <v>76</v>
      </c>
      <c r="E45" s="27">
        <f t="shared" ref="E45:E51" si="29">(1-(H45+F45))*(1-O3)</f>
        <v>0.50492179999999998</v>
      </c>
      <c r="F45" s="39">
        <f>F31</f>
        <v>0.18</v>
      </c>
      <c r="G45" s="27">
        <f t="shared" ref="G45:G51" si="30">(1-(F45+H45))*O3</f>
        <v>0.30946819999999997</v>
      </c>
      <c r="H45" s="28">
        <f t="shared" si="22"/>
        <v>5.6100000000000004E-3</v>
      </c>
      <c r="I45" s="29">
        <f t="shared" si="25"/>
        <v>5.5541397999999997</v>
      </c>
      <c r="J45" s="29">
        <f t="shared" si="23"/>
        <v>0.54</v>
      </c>
      <c r="K45" s="29">
        <f t="shared" si="23"/>
        <v>0.61893639999999994</v>
      </c>
      <c r="L45" s="29">
        <f t="shared" si="23"/>
        <v>8.4150000000000006E-3</v>
      </c>
      <c r="M45" s="29">
        <f t="shared" si="24"/>
        <v>6.7214912</v>
      </c>
      <c r="N45" s="29"/>
    </row>
    <row r="46" spans="1:14" x14ac:dyDescent="0.2">
      <c r="A46" t="s">
        <v>67</v>
      </c>
      <c r="B46" t="s">
        <v>6</v>
      </c>
      <c r="C46" t="str">
        <f t="shared" si="2"/>
        <v>A20_24_Htn</v>
      </c>
      <c r="D46" t="s">
        <v>76</v>
      </c>
      <c r="E46" s="27">
        <f t="shared" si="29"/>
        <v>0.48749120000000001</v>
      </c>
      <c r="F46" s="39">
        <f t="shared" ref="F46:F51" si="31">F32</f>
        <v>0.122</v>
      </c>
      <c r="G46" s="27">
        <f t="shared" si="30"/>
        <v>0.3830288</v>
      </c>
      <c r="H46" s="28">
        <f t="shared" si="22"/>
        <v>7.4800000000000005E-3</v>
      </c>
      <c r="I46" s="29">
        <f t="shared" si="25"/>
        <v>5.3624032000000001</v>
      </c>
      <c r="J46" s="29">
        <f t="shared" si="23"/>
        <v>0.36599999999999999</v>
      </c>
      <c r="K46" s="29">
        <f t="shared" si="23"/>
        <v>0.76605760000000001</v>
      </c>
      <c r="L46" s="29">
        <f t="shared" si="23"/>
        <v>1.1220000000000001E-2</v>
      </c>
      <c r="M46" s="29">
        <f t="shared" si="24"/>
        <v>6.5056807999999995</v>
      </c>
      <c r="N46" s="29"/>
    </row>
    <row r="47" spans="1:14" x14ac:dyDescent="0.2">
      <c r="A47" t="s">
        <v>17</v>
      </c>
      <c r="B47" t="s">
        <v>6</v>
      </c>
      <c r="C47" t="str">
        <f t="shared" si="2"/>
        <v>A24_29_Htn</v>
      </c>
      <c r="D47" t="s">
        <v>76</v>
      </c>
      <c r="E47" s="27">
        <f t="shared" si="29"/>
        <v>0.50273240000000008</v>
      </c>
      <c r="F47" s="39">
        <f t="shared" si="31"/>
        <v>0.122</v>
      </c>
      <c r="G47" s="27">
        <f t="shared" si="30"/>
        <v>0.36404759999999997</v>
      </c>
      <c r="H47" s="28">
        <f t="shared" si="22"/>
        <v>1.1220000000000001E-2</v>
      </c>
      <c r="I47" s="29">
        <f t="shared" si="25"/>
        <v>5.5300564000000012</v>
      </c>
      <c r="J47" s="29">
        <f t="shared" si="23"/>
        <v>0.36599999999999999</v>
      </c>
      <c r="K47" s="29">
        <f t="shared" si="23"/>
        <v>0.72809519999999994</v>
      </c>
      <c r="L47" s="29">
        <f t="shared" si="23"/>
        <v>1.6830000000000001E-2</v>
      </c>
      <c r="M47" s="29">
        <f t="shared" si="24"/>
        <v>6.6409816000000008</v>
      </c>
      <c r="N47" s="29"/>
    </row>
    <row r="48" spans="1:14" x14ac:dyDescent="0.2">
      <c r="A48" t="s">
        <v>68</v>
      </c>
      <c r="B48" t="s">
        <v>6</v>
      </c>
      <c r="C48" t="str">
        <f t="shared" si="2"/>
        <v>A30_34_Htn</v>
      </c>
      <c r="D48" t="s">
        <v>76</v>
      </c>
      <c r="E48" s="27">
        <f t="shared" si="29"/>
        <v>0.48722320000000008</v>
      </c>
      <c r="F48" s="39">
        <f t="shared" si="31"/>
        <v>0.14499999999999999</v>
      </c>
      <c r="G48" s="27">
        <f t="shared" si="30"/>
        <v>0.35281679999999999</v>
      </c>
      <c r="H48" s="28">
        <f t="shared" si="22"/>
        <v>1.4960000000000001E-2</v>
      </c>
      <c r="I48" s="29">
        <f t="shared" si="25"/>
        <v>5.3594552000000011</v>
      </c>
      <c r="J48" s="29">
        <f t="shared" si="23"/>
        <v>0.43499999999999994</v>
      </c>
      <c r="K48" s="29">
        <f t="shared" si="23"/>
        <v>0.70563359999999997</v>
      </c>
      <c r="L48" s="29">
        <f t="shared" si="23"/>
        <v>2.2440000000000002E-2</v>
      </c>
      <c r="M48" s="29">
        <f t="shared" si="24"/>
        <v>6.5225287999999999</v>
      </c>
      <c r="N48" s="29"/>
    </row>
    <row r="49" spans="1:14" x14ac:dyDescent="0.2">
      <c r="A49" t="s">
        <v>69</v>
      </c>
      <c r="B49" t="s">
        <v>6</v>
      </c>
      <c r="C49" t="str">
        <f t="shared" si="2"/>
        <v>A35_39_Htn</v>
      </c>
      <c r="D49" t="s">
        <v>76</v>
      </c>
      <c r="E49" s="27">
        <f t="shared" si="29"/>
        <v>0.40138200000000007</v>
      </c>
      <c r="F49" s="39">
        <f t="shared" si="31"/>
        <v>0.23799999999999999</v>
      </c>
      <c r="G49" s="27">
        <f t="shared" si="30"/>
        <v>0.34191800000000006</v>
      </c>
      <c r="H49" s="28">
        <f t="shared" si="22"/>
        <v>1.8700000000000001E-2</v>
      </c>
      <c r="I49" s="29">
        <f t="shared" si="25"/>
        <v>4.4152020000000007</v>
      </c>
      <c r="J49" s="29">
        <f t="shared" si="23"/>
        <v>0.71399999999999997</v>
      </c>
      <c r="K49" s="29">
        <f t="shared" si="23"/>
        <v>0.68383600000000011</v>
      </c>
      <c r="L49" s="29">
        <f t="shared" si="23"/>
        <v>2.8050000000000002E-2</v>
      </c>
      <c r="M49" s="29">
        <f t="shared" si="24"/>
        <v>5.8410880000000018</v>
      </c>
      <c r="N49" s="29"/>
    </row>
    <row r="50" spans="1:14" x14ac:dyDescent="0.2">
      <c r="A50" t="s">
        <v>70</v>
      </c>
      <c r="B50" t="s">
        <v>6</v>
      </c>
      <c r="C50" t="str">
        <f t="shared" si="2"/>
        <v>A40_44_Htn</v>
      </c>
      <c r="D50" t="s">
        <v>76</v>
      </c>
      <c r="E50" s="27">
        <f t="shared" si="29"/>
        <v>0.40138200000000007</v>
      </c>
      <c r="F50" s="39">
        <f t="shared" si="31"/>
        <v>0.23799999999999999</v>
      </c>
      <c r="G50" s="27">
        <f t="shared" si="30"/>
        <v>0.34191800000000006</v>
      </c>
      <c r="H50" s="28">
        <f t="shared" si="22"/>
        <v>1.8700000000000001E-2</v>
      </c>
      <c r="I50" s="29">
        <f t="shared" si="25"/>
        <v>4.4152020000000007</v>
      </c>
      <c r="J50" s="29">
        <f t="shared" si="23"/>
        <v>0.71399999999999997</v>
      </c>
      <c r="K50" s="29">
        <f t="shared" si="23"/>
        <v>0.68383600000000011</v>
      </c>
      <c r="L50" s="29">
        <f t="shared" si="23"/>
        <v>2.8050000000000002E-2</v>
      </c>
      <c r="M50" s="29">
        <f t="shared" si="24"/>
        <v>5.8410880000000018</v>
      </c>
      <c r="N50" s="29"/>
    </row>
    <row r="51" spans="1:14" x14ac:dyDescent="0.2">
      <c r="A51" t="s">
        <v>71</v>
      </c>
      <c r="B51" t="s">
        <v>6</v>
      </c>
      <c r="C51" t="str">
        <f t="shared" si="2"/>
        <v>A45_49_Htn</v>
      </c>
      <c r="D51" t="s">
        <v>76</v>
      </c>
      <c r="E51" s="27">
        <f t="shared" si="29"/>
        <v>0.40138200000000007</v>
      </c>
      <c r="F51" s="39">
        <f t="shared" si="31"/>
        <v>0.23799999999999999</v>
      </c>
      <c r="G51" s="27">
        <f t="shared" si="30"/>
        <v>0.34191800000000006</v>
      </c>
      <c r="H51" s="28">
        <f t="shared" si="22"/>
        <v>1.8700000000000001E-2</v>
      </c>
      <c r="I51" s="29">
        <f t="shared" si="25"/>
        <v>4.4152020000000007</v>
      </c>
      <c r="J51" s="29">
        <f t="shared" si="23"/>
        <v>0.71399999999999997</v>
      </c>
      <c r="K51" s="29">
        <f t="shared" si="23"/>
        <v>0.68383600000000011</v>
      </c>
      <c r="L51" s="29">
        <f t="shared" si="23"/>
        <v>2.8050000000000002E-2</v>
      </c>
      <c r="M51" s="29">
        <f t="shared" si="24"/>
        <v>5.8410880000000018</v>
      </c>
      <c r="N51" s="29"/>
    </row>
    <row r="52" spans="1:14" x14ac:dyDescent="0.2">
      <c r="A52" t="s">
        <v>66</v>
      </c>
      <c r="B52" t="s">
        <v>7</v>
      </c>
      <c r="C52" t="str">
        <f t="shared" si="2"/>
        <v>A15_19_Smoker</v>
      </c>
      <c r="D52" t="s">
        <v>76</v>
      </c>
      <c r="E52" s="27">
        <f t="shared" ref="E52:E58" si="32">(1-(H52+F52))*(1-O3)</f>
        <v>0.45549657799999993</v>
      </c>
      <c r="F52" s="39">
        <f>F31</f>
        <v>0.18</v>
      </c>
      <c r="G52" s="27">
        <f t="shared" ref="G52:G58" si="33">(1-(F52+H52))*O3</f>
        <v>0.279175322</v>
      </c>
      <c r="H52" s="30">
        <f>H24*1.87*3.9</f>
        <v>8.5328100000000004E-2</v>
      </c>
      <c r="I52" s="29">
        <f t="shared" si="25"/>
        <v>5.010462357999999</v>
      </c>
      <c r="J52" s="29">
        <f t="shared" si="23"/>
        <v>0.54</v>
      </c>
      <c r="K52" s="29">
        <f t="shared" si="23"/>
        <v>0.55835064400000001</v>
      </c>
      <c r="L52" s="29">
        <f t="shared" si="23"/>
        <v>0.12799215</v>
      </c>
      <c r="M52" s="29">
        <f t="shared" si="24"/>
        <v>6.2368051519999987</v>
      </c>
      <c r="N52" s="29"/>
    </row>
    <row r="53" spans="1:14" x14ac:dyDescent="0.2">
      <c r="A53" t="s">
        <v>67</v>
      </c>
      <c r="B53" t="s">
        <v>7</v>
      </c>
      <c r="C53" t="str">
        <f t="shared" si="2"/>
        <v>A20_24_Smoker</v>
      </c>
      <c r="D53" t="s">
        <v>76</v>
      </c>
      <c r="E53" s="27">
        <f t="shared" si="32"/>
        <v>0.427968352</v>
      </c>
      <c r="F53" s="39">
        <f t="shared" ref="F53:F58" si="34">F32</f>
        <v>0.122</v>
      </c>
      <c r="G53" s="27">
        <f t="shared" si="33"/>
        <v>0.336260848</v>
      </c>
      <c r="H53" s="30">
        <f t="shared" ref="H53:H58" si="35">H25*1.87*3.9</f>
        <v>0.11377079999999999</v>
      </c>
      <c r="I53" s="29">
        <f t="shared" si="25"/>
        <v>4.7076518719999996</v>
      </c>
      <c r="J53" s="29">
        <f t="shared" si="23"/>
        <v>0.36599999999999999</v>
      </c>
      <c r="K53" s="29">
        <f t="shared" si="23"/>
        <v>0.672521696</v>
      </c>
      <c r="L53" s="29">
        <f t="shared" si="23"/>
        <v>0.17065619999999998</v>
      </c>
      <c r="M53" s="29">
        <f t="shared" si="24"/>
        <v>5.9168297679999995</v>
      </c>
      <c r="N53" s="29"/>
    </row>
    <row r="54" spans="1:14" x14ac:dyDescent="0.2">
      <c r="A54" t="s">
        <v>17</v>
      </c>
      <c r="B54" t="s">
        <v>7</v>
      </c>
      <c r="C54" t="str">
        <f t="shared" si="2"/>
        <v>A24_29_Smoker</v>
      </c>
      <c r="D54" t="s">
        <v>76</v>
      </c>
      <c r="E54" s="27">
        <f t="shared" si="32"/>
        <v>0.41025940400000005</v>
      </c>
      <c r="F54" s="39">
        <f t="shared" si="34"/>
        <v>0.122</v>
      </c>
      <c r="G54" s="27">
        <f t="shared" si="33"/>
        <v>0.29708439599999997</v>
      </c>
      <c r="H54" s="30">
        <f t="shared" si="35"/>
        <v>0.17065620000000001</v>
      </c>
      <c r="I54" s="29">
        <f t="shared" si="25"/>
        <v>4.512853444000001</v>
      </c>
      <c r="J54" s="29">
        <f t="shared" si="23"/>
        <v>0.36599999999999999</v>
      </c>
      <c r="K54" s="29">
        <f t="shared" si="23"/>
        <v>0.59416879199999995</v>
      </c>
      <c r="L54" s="29">
        <f t="shared" si="23"/>
        <v>0.2559843</v>
      </c>
      <c r="M54" s="29">
        <f t="shared" si="24"/>
        <v>5.729006536</v>
      </c>
      <c r="N54" s="29"/>
    </row>
    <row r="55" spans="1:14" x14ac:dyDescent="0.2">
      <c r="A55" t="s">
        <v>68</v>
      </c>
      <c r="B55" t="s">
        <v>7</v>
      </c>
      <c r="C55" t="str">
        <f t="shared" si="2"/>
        <v>A30_34_Smoker</v>
      </c>
      <c r="D55" t="s">
        <v>76</v>
      </c>
      <c r="E55" s="27">
        <f t="shared" si="32"/>
        <v>0.36392587200000009</v>
      </c>
      <c r="F55" s="39">
        <f t="shared" si="34"/>
        <v>0.14499999999999999</v>
      </c>
      <c r="G55" s="27">
        <f t="shared" si="33"/>
        <v>0.26353252800000004</v>
      </c>
      <c r="H55" s="30">
        <f t="shared" si="35"/>
        <v>0.22754159999999998</v>
      </c>
      <c r="I55" s="29">
        <f t="shared" si="25"/>
        <v>4.0031845920000011</v>
      </c>
      <c r="J55" s="29">
        <f t="shared" si="23"/>
        <v>0.43499999999999994</v>
      </c>
      <c r="K55" s="29">
        <f t="shared" si="23"/>
        <v>0.52706505600000009</v>
      </c>
      <c r="L55" s="29">
        <f t="shared" si="23"/>
        <v>0.34131239999999996</v>
      </c>
      <c r="M55" s="29">
        <f t="shared" si="24"/>
        <v>5.306562048</v>
      </c>
      <c r="N55" s="29"/>
    </row>
    <row r="56" spans="1:14" x14ac:dyDescent="0.2">
      <c r="A56" t="s">
        <v>69</v>
      </c>
      <c r="B56" t="s">
        <v>7</v>
      </c>
      <c r="C56" t="str">
        <f t="shared" si="2"/>
        <v>A35_39_Smoker</v>
      </c>
      <c r="D56" t="s">
        <v>76</v>
      </c>
      <c r="E56" s="27">
        <f t="shared" si="32"/>
        <v>0.25788942000000004</v>
      </c>
      <c r="F56" s="39">
        <f t="shared" si="34"/>
        <v>0.23799999999999999</v>
      </c>
      <c r="G56" s="27">
        <f t="shared" si="33"/>
        <v>0.21968358000000002</v>
      </c>
      <c r="H56" s="30">
        <f t="shared" si="35"/>
        <v>0.28442700000000004</v>
      </c>
      <c r="I56" s="29">
        <f t="shared" si="25"/>
        <v>2.8367836200000003</v>
      </c>
      <c r="J56" s="29">
        <f t="shared" si="23"/>
        <v>0.71399999999999997</v>
      </c>
      <c r="K56" s="29">
        <f t="shared" si="23"/>
        <v>0.43936716000000003</v>
      </c>
      <c r="L56" s="29">
        <f t="shared" si="23"/>
        <v>0.42664050000000009</v>
      </c>
      <c r="M56" s="29">
        <f t="shared" si="24"/>
        <v>4.4167912800000009</v>
      </c>
      <c r="N56" s="29"/>
    </row>
    <row r="57" spans="1:14" x14ac:dyDescent="0.2">
      <c r="A57" t="s">
        <v>70</v>
      </c>
      <c r="B57" t="s">
        <v>7</v>
      </c>
      <c r="C57" t="str">
        <f t="shared" si="2"/>
        <v>A40_44_Smoker</v>
      </c>
      <c r="D57" t="s">
        <v>76</v>
      </c>
      <c r="E57" s="27">
        <f t="shared" si="32"/>
        <v>0.25788942000000004</v>
      </c>
      <c r="F57" s="39">
        <f t="shared" si="34"/>
        <v>0.23799999999999999</v>
      </c>
      <c r="G57" s="27">
        <f t="shared" si="33"/>
        <v>0.21968358000000002</v>
      </c>
      <c r="H57" s="30">
        <f t="shared" si="35"/>
        <v>0.28442700000000004</v>
      </c>
      <c r="I57" s="29">
        <f t="shared" si="25"/>
        <v>2.8367836200000003</v>
      </c>
      <c r="J57" s="29">
        <f t="shared" si="23"/>
        <v>0.71399999999999997</v>
      </c>
      <c r="K57" s="29">
        <f t="shared" si="23"/>
        <v>0.43936716000000003</v>
      </c>
      <c r="L57" s="29">
        <f t="shared" si="23"/>
        <v>0.42664050000000009</v>
      </c>
      <c r="M57" s="29">
        <f t="shared" si="24"/>
        <v>4.4167912800000009</v>
      </c>
      <c r="N57" s="29"/>
    </row>
    <row r="58" spans="1:14" x14ac:dyDescent="0.2">
      <c r="A58" t="s">
        <v>71</v>
      </c>
      <c r="B58" t="s">
        <v>7</v>
      </c>
      <c r="C58" t="str">
        <f t="shared" si="2"/>
        <v>A45_49_Smoker</v>
      </c>
      <c r="D58" t="s">
        <v>76</v>
      </c>
      <c r="E58" s="27">
        <f t="shared" si="32"/>
        <v>0.25788942000000004</v>
      </c>
      <c r="F58" s="39">
        <f t="shared" si="34"/>
        <v>0.23799999999999999</v>
      </c>
      <c r="G58" s="27">
        <f t="shared" si="33"/>
        <v>0.21968358000000002</v>
      </c>
      <c r="H58" s="30">
        <f t="shared" si="35"/>
        <v>0.28442700000000004</v>
      </c>
      <c r="I58" s="29">
        <f t="shared" si="25"/>
        <v>2.8367836200000003</v>
      </c>
      <c r="J58" s="29">
        <f t="shared" si="23"/>
        <v>0.71399999999999997</v>
      </c>
      <c r="K58" s="29">
        <f t="shared" si="23"/>
        <v>0.43936716000000003</v>
      </c>
      <c r="L58" s="29">
        <f t="shared" si="23"/>
        <v>0.42664050000000009</v>
      </c>
      <c r="M58" s="29">
        <f t="shared" si="24"/>
        <v>4.4167912800000009</v>
      </c>
      <c r="N58" s="29"/>
    </row>
    <row r="60" spans="1:14" x14ac:dyDescent="0.2">
      <c r="A60" s="3"/>
      <c r="B60" s="8" t="s">
        <v>62</v>
      </c>
    </row>
    <row r="61" spans="1:14" x14ac:dyDescent="0.2">
      <c r="A61" s="9"/>
      <c r="B61" s="8" t="s">
        <v>14</v>
      </c>
    </row>
    <row r="62" spans="1:14" x14ac:dyDescent="0.2">
      <c r="A62" s="10"/>
      <c r="B62" s="8" t="s">
        <v>15</v>
      </c>
    </row>
    <row r="63" spans="1:14" x14ac:dyDescent="0.2">
      <c r="A63" s="11"/>
      <c r="B63" s="8" t="s">
        <v>16</v>
      </c>
    </row>
    <row r="64" spans="1:14" x14ac:dyDescent="0.2">
      <c r="A64" s="34"/>
      <c r="B64" s="23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3"/>
  <sheetViews>
    <sheetView zoomScaleNormal="55" zoomScalePageLayoutView="55" workbookViewId="0">
      <pane xSplit="3" ySplit="2" topLeftCell="AR3" activePane="bottomRight" state="frozen"/>
      <selection pane="topRight" activeCell="D1" sqref="D1"/>
      <selection pane="bottomLeft" activeCell="A3" sqref="A3"/>
      <selection pane="bottomRight" activeCell="AU5" sqref="AU5"/>
    </sheetView>
  </sheetViews>
  <sheetFormatPr baseColWidth="10" defaultColWidth="8.6640625" defaultRowHeight="15" x14ac:dyDescent="0.2"/>
  <cols>
    <col min="3" max="3" width="23.33203125" customWidth="1"/>
    <col min="4" max="7" width="8.6640625" bestFit="1" customWidth="1"/>
    <col min="8" max="8" width="8.6640625" customWidth="1"/>
    <col min="9" max="14" width="8.6640625" bestFit="1" customWidth="1"/>
  </cols>
  <sheetData>
    <row r="1" spans="1:53" x14ac:dyDescent="0.2">
      <c r="D1" s="1" t="s">
        <v>98</v>
      </c>
      <c r="E1" s="1"/>
      <c r="F1" s="1"/>
      <c r="G1" s="1"/>
      <c r="H1" s="1"/>
      <c r="I1" s="1"/>
      <c r="J1" s="1"/>
      <c r="K1" s="1"/>
      <c r="L1" s="1"/>
      <c r="M1" s="1"/>
      <c r="N1" t="s">
        <v>99</v>
      </c>
      <c r="X1" t="s">
        <v>100</v>
      </c>
      <c r="AH1" t="s">
        <v>101</v>
      </c>
      <c r="AR1" s="3" t="s">
        <v>102</v>
      </c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">
      <c r="A2" t="s">
        <v>64</v>
      </c>
      <c r="B2" t="s">
        <v>65</v>
      </c>
      <c r="C2" t="s">
        <v>63</v>
      </c>
      <c r="D2" s="1" t="s">
        <v>73</v>
      </c>
      <c r="E2" s="1" t="s">
        <v>74</v>
      </c>
      <c r="F2" s="1" t="s">
        <v>75</v>
      </c>
      <c r="G2" s="1" t="s">
        <v>84</v>
      </c>
      <c r="H2" s="1" t="s">
        <v>85</v>
      </c>
      <c r="I2" s="1" t="s">
        <v>92</v>
      </c>
      <c r="J2" s="1" t="s">
        <v>88</v>
      </c>
      <c r="K2" s="1" t="s">
        <v>89</v>
      </c>
      <c r="L2" s="1" t="s">
        <v>90</v>
      </c>
      <c r="M2" s="1" t="s">
        <v>91</v>
      </c>
      <c r="N2" t="s">
        <v>73</v>
      </c>
      <c r="O2" t="s">
        <v>74</v>
      </c>
      <c r="P2" t="s">
        <v>75</v>
      </c>
      <c r="Q2" t="s">
        <v>86</v>
      </c>
      <c r="R2" t="s">
        <v>87</v>
      </c>
      <c r="S2" t="s">
        <v>93</v>
      </c>
      <c r="T2" t="s">
        <v>88</v>
      </c>
      <c r="U2" t="s">
        <v>94</v>
      </c>
      <c r="V2" t="s">
        <v>90</v>
      </c>
      <c r="W2" t="s">
        <v>91</v>
      </c>
      <c r="X2" s="1" t="s">
        <v>73</v>
      </c>
      <c r="Y2" s="1" t="s">
        <v>74</v>
      </c>
      <c r="Z2" s="1" t="s">
        <v>75</v>
      </c>
      <c r="AA2" s="1" t="s">
        <v>84</v>
      </c>
      <c r="AB2" s="1" t="s">
        <v>85</v>
      </c>
      <c r="AC2" s="1" t="s">
        <v>92</v>
      </c>
      <c r="AD2" s="1" t="s">
        <v>58</v>
      </c>
      <c r="AE2" s="1" t="s">
        <v>89</v>
      </c>
      <c r="AF2" s="1" t="s">
        <v>90</v>
      </c>
      <c r="AG2" s="1" t="s">
        <v>61</v>
      </c>
      <c r="AH2" t="s">
        <v>73</v>
      </c>
      <c r="AI2" t="s">
        <v>74</v>
      </c>
      <c r="AJ2" t="s">
        <v>75</v>
      </c>
      <c r="AK2" t="s">
        <v>86</v>
      </c>
      <c r="AL2" t="s">
        <v>87</v>
      </c>
      <c r="AM2" t="s">
        <v>93</v>
      </c>
      <c r="AN2" t="s">
        <v>58</v>
      </c>
      <c r="AO2" t="s">
        <v>89</v>
      </c>
      <c r="AP2" t="s">
        <v>90</v>
      </c>
      <c r="AQ2" t="s">
        <v>61</v>
      </c>
      <c r="AR2" s="1" t="s">
        <v>73</v>
      </c>
      <c r="AS2" s="1" t="s">
        <v>74</v>
      </c>
      <c r="AT2" s="1" t="s">
        <v>75</v>
      </c>
      <c r="AU2" s="1" t="s">
        <v>84</v>
      </c>
      <c r="AV2" s="1" t="s">
        <v>85</v>
      </c>
      <c r="AW2" s="1" t="s">
        <v>92</v>
      </c>
      <c r="AX2" s="1" t="s">
        <v>58</v>
      </c>
      <c r="AY2" s="1" t="s">
        <v>89</v>
      </c>
      <c r="AZ2" s="1" t="s">
        <v>90</v>
      </c>
      <c r="BA2" s="1" t="s">
        <v>61</v>
      </c>
    </row>
    <row r="3" spans="1:53" x14ac:dyDescent="0.2">
      <c r="A3" t="s">
        <v>66</v>
      </c>
      <c r="B3" s="12">
        <v>0</v>
      </c>
      <c r="C3" t="str">
        <f>CONCATENATE(A3,"_",B3)</f>
        <v>A15_19_0</v>
      </c>
      <c r="D3" s="45">
        <f>((1-'Failure Rates'!C9)*('NonPregnant Outcomes'!D3))+(('Failure Rates'!C9)*(PersonMonthsPregnant!$M3/12)*('Pregnant Outcomes'!$D3))+(('Failure Rates'!C9)*((12-PersonMonthsPregnant!$M3)/12)*('NonPregnant Outcomes'!D3))</f>
        <v>1.0124026066666665</v>
      </c>
      <c r="E3" s="45">
        <f>((1-'Failure Rates'!D9)*('NonPregnant Outcomes'!E3))+(('Failure Rates'!D9)*(PersonMonthsPregnant!$M3/12)*('Pregnant Outcomes'!$D3))+(('Failure Rates'!D9)*((12-PersonMonthsPregnant!$M3)/12)*('NonPregnant Outcomes'!E3))</f>
        <v>1.193480664</v>
      </c>
      <c r="F3" s="45">
        <f>((1-'Failure Rates'!E9)*('NonPregnant Outcomes'!F3))+(('Failure Rates'!E9)*(PersonMonthsPregnant!$M3/12)*('Pregnant Outcomes'!$D3))+(('Failure Rates'!E9)*((12-PersonMonthsPregnant!$M3)/12)*('NonPregnant Outcomes'!F3))</f>
        <v>1.193480664</v>
      </c>
      <c r="G3" s="45">
        <f>((1-'Failure Rates'!F9)*('NonPregnant Outcomes'!G3))+(('Failure Rates'!F9)*(PersonMonthsPregnant!$M31/12)*('Pregnant Outcomes'!$D3))+(('Failure Rates'!F9)*((12-PersonMonthsPregnant!$M31)/12)*('NonPregnant Outcomes'!G3))</f>
        <v>1.0049500945866665</v>
      </c>
      <c r="H3" s="45">
        <f>((1-'Failure Rates'!G9)*('NonPregnant Outcomes'!H3))+(('Failure Rates'!G9)*(PersonMonthsPregnant!$M31/12)*('Pregnant Outcomes'!$D3))+(('Failure Rates'!G9)*((12-PersonMonthsPregnant!$M31)/12)*('NonPregnant Outcomes'!H3))</f>
        <v>1.0198003783466667</v>
      </c>
      <c r="I3" s="45">
        <f>((1-'Failure Rates'!H9)*('NonPregnant Outcomes'!I3))+(('Failure Rates'!H9)*(PersonMonthsPregnant!$M3/12)*('Pregnant Outcomes'!$D3))+(('Failure Rates'!H9)*((12-PersonMonthsPregnant!$M3)/12)*('NonPregnant Outcomes'!I3))</f>
        <v>1.0992208533333334</v>
      </c>
      <c r="J3" s="45">
        <f>((1-'Failure Rates'!I9)*('NonPregnant Outcomes'!J3))+(('Failure Rates'!I9)*(PersonMonthsPregnant!$M3/12)*('Pregnant Outcomes'!$D3))+(('Failure Rates'!I9)*((12-PersonMonthsPregnant!$M3)/12)*('NonPregnant Outcomes'!J3))</f>
        <v>1.0012402606666668</v>
      </c>
      <c r="K3" s="45">
        <f>((1-'Failure Rates'!J9)*('NonPregnant Outcomes'!K3))+(('Failure Rates'!J9)*(PersonMonthsPregnant!$M3/12)*('Pregnant Outcomes'!$D3))+(('Failure Rates'!J9)*((12-PersonMonthsPregnant!$M3)/12)*('NonPregnant Outcomes'!K3))</f>
        <v>1.3968834133333332</v>
      </c>
      <c r="L3" s="45">
        <f>((1-'Failure Rates'!K9)*('NonPregnant Outcomes'!L3))+(('Failure Rates'!K9)*(PersonMonthsPregnant!$M3/12)*('Pregnant Outcomes'!$D3))+(('Failure Rates'!K9)*((12-PersonMonthsPregnant!$M3)/12)*('NonPregnant Outcomes'!L3))</f>
        <v>1.52090948</v>
      </c>
      <c r="M3" s="45">
        <f>((1-'Failure Rates'!L9)*('NonPregnant Outcomes'!M3))+(('Failure Rates'!L9)*(PersonMonthsPregnant!$M3/12)*('Pregnant Outcomes'!$D3))+(('Failure Rates'!L9)*((12-PersonMonthsPregnant!$M3)/12)*('NonPregnant Outcomes'!M3))</f>
        <v>3.1084431333333336</v>
      </c>
      <c r="N3" s="46">
        <f>((1-'Failure Rates'!C9)*('NonPregnant Outcomes'!N3))+(('Failure Rates'!C9)*(PersonMonthsPregnant!$M3/12)*('Pregnant Outcomes'!$E3))+(('Failure Rates'!C9)*((12-PersonMonthsPregnant!$M3)/12)*('NonPregnant Outcomes'!N3))</f>
        <v>3.015232940833334</v>
      </c>
      <c r="O3" s="46">
        <f>((1-'Failure Rates'!D9)*('NonPregnant Outcomes'!O3))+(('Failure Rates'!D9)*(PersonMonthsPregnant!$M3/12)*('Pregnant Outcomes'!$E3))+(('Failure Rates'!D9)*((12-PersonMonthsPregnant!$M3)/12)*('NonPregnant Outcomes'!O3))</f>
        <v>3.9676338770000008</v>
      </c>
      <c r="P3" s="46">
        <f>((1-'Failure Rates'!E9)*('NonPregnant Outcomes'!P3))+(('Failure Rates'!E9)*(PersonMonthsPregnant!$M3/12)*('Pregnant Outcomes'!$E3))+(('Failure Rates'!E9)*((12-PersonMonthsPregnant!$M3)/12)*('NonPregnant Outcomes'!P3))</f>
        <v>3.9676338770000008</v>
      </c>
      <c r="Q3" s="46">
        <f>((1-'Failure Rates'!F9)*('NonPregnant Outcomes'!Q3))+(('Failure Rates'!F9)*(PersonMonthsPregnant!$M31/12)*('Pregnant Outcomes'!$E3))+(('Failure Rates'!F9)*((12-PersonMonthsPregnant!$M31)/12)*('NonPregnant Outcomes'!Q3))</f>
        <v>2.9760355936433336</v>
      </c>
      <c r="R3" s="46">
        <f>((1-'Failure Rates'!G9)*('NonPregnant Outcomes'!R3))+(('Failure Rates'!G9)*(PersonMonthsPregnant!$M31/12)*('Pregnant Outcomes'!$E3))+(('Failure Rates'!G9)*((12-PersonMonthsPregnant!$M31)/12)*('NonPregnant Outcomes'!R3))</f>
        <v>2.1725122466573334</v>
      </c>
      <c r="S3" s="46">
        <f>((1-'Failure Rates'!H9)*('NonPregnant Outcomes'!S3))+(('Failure Rates'!H9)*(PersonMonthsPregnant!$M3/12)*('Pregnant Outcomes'!$E3))+(('Failure Rates'!H9)*((12-PersonMonthsPregnant!$M3)/12)*('NonPregnant Outcomes'!S3))</f>
        <v>3.4718635266666666</v>
      </c>
      <c r="T3" s="46">
        <f>((1-'Failure Rates'!I9)*('NonPregnant Outcomes'!T3))+(('Failure Rates'!I9)*(PersonMonthsPregnant!$M3/12)*('Pregnant Outcomes'!$E3))+(('Failure Rates'!I9)*((12-PersonMonthsPregnant!$M3)/12)*('NonPregnant Outcomes'!T3))</f>
        <v>2.9565232940833339</v>
      </c>
      <c r="U3" s="46">
        <f>((1-'Failure Rates'!J9)*('NonPregnant Outcomes'!U3))+(('Failure Rates'!J9)*(PersonMonthsPregnant!$M3/12)*('Pregnant Outcomes'!$E3))+(('Failure Rates'!J9)*((12-PersonMonthsPregnant!$M3)/12)*('NonPregnant Outcomes'!U3))</f>
        <v>5.0374541066666678</v>
      </c>
      <c r="V3" s="46">
        <f>((1-'Failure Rates'!K9)*('NonPregnant Outcomes'!V3))+(('Failure Rates'!K9)*(PersonMonthsPregnant!$M3/12)*('Pregnant Outcomes'!$E3))+(('Failure Rates'!K9)*((12-PersonMonthsPregnant!$M3)/12)*('NonPregnant Outcomes'!V3))</f>
        <v>5.6897835150000002</v>
      </c>
      <c r="W3" s="46">
        <f>((1-'Failure Rates'!L9)*('NonPregnant Outcomes'!W3))+(('Failure Rates'!L9)*(PersonMonthsPregnant!$M3/12)*('Pregnant Outcomes'!$E3))+(('Failure Rates'!L9)*((12-PersonMonthsPregnant!$M3)/12)*('NonPregnant Outcomes'!W3))</f>
        <v>14.039599941666669</v>
      </c>
      <c r="X3" s="54">
        <f>((1-'Failure Rates'!C9)*('NonPregnant Outcomes'!X3))+(('Failure Rates'!C9)*(VTEPersonMonthsPregnant!$M3/12)*('Pregnant Outcomes'!$F3))+(('Failure Rates'!C9)*((12-VTEPersonMonthsPregnant!$M3)/12)*('NonPregnant Outcomes'!X3))</f>
        <v>27.229023999999999</v>
      </c>
      <c r="Y3" s="54">
        <f>((1-'Failure Rates'!D9)*('NonPregnant Outcomes'!Y3))+(('Failure Rates'!D9)*(VTEPersonMonthsPregnant!$M3/12)*('Pregnant Outcomes'!$F3))+(('Failure Rates'!D9)*((12-VTEPersonMonthsPregnant!$M3)/12)*('NonPregnant Outcomes'!Y3))</f>
        <v>96.063088800000003</v>
      </c>
      <c r="Z3" s="54">
        <f>((1-'Failure Rates'!E9)*('NonPregnant Outcomes'!Z3))+(('Failure Rates'!E9)*(VTEPersonMonthsPregnant!$M3/12)*('Pregnant Outcomes'!$F3))+(('Failure Rates'!E9)*((12-VTEPersonMonthsPregnant!$M3)/12)*('NonPregnant Outcomes'!Z3))</f>
        <v>30.5727744</v>
      </c>
      <c r="AA3" s="54">
        <f>((1-'Failure Rates'!F9)*('NonPregnant Outcomes'!AA3))+(('Failure Rates'!F9)*(VTEPersonMonthsPregnant!$M31/12)*('Pregnant Outcomes'!$F3))+(('Failure Rates'!F9)*((12-VTEPersonMonthsPregnant!$M31)/12)*('NonPregnant Outcomes'!AA3))</f>
        <v>27.134429824000001</v>
      </c>
      <c r="AB3" s="54">
        <f>((1-'Failure Rates'!G9)*('NonPregnant Outcomes'!AB3))+(('Failure Rates'!G9)*(VTEPersonMonthsPregnant!$M31/12)*('Pregnant Outcomes'!$F3))+(('Failure Rates'!G9)*((12-VTEPersonMonthsPregnant!$M31)/12)*('NonPregnant Outcomes'!AB3))</f>
        <v>27.537719295999999</v>
      </c>
      <c r="AC3" s="54">
        <f>((1-'Failure Rates'!H9)*('NonPregnant Outcomes'!AC3))+(('Failure Rates'!H9)*(VTEPersonMonthsPregnant!$M3/12)*('Pregnant Outcomes'!$F3))+(('Failure Rates'!H9)*((12-VTEPersonMonthsPregnant!$M3)/12)*('NonPregnant Outcomes'!AC3))</f>
        <v>73.233745855999999</v>
      </c>
      <c r="AD3" s="54">
        <f>((1-'Failure Rates'!I9)*('NonPregnant Outcomes'!AD3))+(('Failure Rates'!I9)*(VTEPersonMonthsPregnant!$M3/12)*('Pregnant Outcomes'!$F3))+(('Failure Rates'!I9)*((12-VTEPersonMonthsPregnant!$M3)/12)*('NonPregnant Outcomes'!AD3))</f>
        <v>27.022902400000003</v>
      </c>
      <c r="AE3" s="54">
        <f>((1-'Failure Rates'!J9)*('NonPregnant Outcomes'!AE3))+(('Failure Rates'!J9)*(VTEPersonMonthsPregnant!$M3/12)*('Pregnant Outcomes'!$F3))+(('Failure Rates'!J9)*((12-VTEPersonMonthsPregnant!$M3)/12)*('NonPregnant Outcomes'!AE3))</f>
        <v>34.328767999999997</v>
      </c>
      <c r="AF3" s="54">
        <f>((1-'Failure Rates'!K9)*('NonPregnant Outcomes'!AF3))+(('Failure Rates'!K9)*(VTEPersonMonthsPregnant!$M3/12)*('Pregnant Outcomes'!$F3))+(('Failure Rates'!K9)*((12-VTEPersonMonthsPregnant!$M3)/12)*('NonPregnant Outcomes'!AF3))</f>
        <v>36.619008000000001</v>
      </c>
      <c r="AG3" s="54">
        <f>((1-'Failure Rates'!L9)*('NonPregnant Outcomes'!AG3))+(('Failure Rates'!L9)*(VTEPersonMonthsPregnant!$M3/12)*('Pregnant Outcomes'!$F3))+(('Failure Rates'!L9)*((12-VTEPersonMonthsPregnant!$M3)/12)*('NonPregnant Outcomes'!AG3))</f>
        <v>65.934079999999994</v>
      </c>
      <c r="AH3" s="46">
        <f>((1-'Failure Rates'!C9)*('NonPregnant Outcomes'!AH3))+(('Failure Rates'!C9)*(PersonMonthsPregnant!$M3/12)*('Pregnant Outcomes'!$G3))+(('Failure Rates'!C9)*((12-PersonMonthsPregnant!$M3)/12)*('NonPregnant Outcomes'!AH3))</f>
        <v>760</v>
      </c>
      <c r="AI3" s="46">
        <f>((1-'Failure Rates'!D9)*('NonPregnant Outcomes'!AI3))+(('Failure Rates'!D9)*(PersonMonthsPregnant!$M3/12)*('Pregnant Outcomes'!$G3))+(('Failure Rates'!D9)*((12-PersonMonthsPregnant!$M3)/12)*('NonPregnant Outcomes'!AI3))</f>
        <v>760</v>
      </c>
      <c r="AJ3" s="46">
        <f>((1-'Failure Rates'!E9)*('NonPregnant Outcomes'!AJ3))+(('Failure Rates'!E9)*(PersonMonthsPregnant!$M3/12)*('Pregnant Outcomes'!$G3))+(('Failure Rates'!E9)*((12-PersonMonthsPregnant!$M3)/12)*('NonPregnant Outcomes'!AJ3))</f>
        <v>760</v>
      </c>
      <c r="AK3" s="46">
        <f>((1-'Failure Rates'!F9)*('NonPregnant Outcomes'!AK3))+(('Failure Rates'!F9)*(PersonMonthsPregnant!$M31/12)*('Pregnant Outcomes'!$G3))+(('Failure Rates'!F9)*((12-PersonMonthsPregnant!$M31)/12)*('NonPregnant Outcomes'!AK3))</f>
        <v>760</v>
      </c>
      <c r="AL3" s="46">
        <f>((1-'Failure Rates'!G9)*('NonPregnant Outcomes'!AL3))+(('Failure Rates'!G9)*(PersonMonthsPregnant!$M31/12)*('Pregnant Outcomes'!$G3))+(('Failure Rates'!G9)*((12-PersonMonthsPregnant!$M31)/12)*('NonPregnant Outcomes'!AL3))</f>
        <v>760</v>
      </c>
      <c r="AM3" s="46">
        <f>((1-'Failure Rates'!H9)*('NonPregnant Outcomes'!AM3))+(('Failure Rates'!H9)*(PersonMonthsPregnant!$M3/12)*('Pregnant Outcomes'!$G3))+(('Failure Rates'!H9)*((12-PersonMonthsPregnant!$M3)/12)*('NonPregnant Outcomes'!AM3))</f>
        <v>760.00000000000011</v>
      </c>
      <c r="AN3" s="46">
        <f>((1-'Failure Rates'!I9)*('NonPregnant Outcomes'!AN3))+(('Failure Rates'!I9)*(PersonMonthsPregnant!$M3/12)*('Pregnant Outcomes'!$G3))+(('Failure Rates'!I9)*((12-PersonMonthsPregnant!$M3)/12)*('NonPregnant Outcomes'!AN3))</f>
        <v>760</v>
      </c>
      <c r="AO3" s="46">
        <f>((1-'Failure Rates'!J9)*('NonPregnant Outcomes'!AO3))+(('Failure Rates'!J9)*(PersonMonthsPregnant!$M3/12)*('Pregnant Outcomes'!$G3))+(('Failure Rates'!J9)*((12-PersonMonthsPregnant!$M3)/12)*('NonPregnant Outcomes'!AO3))</f>
        <v>760</v>
      </c>
      <c r="AP3" s="46">
        <f>((1-'Failure Rates'!K9)*('NonPregnant Outcomes'!AP3))+(('Failure Rates'!K9)*(PersonMonthsPregnant!$M3/12)*('Pregnant Outcomes'!$G3))+(('Failure Rates'!K9)*((12-PersonMonthsPregnant!$M3)/12)*('NonPregnant Outcomes'!AP3))</f>
        <v>760</v>
      </c>
      <c r="AQ3" s="46">
        <f>((1-'Failure Rates'!L9)*('NonPregnant Outcomes'!AQ3))+(('Failure Rates'!L9)*(PersonMonthsPregnant!$M3/12)*('Pregnant Outcomes'!$G3))+(('Failure Rates'!L9)*((12-PersonMonthsPregnant!$M3)/12)*('NonPregnant Outcomes'!AQ3))</f>
        <v>760</v>
      </c>
      <c r="AR3" s="54">
        <f>'Pregnant Outcomes'!$I3</f>
        <v>91</v>
      </c>
      <c r="AS3" s="54">
        <f>(('Failure Rates'!$D9)*('Pregnant Outcomes'!$H3))</f>
        <v>21.84</v>
      </c>
      <c r="AT3" s="54">
        <f>(('Failure Rates'!$E9)*('Pregnant Outcomes'!$H3))</f>
        <v>21.84</v>
      </c>
      <c r="AU3" s="54">
        <f>(('Failure Rates'!$F9)*('Pregnant Outcomes'!$J3))</f>
        <v>1.0472000000000001</v>
      </c>
      <c r="AV3" s="54">
        <f>(('Failure Rates'!$G9)*('Pregnant Outcomes'!$K3))</f>
        <v>4.1888000000000005</v>
      </c>
      <c r="AW3" s="54">
        <f>(('Failure Rates'!$H9)*('Pregnant Outcomes'!$H3))</f>
        <v>11.200000000000001</v>
      </c>
      <c r="AX3" s="54">
        <f>(('Failure Rates'!$I9)*('Pregnant Outcomes'!$H3))</f>
        <v>0.14000000000000001</v>
      </c>
      <c r="AY3" s="54">
        <f>(('Failure Rates'!$J9)*('Pregnant Outcomes'!$H3))</f>
        <v>44.800000000000004</v>
      </c>
      <c r="AZ3" s="54">
        <f>(('Failure Rates'!$K9)*('Pregnant Outcomes'!$H3))</f>
        <v>58.8</v>
      </c>
      <c r="BA3" s="54">
        <f>('Failure Rates'!$L9)*('Pregnant Outcomes'!$H3)</f>
        <v>238</v>
      </c>
    </row>
    <row r="4" spans="1:53" x14ac:dyDescent="0.2">
      <c r="A4" t="s">
        <v>67</v>
      </c>
      <c r="B4" s="12">
        <v>0</v>
      </c>
      <c r="C4" t="str">
        <f t="shared" ref="C4:C30" si="0">CONCATENATE(A4,"_",B4)</f>
        <v>A20_24_0</v>
      </c>
      <c r="D4" s="45">
        <f>((1-'Failure Rates'!C10)*('NonPregnant Outcomes'!D4))+(('Failure Rates'!C10)*(PersonMonthsPregnant!$M4/12)*('Pregnant Outcomes'!$D4))+(('Failure Rates'!C10)*((12-PersonMonthsPregnant!$M4)/12)*('NonPregnant Outcomes'!D4))</f>
        <v>2.2777535086666667</v>
      </c>
      <c r="E4" s="45">
        <f>((1-'Failure Rates'!D10)*('NonPregnant Outcomes'!E4))+(('Failure Rates'!D10)*(PersonMonthsPregnant!$M4/12)*('Pregnant Outcomes'!$D4))+(('Failure Rates'!D10)*((12-PersonMonthsPregnant!$M4)/12)*('NonPregnant Outcomes'!E4))</f>
        <v>2.6218970161333335</v>
      </c>
      <c r="F4" s="45">
        <f>((1-'Failure Rates'!E10)*('NonPregnant Outcomes'!F4))+(('Failure Rates'!E10)*(PersonMonthsPregnant!$M4/12)*('Pregnant Outcomes'!$D4))+(('Failure Rates'!E10)*((12-PersonMonthsPregnant!$M4)/12)*('NonPregnant Outcomes'!F4))</f>
        <v>2.6218970161333335</v>
      </c>
      <c r="G4" s="45">
        <f>((1-'Failure Rates'!F10)*('NonPregnant Outcomes'!G4))+(('Failure Rates'!F10)*(PersonMonthsPregnant!$M32/12)*('Pregnant Outcomes'!$D4))+(('Failure Rates'!F10)*((12-PersonMonthsPregnant!$M32)/12)*('NonPregnant Outcomes'!G4))</f>
        <v>2.2610706146306665</v>
      </c>
      <c r="H4" s="45">
        <f>((1-'Failure Rates'!G10)*('NonPregnant Outcomes'!H4))+(('Failure Rates'!G10)*(PersonMonthsPregnant!$M32/12)*('Pregnant Outcomes'!$D4))+(('Failure Rates'!G10)*((12-PersonMonthsPregnant!$M32)/12)*('NonPregnant Outcomes'!H4))</f>
        <v>2.2942824585226669</v>
      </c>
      <c r="I4" s="45">
        <f>((1-'Failure Rates'!H10)*('NonPregnant Outcomes'!I4))+(('Failure Rates'!H10)*(PersonMonthsPregnant!$M4/12)*('Pregnant Outcomes'!$D4))+(('Failure Rates'!H10)*((12-PersonMonthsPregnant!$M4)/12)*('NonPregnant Outcomes'!I4))</f>
        <v>2.4720280693333332</v>
      </c>
      <c r="J4" s="45">
        <f>((1-'Failure Rates'!I10)*('NonPregnant Outcomes'!J4))+(('Failure Rates'!I10)*(PersonMonthsPregnant!$M4/12)*('Pregnant Outcomes'!$D4))+(('Failure Rates'!I10)*((12-PersonMonthsPregnant!$M4)/12)*('NonPregnant Outcomes'!J4))</f>
        <v>2.2527753508666666</v>
      </c>
      <c r="K4" s="45">
        <f>((1-'Failure Rates'!J10)*('NonPregnant Outcomes'!K4))+(('Failure Rates'!J10)*(PersonMonthsPregnant!$M4/12)*('Pregnant Outcomes'!$D4))+(('Failure Rates'!J10)*((12-PersonMonthsPregnant!$M4)/12)*('NonPregnant Outcomes'!K4))</f>
        <v>3.0604024530666667</v>
      </c>
      <c r="L4" s="45">
        <f>((1-'Failure Rates'!K10)*('NonPregnant Outcomes'!L4))+(('Failure Rates'!K10)*(PersonMonthsPregnant!$M4/12)*('Pregnant Outcomes'!$D4))+(('Failure Rates'!K10)*((12-PersonMonthsPregnant!$M4)/12)*('NonPregnant Outcomes'!L4))</f>
        <v>3.4156473640000002</v>
      </c>
      <c r="M4" s="45">
        <f>((1-'Failure Rates'!L10)*('NonPregnant Outcomes'!M4))+(('Failure Rates'!L10)*(PersonMonthsPregnant!$M4/12)*('Pregnant Outcomes'!$D4))+(('Failure Rates'!L10)*((12-PersonMonthsPregnant!$M4)/12)*('NonPregnant Outcomes'!M4))</f>
        <v>6.9680964733333326</v>
      </c>
      <c r="N4" s="46">
        <f>((1-'Failure Rates'!C10)*('NonPregnant Outcomes'!N4))+(('Failure Rates'!C10)*(PersonMonthsPregnant!$M4/12)*('Pregnant Outcomes'!$E4))+(('Failure Rates'!C10)*((12-PersonMonthsPregnant!$M4)/12)*('NonPregnant Outcomes'!N4))</f>
        <v>3.0039587366666671</v>
      </c>
      <c r="O4" s="46">
        <f>((1-'Failure Rates'!D10)*('NonPregnant Outcomes'!O4))+(('Failure Rates'!D10)*(PersonMonthsPregnant!$M4/12)*('Pregnant Outcomes'!$E4))+(('Failure Rates'!D10)*((12-PersonMonthsPregnant!$M4)/12)*('NonPregnant Outcomes'!O4))</f>
        <v>3.6730470713333334</v>
      </c>
      <c r="P4" s="46">
        <f>((1-'Failure Rates'!E10)*('NonPregnant Outcomes'!P4))+(('Failure Rates'!E10)*(PersonMonthsPregnant!$M4/12)*('Pregnant Outcomes'!$E4))+(('Failure Rates'!E10)*((12-PersonMonthsPregnant!$M4)/12)*('NonPregnant Outcomes'!P4))</f>
        <v>3.6730470713333334</v>
      </c>
      <c r="Q4" s="46">
        <f>((1-'Failure Rates'!F10)*('NonPregnant Outcomes'!Q4))+(('Failure Rates'!F10)*(PersonMonthsPregnant!$M32/12)*('Pregnant Outcomes'!$E4))+(('Failure Rates'!F10)*((12-PersonMonthsPregnant!$M32)/12)*('NonPregnant Outcomes'!Q4))</f>
        <v>2.9715236346066667</v>
      </c>
      <c r="R4" s="46">
        <f>((1-'Failure Rates'!G10)*('NonPregnant Outcomes'!R4))+(('Failure Rates'!G10)*(PersonMonthsPregnant!$M32/12)*('Pregnant Outcomes'!$E4))+(('Failure Rates'!G10)*((12-PersonMonthsPregnant!$M32)/12)*('NonPregnant Outcomes'!R4))</f>
        <v>2.1543576504826665</v>
      </c>
      <c r="S4" s="46">
        <f>((1-'Failure Rates'!H10)*('NonPregnant Outcomes'!S4))+(('Failure Rates'!H10)*(PersonMonthsPregnant!$M4/12)*('Pregnant Outcomes'!$E4))+(('Failure Rates'!H10)*((12-PersonMonthsPregnant!$M4)/12)*('NonPregnant Outcomes'!S4))</f>
        <v>3.3816698933333331</v>
      </c>
      <c r="T4" s="46">
        <f>((1-'Failure Rates'!I10)*('NonPregnant Outcomes'!T4))+(('Failure Rates'!I10)*(PersonMonthsPregnant!$M4/12)*('Pregnant Outcomes'!$E4))+(('Failure Rates'!I10)*((12-PersonMonthsPregnant!$M4)/12)*('NonPregnant Outcomes'!T4))</f>
        <v>2.9553958736666672</v>
      </c>
      <c r="U4" s="46">
        <f>((1-'Failure Rates'!J10)*('NonPregnant Outcomes'!U4))+(('Failure Rates'!J10)*(PersonMonthsPregnant!$M4/12)*('Pregnant Outcomes'!$E4))+(('Failure Rates'!J10)*((12-PersonMonthsPregnant!$M4)/12)*('NonPregnant Outcomes'!U4))</f>
        <v>4.525595110666667</v>
      </c>
      <c r="V4" s="46">
        <f>((1-'Failure Rates'!K10)*('NonPregnant Outcomes'!V4))+(('Failure Rates'!K10)*(PersonMonthsPregnant!$M4/12)*('Pregnant Outcomes'!$E4))+(('Failure Rates'!K10)*((12-PersonMonthsPregnant!$M4)/12)*('NonPregnant Outcomes'!V4))</f>
        <v>5.2162669400000006</v>
      </c>
      <c r="W4" s="46">
        <f>((1-'Failure Rates'!L10)*('NonPregnant Outcomes'!W4))+(('Failure Rates'!L10)*(PersonMonthsPregnant!$M4/12)*('Pregnant Outcomes'!$E4))+(('Failure Rates'!L10)*((12-PersonMonthsPregnant!$M4)/12)*('NonPregnant Outcomes'!W4))</f>
        <v>12.122985233333333</v>
      </c>
      <c r="X4" s="54">
        <f>((1-'Failure Rates'!C10)*('NonPregnant Outcomes'!X4))+(('Failure Rates'!C10)*(VTEPersonMonthsPregnant!$M4/12)*('Pregnant Outcomes'!$F4))+(('Failure Rates'!C10)*((12-VTEPersonMonthsPregnant!$M4)/12)*('NonPregnant Outcomes'!X4))</f>
        <v>51.29090446666666</v>
      </c>
      <c r="Y4" s="54">
        <f>((1-'Failure Rates'!D10)*('NonPregnant Outcomes'!Y4))+(('Failure Rates'!D10)*(VTEPersonMonthsPregnant!$M4/12)*('Pregnant Outcomes'!$F4))+(('Failure Rates'!D10)*((12-VTEPersonMonthsPregnant!$M4)/12)*('NonPregnant Outcomes'!Y4))</f>
        <v>177.75316395333334</v>
      </c>
      <c r="Z4" s="54">
        <f>((1-'Failure Rates'!E10)*('NonPregnant Outcomes'!Z4))+(('Failure Rates'!E10)*(VTEPersonMonthsPregnant!$M4/12)*('Pregnant Outcomes'!$F4))+(('Failure Rates'!E10)*((12-VTEPersonMonthsPregnant!$M4)/12)*('NonPregnant Outcomes'!Z4))</f>
        <v>54.898119853333341</v>
      </c>
      <c r="AA4" s="54">
        <f>((1-'Failure Rates'!F10)*('NonPregnant Outcomes'!AA4))+(('Failure Rates'!F10)*(VTEPersonMonthsPregnant!$M32/12)*('Pregnant Outcomes'!$F4))+(('Failure Rates'!F10)*((12-VTEPersonMonthsPregnant!$M32)/12)*('NonPregnant Outcomes'!AA4))</f>
        <v>51.116017974266668</v>
      </c>
      <c r="AB4" s="54">
        <f>((1-'Failure Rates'!G10)*('NonPregnant Outcomes'!AB4))+(('Failure Rates'!G10)*(VTEPersonMonthsPregnant!$M32/12)*('Pregnant Outcomes'!$F4))+(('Failure Rates'!G10)*((12-VTEPersonMonthsPregnant!$M32)/12)*('NonPregnant Outcomes'!AB4))</f>
        <v>51.46407189706666</v>
      </c>
      <c r="AC4" s="54">
        <f>((1-'Failure Rates'!H10)*('NonPregnant Outcomes'!AC4))+(('Failure Rates'!H10)*(VTEPersonMonthsPregnant!$M4/12)*('Pregnant Outcomes'!$F4))+(('Failure Rates'!H10)*((12-VTEPersonMonthsPregnant!$M4)/12)*('NonPregnant Outcomes'!AC4))</f>
        <v>136.64479958933333</v>
      </c>
      <c r="AD4" s="54">
        <f>((1-'Failure Rates'!I10)*('NonPregnant Outcomes'!AD4))+(('Failure Rates'!I10)*(VTEPersonMonthsPregnant!$M4/12)*('Pregnant Outcomes'!$F4))+(('Failure Rates'!I10)*((12-VTEPersonMonthsPregnant!$M4)/12)*('NonPregnant Outcomes'!AD4))</f>
        <v>51.029090446666679</v>
      </c>
      <c r="AE4" s="54">
        <f>((1-'Failure Rates'!J10)*('NonPregnant Outcomes'!AE4))+(('Failure Rates'!J10)*(VTEPersonMonthsPregnant!$M4/12)*('Pregnant Outcomes'!$F4))+(('Failure Rates'!J10)*((12-VTEPersonMonthsPregnant!$M4)/12)*('NonPregnant Outcomes'!AE4))</f>
        <v>59.494410426666668</v>
      </c>
      <c r="AF4" s="54">
        <f>((1-'Failure Rates'!K10)*('NonPregnant Outcomes'!AF4))+(('Failure Rates'!K10)*(VTEPersonMonthsPregnant!$M4/12)*('Pregnant Outcomes'!$F4))+(('Failure Rates'!K10)*((12-VTEPersonMonthsPregnant!$M4)/12)*('NonPregnant Outcomes'!AF4))</f>
        <v>63.217987600000001</v>
      </c>
      <c r="AG4" s="54">
        <f>((1-'Failure Rates'!L10)*('NonPregnant Outcomes'!AG4))+(('Failure Rates'!L10)*(VTEPersonMonthsPregnant!$M4/12)*('Pregnant Outcomes'!$F4))+(('Failure Rates'!L10)*((12-VTEPersonMonthsPregnant!$M4)/12)*('NonPregnant Outcomes'!AG4))</f>
        <v>100.45375933333334</v>
      </c>
      <c r="AH4" s="46">
        <f>((1-'Failure Rates'!C10)*('NonPregnant Outcomes'!AH4))+(('Failure Rates'!C10)*(PersonMonthsPregnant!$M4/12)*('Pregnant Outcomes'!$G4))+(('Failure Rates'!C10)*((12-PersonMonthsPregnant!$M4)/12)*('NonPregnant Outcomes'!AH4))</f>
        <v>1010</v>
      </c>
      <c r="AI4" s="46">
        <f>((1-'Failure Rates'!D10)*('NonPregnant Outcomes'!AI4))+(('Failure Rates'!D10)*(PersonMonthsPregnant!$M4/12)*('Pregnant Outcomes'!$G4))+(('Failure Rates'!D10)*((12-PersonMonthsPregnant!$M4)/12)*('NonPregnant Outcomes'!AI4))</f>
        <v>1010.0000000000001</v>
      </c>
      <c r="AJ4" s="46">
        <f>((1-'Failure Rates'!E10)*('NonPregnant Outcomes'!AJ4))+(('Failure Rates'!E10)*(PersonMonthsPregnant!$M4/12)*('Pregnant Outcomes'!$G4))+(('Failure Rates'!E10)*((12-PersonMonthsPregnant!$M4)/12)*('NonPregnant Outcomes'!AJ4))</f>
        <v>1010.0000000000001</v>
      </c>
      <c r="AK4" s="46">
        <f>((1-'Failure Rates'!F10)*('NonPregnant Outcomes'!AK4))+(('Failure Rates'!F10)*(PersonMonthsPregnant!$M32/12)*('Pregnant Outcomes'!$G4))+(('Failure Rates'!F10)*((12-PersonMonthsPregnant!$M32)/12)*('NonPregnant Outcomes'!AK4))</f>
        <v>1010</v>
      </c>
      <c r="AL4" s="46">
        <f>((1-'Failure Rates'!G10)*('NonPregnant Outcomes'!AL4))+(('Failure Rates'!G10)*(PersonMonthsPregnant!$M32/12)*('Pregnant Outcomes'!$G4))+(('Failure Rates'!G10)*((12-PersonMonthsPregnant!$M32)/12)*('NonPregnant Outcomes'!AL4))</f>
        <v>1009.9999999999999</v>
      </c>
      <c r="AM4" s="46">
        <f>((1-'Failure Rates'!H10)*('NonPregnant Outcomes'!AM4))+(('Failure Rates'!H10)*(PersonMonthsPregnant!$M4/12)*('Pregnant Outcomes'!$G4))+(('Failure Rates'!H10)*((12-PersonMonthsPregnant!$M4)/12)*('NonPregnant Outcomes'!AM4))</f>
        <v>1009.9999999999999</v>
      </c>
      <c r="AN4" s="46">
        <f>((1-'Failure Rates'!I10)*('NonPregnant Outcomes'!AN4))+(('Failure Rates'!I10)*(PersonMonthsPregnant!$M4/12)*('Pregnant Outcomes'!$G4))+(('Failure Rates'!I10)*((12-PersonMonthsPregnant!$M4)/12)*('NonPregnant Outcomes'!AN4))</f>
        <v>1010</v>
      </c>
      <c r="AO4" s="46">
        <f>((1-'Failure Rates'!J10)*('NonPregnant Outcomes'!AO4))+(('Failure Rates'!J10)*(PersonMonthsPregnant!$M4/12)*('Pregnant Outcomes'!$G4))+(('Failure Rates'!J10)*((12-PersonMonthsPregnant!$M4)/12)*('NonPregnant Outcomes'!AO4))</f>
        <v>1010</v>
      </c>
      <c r="AP4" s="46">
        <f>((1-'Failure Rates'!K10)*('NonPregnant Outcomes'!AP4))+(('Failure Rates'!K10)*(PersonMonthsPregnant!$M4/12)*('Pregnant Outcomes'!$G4))+(('Failure Rates'!K10)*((12-PersonMonthsPregnant!$M4)/12)*('NonPregnant Outcomes'!AP4))</f>
        <v>1010.0000000000001</v>
      </c>
      <c r="AQ4" s="46">
        <f>((1-'Failure Rates'!L10)*('NonPregnant Outcomes'!AQ4))+(('Failure Rates'!L10)*(PersonMonthsPregnant!$M4/12)*('Pregnant Outcomes'!$G4))+(('Failure Rates'!L10)*((12-PersonMonthsPregnant!$M4)/12)*('NonPregnant Outcomes'!AQ4))</f>
        <v>1010</v>
      </c>
      <c r="AR4" s="54">
        <f>'Pregnant Outcomes'!$I4</f>
        <v>91</v>
      </c>
      <c r="AS4" s="54">
        <f>(('Failure Rates'!$D10)*('Pregnant Outcomes'!$H4))</f>
        <v>29.48</v>
      </c>
      <c r="AT4" s="54">
        <f>(('Failure Rates'!$E10)*('Pregnant Outcomes'!$H4))</f>
        <v>29.48</v>
      </c>
      <c r="AU4" s="54">
        <f>(('Failure Rates'!$F10)*('Pregnant Outcomes'!$J4))</f>
        <v>1.6456000000000002</v>
      </c>
      <c r="AV4" s="54">
        <f>(('Failure Rates'!$G10)*('Pregnant Outcomes'!$K4))</f>
        <v>6.5824000000000007</v>
      </c>
      <c r="AW4" s="54">
        <f>(('Failure Rates'!$H10)*('Pregnant Outcomes'!$H4))</f>
        <v>17.600000000000001</v>
      </c>
      <c r="AX4" s="54">
        <f>(('Failure Rates'!$I10)*('Pregnant Outcomes'!$H4))</f>
        <v>0.22</v>
      </c>
      <c r="AY4" s="54">
        <f>(('Failure Rates'!$J10)*('Pregnant Outcomes'!$H4))</f>
        <v>64.239999999999995</v>
      </c>
      <c r="AZ4" s="54">
        <f>(('Failure Rates'!$K10)*('Pregnant Outcomes'!$H4))</f>
        <v>92.399999999999991</v>
      </c>
      <c r="BA4" s="54">
        <f>('Failure Rates'!$L10)*('Pregnant Outcomes'!$H4)</f>
        <v>374</v>
      </c>
    </row>
    <row r="5" spans="1:53" x14ac:dyDescent="0.2">
      <c r="A5" t="s">
        <v>4</v>
      </c>
      <c r="B5" s="12">
        <v>0</v>
      </c>
      <c r="C5" t="str">
        <f t="shared" si="0"/>
        <v>A24_29_0</v>
      </c>
      <c r="D5" s="45">
        <f>((1-'Failure Rates'!C11)*('NonPregnant Outcomes'!D5))+(('Failure Rates'!C11)*(PersonMonthsPregnant!$M5/12)*('Pregnant Outcomes'!$D5))+(('Failure Rates'!C11)*((12-PersonMonthsPregnant!$M5)/12)*('NonPregnant Outcomes'!D5))</f>
        <v>4.0490474399999998</v>
      </c>
      <c r="E5" s="45">
        <f>((1-'Failure Rates'!D11)*('NonPregnant Outcomes'!E5))+(('Failure Rates'!D11)*(PersonMonthsPregnant!$M5/12)*('Pregnant Outcomes'!$D5))+(('Failure Rates'!D11)*((12-PersonMonthsPregnant!$M5)/12)*('NonPregnant Outcomes'!E5))</f>
        <v>5.0201867519999999</v>
      </c>
      <c r="F5" s="45">
        <f>((1-'Failure Rates'!E11)*('NonPregnant Outcomes'!F5))+(('Failure Rates'!E11)*(PersonMonthsPregnant!$M5/12)*('Pregnant Outcomes'!$D5))+(('Failure Rates'!E11)*((12-PersonMonthsPregnant!$M5)/12)*('NonPregnant Outcomes'!F5))</f>
        <v>5.0201867519999999</v>
      </c>
      <c r="G5" s="45">
        <f>((1-'Failure Rates'!F11)*('NonPregnant Outcomes'!G5))+(('Failure Rates'!F11)*(PersonMonthsPregnant!$M33/12)*('Pregnant Outcomes'!$D5))+(('Failure Rates'!F11)*((12-PersonMonthsPregnant!$M33)/12)*('NonPregnant Outcomes'!G5))</f>
        <v>4.0195364582400002</v>
      </c>
      <c r="H5" s="45">
        <f>((1-'Failure Rates'!G11)*('NonPregnant Outcomes'!H5))+(('Failure Rates'!G11)*(PersonMonthsPregnant!$M33/12)*('Pregnant Outcomes'!$D5))+(('Failure Rates'!G11)*((12-PersonMonthsPregnant!$M33)/12)*('NonPregnant Outcomes'!H5))</f>
        <v>4.0781458329599998</v>
      </c>
      <c r="I5" s="45">
        <f>((1-'Failure Rates'!H11)*('NonPregnant Outcomes'!I5))+(('Failure Rates'!H11)*(PersonMonthsPregnant!$M5/12)*('Pregnant Outcomes'!$D5))+(('Failure Rates'!H11)*((12-PersonMonthsPregnant!$M5)/12)*('NonPregnant Outcomes'!I5))</f>
        <v>4.3923795200000004</v>
      </c>
      <c r="J5" s="45">
        <f>((1-'Failure Rates'!I11)*('NonPregnant Outcomes'!J5))+(('Failure Rates'!I11)*(PersonMonthsPregnant!$M5/12)*('Pregnant Outcomes'!$D5))+(('Failure Rates'!I11)*((12-PersonMonthsPregnant!$M5)/12)*('NonPregnant Outcomes'!J5))</f>
        <v>4.0049047440000001</v>
      </c>
      <c r="K5" s="45">
        <f>((1-'Failure Rates'!J11)*('NonPregnant Outcomes'!K5))+(('Failure Rates'!J11)*(PersonMonthsPregnant!$M5/12)*('Pregnant Outcomes'!$D5))+(('Failure Rates'!J11)*((12-PersonMonthsPregnant!$M5)/12)*('NonPregnant Outcomes'!K5))</f>
        <v>5.1771385599999995</v>
      </c>
      <c r="L5" s="45">
        <f>((1-'Failure Rates'!K11)*('NonPregnant Outcomes'!L5))+(('Failure Rates'!K11)*(PersonMonthsPregnant!$M5/12)*('Pregnant Outcomes'!$D5))+(('Failure Rates'!K11)*((12-PersonMonthsPregnant!$M5)/12)*('NonPregnant Outcomes'!L5))</f>
        <v>5.942278624000001</v>
      </c>
      <c r="M5" s="45">
        <f>((1-'Failure Rates'!L11)*('NonPregnant Outcomes'!M5))+(('Failure Rates'!L11)*(PersonMonthsPregnant!$M5/12)*('Pregnant Outcomes'!$D5))+(('Failure Rates'!L11)*((12-PersonMonthsPregnant!$M5)/12)*('NonPregnant Outcomes'!M5))</f>
        <v>12.338064800000001</v>
      </c>
      <c r="N5" s="46">
        <f>((1-'Failure Rates'!C11)*('NonPregnant Outcomes'!N5))+(('Failure Rates'!C11)*(PersonMonthsPregnant!$M5/12)*('Pregnant Outcomes'!$E5))+(('Failure Rates'!C11)*((12-PersonMonthsPregnant!$M5)/12)*('NonPregnant Outcomes'!N5))</f>
        <v>7.7139304715000003</v>
      </c>
      <c r="O5" s="46">
        <f>((1-'Failure Rates'!D11)*('NonPregnant Outcomes'!O5))+(('Failure Rates'!D11)*(PersonMonthsPregnant!$M5/12)*('Pregnant Outcomes'!$E5))+(('Failure Rates'!D11)*((12-PersonMonthsPregnant!$M5)/12)*('NonPregnant Outcomes'!O5))</f>
        <v>8.5837538072000008</v>
      </c>
      <c r="P5" s="46">
        <f>((1-'Failure Rates'!E11)*('NonPregnant Outcomes'!P5))+(('Failure Rates'!E11)*(PersonMonthsPregnant!$M5/12)*('Pregnant Outcomes'!$E5))+(('Failure Rates'!E11)*((12-PersonMonthsPregnant!$M5)/12)*('NonPregnant Outcomes'!P5))</f>
        <v>8.5837538072000008</v>
      </c>
      <c r="Q5" s="46">
        <f>((1-'Failure Rates'!F11)*('NonPregnant Outcomes'!Q5))+(('Failure Rates'!F11)*(PersonMonthsPregnant!$M33/12)*('Pregnant Outcomes'!$E5))+(('Failure Rates'!F11)*((12-PersonMonthsPregnant!$M33)/12)*('NonPregnant Outcomes'!Q5))</f>
        <v>7.6874982796640001</v>
      </c>
      <c r="R5" s="46">
        <f>((1-'Failure Rates'!G11)*('NonPregnant Outcomes'!R5))+(('Failure Rates'!G11)*(PersonMonthsPregnant!$M33/12)*('Pregnant Outcomes'!$E5))+(('Failure Rates'!G11)*((12-PersonMonthsPregnant!$M33)/12)*('NonPregnant Outcomes'!R5))</f>
        <v>5.4476380014272001</v>
      </c>
      <c r="S5" s="46">
        <f>((1-'Failure Rates'!H11)*('NonPregnant Outcomes'!S5))+(('Failure Rates'!H11)*(PersonMonthsPregnant!$M5/12)*('Pregnant Outcomes'!$E5))+(('Failure Rates'!H11)*((12-PersonMonthsPregnant!$M5)/12)*('NonPregnant Outcomes'!S5))</f>
        <v>8.0214437719999996</v>
      </c>
      <c r="T5" s="46">
        <f>((1-'Failure Rates'!I11)*('NonPregnant Outcomes'!T5))+(('Failure Rates'!I11)*(PersonMonthsPregnant!$M5/12)*('Pregnant Outcomes'!$E5))+(('Failure Rates'!I11)*((12-PersonMonthsPregnant!$M5)/12)*('NonPregnant Outcomes'!T5))</f>
        <v>7.6743930471500006</v>
      </c>
      <c r="U5" s="46">
        <f>((1-'Failure Rates'!J11)*('NonPregnant Outcomes'!U5))+(('Failure Rates'!J11)*(PersonMonthsPregnant!$M5/12)*('Pregnant Outcomes'!$E5))+(('Failure Rates'!J11)*((12-PersonMonthsPregnant!$M5)/12)*('NonPregnant Outcomes'!U5))</f>
        <v>8.7243313159999989</v>
      </c>
      <c r="V5" s="46">
        <f>((1-'Failure Rates'!K11)*('NonPregnant Outcomes'!V5))+(('Failure Rates'!K11)*(PersonMonthsPregnant!$M5/12)*('Pregnant Outcomes'!$E5))+(('Failure Rates'!K11)*((12-PersonMonthsPregnant!$M5)/12)*('NonPregnant Outcomes'!V5))</f>
        <v>9.4096466714000009</v>
      </c>
      <c r="W5" s="46">
        <f>((1-'Failure Rates'!L11)*('NonPregnant Outcomes'!W5))+(('Failure Rates'!L11)*(PersonMonthsPregnant!$M5/12)*('Pregnant Outcomes'!$E5))+(('Failure Rates'!L11)*((12-PersonMonthsPregnant!$M5)/12)*('NonPregnant Outcomes'!W5))</f>
        <v>15.138180155000002</v>
      </c>
      <c r="X5" s="54">
        <f>((1-'Failure Rates'!C11)*('NonPregnant Outcomes'!X5))+(('Failure Rates'!C11)*(VTEPersonMonthsPregnant!$M5/12)*('Pregnant Outcomes'!$F5))+(('Failure Rates'!C11)*((12-VTEPersonMonthsPregnant!$M5)/12)*('NonPregnant Outcomes'!X5))</f>
        <v>72.264054083333335</v>
      </c>
      <c r="Y5" s="54">
        <f>((1-'Failure Rates'!D11)*('NonPregnant Outcomes'!Y5))+(('Failure Rates'!D11)*(VTEPersonMonthsPregnant!$M5/12)*('Pregnant Outcomes'!$F5))+(('Failure Rates'!D11)*((12-VTEPersonMonthsPregnant!$M5)/12)*('NonPregnant Outcomes'!Y5))</f>
        <v>247.08581453333332</v>
      </c>
      <c r="Z5" s="54">
        <f>((1-'Failure Rates'!E11)*('NonPregnant Outcomes'!Z5))+(('Failure Rates'!E11)*(VTEPersonMonthsPregnant!$M5/12)*('Pregnant Outcomes'!$F5))+(('Failure Rates'!E11)*((12-VTEPersonMonthsPregnant!$M5)/12)*('NonPregnant Outcomes'!Z5))</f>
        <v>77.492324933333336</v>
      </c>
      <c r="AA5" s="54">
        <f>((1-'Failure Rates'!F11)*('NonPregnant Outcomes'!AA5))+(('Failure Rates'!F11)*(VTEPersonMonthsPregnant!$M33/12)*('Pregnant Outcomes'!$F5))+(('Failure Rates'!F11)*((12-VTEPersonMonthsPregnant!$M33)/12)*('NonPregnant Outcomes'!AA5))</f>
        <v>72.105148875333327</v>
      </c>
      <c r="AB5" s="54">
        <f>((1-'Failure Rates'!G11)*('NonPregnant Outcomes'!AB5))+(('Failure Rates'!G11)*(VTEPersonMonthsPregnant!$M33/12)*('Pregnant Outcomes'!$F5))+(('Failure Rates'!G11)*((12-VTEPersonMonthsPregnant!$M33)/12)*('NonPregnant Outcomes'!AB5))</f>
        <v>72.420595501333338</v>
      </c>
      <c r="AC5" s="54">
        <f>((1-'Failure Rates'!H11)*('NonPregnant Outcomes'!AC5))+(('Failure Rates'!H11)*(VTEPersonMonthsPregnant!$M5/12)*('Pregnant Outcomes'!$F5))+(('Failure Rates'!H11)*((12-VTEPersonMonthsPregnant!$M5)/12)*('NonPregnant Outcomes'!AC5))</f>
        <v>191.67875999466665</v>
      </c>
      <c r="AD5" s="54">
        <f>((1-'Failure Rates'!I11)*('NonPregnant Outcomes'!AD5))+(('Failure Rates'!I11)*(VTEPersonMonthsPregnant!$M5/12)*('Pregnant Outcomes'!$F5))+(('Failure Rates'!I11)*((12-VTEPersonMonthsPregnant!$M5)/12)*('NonPregnant Outcomes'!AD5))</f>
        <v>72.026405408333332</v>
      </c>
      <c r="AE5" s="54">
        <f>((1-'Failure Rates'!J11)*('NonPregnant Outcomes'!AE5))+(('Failure Rates'!J11)*(VTEPersonMonthsPregnant!$M5/12)*('Pregnant Outcomes'!$F5))+(('Failure Rates'!J11)*((12-VTEPersonMonthsPregnant!$M5)/12)*('NonPregnant Outcomes'!AE5))</f>
        <v>78.337298000000004</v>
      </c>
      <c r="AF5" s="54">
        <f>((1-'Failure Rates'!K11)*('NonPregnant Outcomes'!AF5))+(('Failure Rates'!K11)*(VTEPersonMonthsPregnant!$M5/12)*('Pregnant Outcomes'!$F5))+(('Failure Rates'!K11)*((12-VTEPersonMonthsPregnant!$M5)/12)*('NonPregnant Outcomes'!AF5))</f>
        <v>82.456541700000002</v>
      </c>
      <c r="AG5" s="54">
        <f>((1-'Failure Rates'!L11)*('NonPregnant Outcomes'!AG5))+(('Failure Rates'!L11)*(VTEPersonMonthsPregnant!$M5/12)*('Pregnant Outcomes'!$F5))+(('Failure Rates'!L11)*((12-VTEPersonMonthsPregnant!$M5)/12)*('NonPregnant Outcomes'!AG5))</f>
        <v>116.88919416666667</v>
      </c>
      <c r="AH5" s="46">
        <f>((1-'Failure Rates'!C11)*('NonPregnant Outcomes'!AH5))+(('Failure Rates'!C11)*(PersonMonthsPregnant!$M5/12)*('Pregnant Outcomes'!$G5))+(('Failure Rates'!C11)*((12-PersonMonthsPregnant!$M5)/12)*('NonPregnant Outcomes'!AH5))</f>
        <v>1010.0000000000001</v>
      </c>
      <c r="AI5" s="46">
        <f>((1-'Failure Rates'!D11)*('NonPregnant Outcomes'!AI5))+(('Failure Rates'!D11)*(PersonMonthsPregnant!$M5/12)*('Pregnant Outcomes'!$G5))+(('Failure Rates'!D11)*((12-PersonMonthsPregnant!$M5)/12)*('NonPregnant Outcomes'!AI5))</f>
        <v>1010</v>
      </c>
      <c r="AJ5" s="46">
        <f>((1-'Failure Rates'!E11)*('NonPregnant Outcomes'!AJ5))+(('Failure Rates'!E11)*(PersonMonthsPregnant!$M5/12)*('Pregnant Outcomes'!$G5))+(('Failure Rates'!E11)*((12-PersonMonthsPregnant!$M5)/12)*('NonPregnant Outcomes'!AJ5))</f>
        <v>1010</v>
      </c>
      <c r="AK5" s="46">
        <f>((1-'Failure Rates'!F11)*('NonPregnant Outcomes'!AK5))+(('Failure Rates'!F11)*(PersonMonthsPregnant!$M33/12)*('Pregnant Outcomes'!$G5))+(('Failure Rates'!F11)*((12-PersonMonthsPregnant!$M33)/12)*('NonPregnant Outcomes'!AK5))</f>
        <v>1010</v>
      </c>
      <c r="AL5" s="46">
        <f>((1-'Failure Rates'!G11)*('NonPregnant Outcomes'!AL5))+(('Failure Rates'!G11)*(PersonMonthsPregnant!$M33/12)*('Pregnant Outcomes'!$G5))+(('Failure Rates'!G11)*((12-PersonMonthsPregnant!$M33)/12)*('NonPregnant Outcomes'!AL5))</f>
        <v>1010</v>
      </c>
      <c r="AM5" s="46">
        <f>((1-'Failure Rates'!H11)*('NonPregnant Outcomes'!AM5))+(('Failure Rates'!H11)*(PersonMonthsPregnant!$M5/12)*('Pregnant Outcomes'!$G5))+(('Failure Rates'!H11)*((12-PersonMonthsPregnant!$M5)/12)*('NonPregnant Outcomes'!AM5))</f>
        <v>1009.9999999999999</v>
      </c>
      <c r="AN5" s="46">
        <f>((1-'Failure Rates'!I11)*('NonPregnant Outcomes'!AN5))+(('Failure Rates'!I11)*(PersonMonthsPregnant!$M5/12)*('Pregnant Outcomes'!$G5))+(('Failure Rates'!I11)*((12-PersonMonthsPregnant!$M5)/12)*('NonPregnant Outcomes'!AN5))</f>
        <v>1010</v>
      </c>
      <c r="AO5" s="46">
        <f>((1-'Failure Rates'!J11)*('NonPregnant Outcomes'!AO5))+(('Failure Rates'!J11)*(PersonMonthsPregnant!$M5/12)*('Pregnant Outcomes'!$G5))+(('Failure Rates'!J11)*((12-PersonMonthsPregnant!$M5)/12)*('NonPregnant Outcomes'!AO5))</f>
        <v>1010</v>
      </c>
      <c r="AP5" s="46">
        <f>((1-'Failure Rates'!K11)*('NonPregnant Outcomes'!AP5))+(('Failure Rates'!K11)*(PersonMonthsPregnant!$M5/12)*('Pregnant Outcomes'!$G5))+(('Failure Rates'!K11)*((12-PersonMonthsPregnant!$M5)/12)*('NonPregnant Outcomes'!AP5))</f>
        <v>1010.0000000000001</v>
      </c>
      <c r="AQ5" s="46">
        <f>((1-'Failure Rates'!L11)*('NonPregnant Outcomes'!AQ5))+(('Failure Rates'!L11)*(PersonMonthsPregnant!$M5/12)*('Pregnant Outcomes'!$G5))+(('Failure Rates'!L11)*((12-PersonMonthsPregnant!$M5)/12)*('NonPregnant Outcomes'!AQ5))</f>
        <v>1010</v>
      </c>
      <c r="AR5" s="54">
        <f>'Pregnant Outcomes'!$I5</f>
        <v>91</v>
      </c>
      <c r="AS5" s="54">
        <f>(('Failure Rates'!$D11)*('Pregnant Outcomes'!$H5))</f>
        <v>55.12</v>
      </c>
      <c r="AT5" s="54">
        <f>(('Failure Rates'!$E11)*('Pregnant Outcomes'!$H5))</f>
        <v>55.12</v>
      </c>
      <c r="AU5" s="54">
        <f>(('Failure Rates'!$F11)*('Pregnant Outcomes'!$J5))</f>
        <v>1.9822000000000002</v>
      </c>
      <c r="AV5" s="54">
        <f>(('Failure Rates'!$G11)*('Pregnant Outcomes'!$K5))</f>
        <v>7.9288000000000007</v>
      </c>
      <c r="AW5" s="54">
        <f>(('Failure Rates'!$H11)*('Pregnant Outcomes'!$H5))</f>
        <v>21.2</v>
      </c>
      <c r="AX5" s="54">
        <f>(('Failure Rates'!$I11)*('Pregnant Outcomes'!$H5))</f>
        <v>0.26500000000000001</v>
      </c>
      <c r="AY5" s="54">
        <f>(('Failure Rates'!$J11)*('Pregnant Outcomes'!$H5))</f>
        <v>63.599999999999994</v>
      </c>
      <c r="AZ5" s="54">
        <f>(('Failure Rates'!$K11)*('Pregnant Outcomes'!$H5))</f>
        <v>104.94000000000001</v>
      </c>
      <c r="BA5" s="54">
        <f>('Failure Rates'!$L11)*('Pregnant Outcomes'!$H5)</f>
        <v>450.5</v>
      </c>
    </row>
    <row r="6" spans="1:53" x14ac:dyDescent="0.2">
      <c r="A6" t="s">
        <v>68</v>
      </c>
      <c r="B6" s="12">
        <v>0</v>
      </c>
      <c r="C6" t="str">
        <f t="shared" si="0"/>
        <v>A30_34_0</v>
      </c>
      <c r="D6" s="45">
        <f>((1-'Failure Rates'!C12)*('NonPregnant Outcomes'!D6))+(('Failure Rates'!C12)*(PersonMonthsPregnant!$M6/12)*('Pregnant Outcomes'!$D6))+(('Failure Rates'!C12)*((12-PersonMonthsPregnant!$M6)/12)*('NonPregnant Outcomes'!D6))</f>
        <v>9.1059235830000009</v>
      </c>
      <c r="E6" s="45">
        <f>((1-'Failure Rates'!D12)*('NonPregnant Outcomes'!E6))+(('Failure Rates'!D12)*(PersonMonthsPregnant!$M6/12)*('Pregnant Outcomes'!$D6))+(('Failure Rates'!D12)*((12-PersonMonthsPregnant!$M6)/12)*('NonPregnant Outcomes'!E6))</f>
        <v>9.8685733806000009</v>
      </c>
      <c r="F6" s="45">
        <f>((1-'Failure Rates'!E12)*('NonPregnant Outcomes'!F6))+(('Failure Rates'!E12)*(PersonMonthsPregnant!$M6/12)*('Pregnant Outcomes'!$D6))+(('Failure Rates'!E12)*((12-PersonMonthsPregnant!$M6)/12)*('NonPregnant Outcomes'!F6))</f>
        <v>9.8685733806000009</v>
      </c>
      <c r="G6" s="45">
        <f>((1-'Failure Rates'!F12)*('NonPregnant Outcomes'!G6))+(('Failure Rates'!F12)*(PersonMonthsPregnant!$M34/12)*('Pregnant Outcomes'!$D6))+(('Failure Rates'!F12)*((12-PersonMonthsPregnant!$M34)/12)*('NonPregnant Outcomes'!G6))</f>
        <v>9.0421284390239993</v>
      </c>
      <c r="H6" s="45">
        <f>((1-'Failure Rates'!G12)*('NonPregnant Outcomes'!H6))+(('Failure Rates'!G12)*(PersonMonthsPregnant!$M34/12)*('Pregnant Outcomes'!$D6))+(('Failure Rates'!G12)*((12-PersonMonthsPregnant!$M34)/12)*('NonPregnant Outcomes'!H6))</f>
        <v>9.1685137560960008</v>
      </c>
      <c r="I6" s="45">
        <f>((1-'Failure Rates'!H12)*('NonPregnant Outcomes'!I6))+(('Failure Rates'!H12)*(PersonMonthsPregnant!$M6/12)*('Pregnant Outcomes'!$D6))+(('Failure Rates'!H12)*((12-PersonMonthsPregnant!$M6)/12)*('NonPregnant Outcomes'!I6))</f>
        <v>9.8473886640000003</v>
      </c>
      <c r="J6" s="45">
        <f>((1-'Failure Rates'!I12)*('NonPregnant Outcomes'!J6))+(('Failure Rates'!I12)*(PersonMonthsPregnant!$M6/12)*('Pregnant Outcomes'!$D6))+(('Failure Rates'!I12)*((12-PersonMonthsPregnant!$M6)/12)*('NonPregnant Outcomes'!J6))</f>
        <v>9.0105923583000003</v>
      </c>
      <c r="K6" s="45">
        <f>((1-'Failure Rates'!J12)*('NonPregnant Outcomes'!K6))+(('Failure Rates'!J12)*(PersonMonthsPregnant!$M6/12)*('Pregnant Outcomes'!$D6))+(('Failure Rates'!J12)*((12-PersonMonthsPregnant!$M6)/12)*('NonPregnant Outcomes'!K6))</f>
        <v>10.779516194400001</v>
      </c>
      <c r="L6" s="45">
        <f>((1-'Failure Rates'!K12)*('NonPregnant Outcomes'!L6))+(('Failure Rates'!K12)*(PersonMonthsPregnant!$M6/12)*('Pregnant Outcomes'!$D6))+(('Failure Rates'!K12)*((12-PersonMonthsPregnant!$M6)/12)*('NonPregnant Outcomes'!L6))</f>
        <v>12.7496948382</v>
      </c>
      <c r="M6" s="45">
        <f>((1-'Failure Rates'!L12)*('NonPregnant Outcomes'!M6))+(('Failure Rates'!L12)*(PersonMonthsPregnant!$M6/12)*('Pregnant Outcomes'!$D6))+(('Failure Rates'!L12)*((12-PersonMonthsPregnant!$M6)/12)*('NonPregnant Outcomes'!M6))</f>
        <v>27.007009110000006</v>
      </c>
      <c r="N6" s="46">
        <f>((1-'Failure Rates'!C12)*('NonPregnant Outcomes'!N6))+(('Failure Rates'!C12)*(PersonMonthsPregnant!$M6/12)*('Pregnant Outcomes'!$E6))+(('Failure Rates'!C12)*((12-PersonMonthsPregnant!$M6)/12)*('NonPregnant Outcomes'!N6))</f>
        <v>7.7342376777499995</v>
      </c>
      <c r="O6" s="46">
        <f>((1-'Failure Rates'!D12)*('NonPregnant Outcomes'!O6))+(('Failure Rates'!D12)*(PersonMonthsPregnant!$M6/12)*('Pregnant Outcomes'!$E6))+(('Failure Rates'!D12)*((12-PersonMonthsPregnant!$M6)/12)*('NonPregnant Outcomes'!O6))</f>
        <v>8.1967489575499997</v>
      </c>
      <c r="P6" s="46">
        <f>((1-'Failure Rates'!E12)*('NonPregnant Outcomes'!P6))+(('Failure Rates'!E12)*(PersonMonthsPregnant!$M6/12)*('Pregnant Outcomes'!$E6))+(('Failure Rates'!E12)*((12-PersonMonthsPregnant!$M6)/12)*('NonPregnant Outcomes'!P6))</f>
        <v>8.1967489575499997</v>
      </c>
      <c r="Q6" s="46">
        <f>((1-'Failure Rates'!F12)*('NonPregnant Outcomes'!Q6))+(('Failure Rates'!F12)*(PersonMonthsPregnant!$M34/12)*('Pregnant Outcomes'!$E6))+(('Failure Rates'!F12)*((12-PersonMonthsPregnant!$M34)/12)*('NonPregnant Outcomes'!Q6))</f>
        <v>7.6955489194520004</v>
      </c>
      <c r="R6" s="46">
        <f>((1-'Failure Rates'!G12)*('NonPregnant Outcomes'!R6))+(('Failure Rates'!G12)*(PersonMonthsPregnant!$M34/12)*('Pregnant Outcomes'!$E6))+(('Failure Rates'!G12)*((12-PersonMonthsPregnant!$M34)/12)*('NonPregnant Outcomes'!R6))</f>
        <v>5.4797064362096002</v>
      </c>
      <c r="S6" s="46">
        <f>((1-'Failure Rates'!H12)*('NonPregnant Outcomes'!S6))+(('Failure Rates'!H12)*(PersonMonthsPregnant!$M6/12)*('Pregnant Outcomes'!$E6))+(('Failure Rates'!H12)*((12-PersonMonthsPregnant!$M6)/12)*('NonPregnant Outcomes'!S6))</f>
        <v>8.1839014219999999</v>
      </c>
      <c r="T6" s="46">
        <f>((1-'Failure Rates'!I12)*('NonPregnant Outcomes'!T6))+(('Failure Rates'!I12)*(PersonMonthsPregnant!$M6/12)*('Pregnant Outcomes'!$E6))+(('Failure Rates'!I12)*((12-PersonMonthsPregnant!$M6)/12)*('NonPregnant Outcomes'!T6))</f>
        <v>7.6764237677750007</v>
      </c>
      <c r="U6" s="46">
        <f>((1-'Failure Rates'!J12)*('NonPregnant Outcomes'!U6))+(('Failure Rates'!J12)*(PersonMonthsPregnant!$M6/12)*('Pregnant Outcomes'!$E6))+(('Failure Rates'!J12)*((12-PersonMonthsPregnant!$M6)/12)*('NonPregnant Outcomes'!U6))</f>
        <v>8.7491929862000006</v>
      </c>
      <c r="V6" s="46">
        <f>((1-'Failure Rates'!K12)*('NonPregnant Outcomes'!V6))+(('Failure Rates'!K12)*(PersonMonthsPregnant!$M6/12)*('Pregnant Outcomes'!$E6))+(('Failure Rates'!K12)*((12-PersonMonthsPregnant!$M6)/12)*('NonPregnant Outcomes'!V6))</f>
        <v>9.9440137923499989</v>
      </c>
      <c r="W6" s="46">
        <f>((1-'Failure Rates'!L12)*('NonPregnant Outcomes'!W6))+(('Failure Rates'!L12)*(PersonMonthsPregnant!$M6/12)*('Pregnant Outcomes'!$E6))+(('Failure Rates'!L12)*((12-PersonMonthsPregnant!$M6)/12)*('NonPregnant Outcomes'!W6))</f>
        <v>18.590405217499999</v>
      </c>
      <c r="X6" s="54">
        <f>((1-'Failure Rates'!C12)*('NonPregnant Outcomes'!X6))+(('Failure Rates'!C12)*(VTEPersonMonthsPregnant!$M6/12)*('Pregnant Outcomes'!$F6))+(('Failure Rates'!C12)*((12-VTEPersonMonthsPregnant!$M6)/12)*('NonPregnant Outcomes'!X6))</f>
        <v>75.267962216666675</v>
      </c>
      <c r="Y6" s="54">
        <f>((1-'Failure Rates'!D12)*('NonPregnant Outcomes'!Y6))+(('Failure Rates'!D12)*(VTEPersonMonthsPregnant!$M6/12)*('Pregnant Outcomes'!$F6))+(('Failure Rates'!D12)*((12-VTEPersonMonthsPregnant!$M6)/12)*('NonPregnant Outcomes'!Y6))</f>
        <v>260.49329111416665</v>
      </c>
      <c r="Z6" s="54">
        <f>((1-'Failure Rates'!E12)*('NonPregnant Outcomes'!Z6))+(('Failure Rates'!E12)*(VTEPersonMonthsPregnant!$M6/12)*('Pregnant Outcomes'!$F6))+(('Failure Rates'!E12)*((12-VTEPersonMonthsPregnant!$M6)/12)*('NonPregnant Outcomes'!Z6))</f>
        <v>77.197290176666655</v>
      </c>
      <c r="AA6" s="54">
        <f>((1-'Failure Rates'!F12)*('NonPregnant Outcomes'!AA6))+(('Failure Rates'!F12)*(VTEPersonMonthsPregnant!$M34/12)*('Pregnant Outcomes'!$F6))+(('Failure Rates'!F12)*((12-VTEPersonMonthsPregnant!$M34)/12)*('NonPregnant Outcomes'!AA6))</f>
        <v>75.106534637066673</v>
      </c>
      <c r="AB6" s="54">
        <f>((1-'Failure Rates'!G12)*('NonPregnant Outcomes'!AB6))+(('Failure Rates'!G12)*(VTEPersonMonthsPregnant!$M34/12)*('Pregnant Outcomes'!$F6))+(('Failure Rates'!G12)*((12-VTEPersonMonthsPregnant!$M34)/12)*('NonPregnant Outcomes'!AB6))</f>
        <v>75.426138548266664</v>
      </c>
      <c r="AC6" s="54">
        <f>((1-'Failure Rates'!H12)*('NonPregnant Outcomes'!AC6))+(('Failure Rates'!H12)*(VTEPersonMonthsPregnant!$M6/12)*('Pregnant Outcomes'!$F6))+(('Failure Rates'!H12)*((12-VTEPersonMonthsPregnant!$M6)/12)*('NonPregnant Outcomes'!AC6))</f>
        <v>199.65392078333332</v>
      </c>
      <c r="AD6" s="54">
        <f>((1-'Failure Rates'!I12)*('NonPregnant Outcomes'!AD6))+(('Failure Rates'!I12)*(VTEPersonMonthsPregnant!$M6/12)*('Pregnant Outcomes'!$F6))+(('Failure Rates'!I12)*((12-VTEPersonMonthsPregnant!$M6)/12)*('NonPregnant Outcomes'!AD6))</f>
        <v>75.026796221666672</v>
      </c>
      <c r="AE6" s="54">
        <f>((1-'Failure Rates'!J12)*('NonPregnant Outcomes'!AE6))+(('Failure Rates'!J12)*(VTEPersonMonthsPregnant!$M6/12)*('Pregnant Outcomes'!$F6))+(('Failure Rates'!J12)*((12-VTEPersonMonthsPregnant!$M6)/12)*('NonPregnant Outcomes'!AE6))</f>
        <v>79.501765239999997</v>
      </c>
      <c r="AF6" s="54">
        <f>((1-'Failure Rates'!K12)*('NonPregnant Outcomes'!AF6))+(('Failure Rates'!K12)*(VTEPersonMonthsPregnant!$M6/12)*('Pregnant Outcomes'!$F6))+(('Failure Rates'!K12)*((12-VTEPersonMonthsPregnant!$M6)/12)*('NonPregnant Outcomes'!AF6))</f>
        <v>84.485862469999987</v>
      </c>
      <c r="AG6" s="54">
        <f>((1-'Failure Rates'!L12)*('NonPregnant Outcomes'!AG6))+(('Failure Rates'!L12)*(VTEPersonMonthsPregnant!$M6/12)*('Pregnant Outcomes'!$F6))+(('Failure Rates'!L12)*((12-VTEPersonMonthsPregnant!$M6)/12)*('NonPregnant Outcomes'!AG6))</f>
        <v>120.55357683333332</v>
      </c>
      <c r="AH6" s="46">
        <f>((1-'Failure Rates'!C12)*('NonPregnant Outcomes'!AH6))+(('Failure Rates'!C12)*(PersonMonthsPregnant!$M6/12)*('Pregnant Outcomes'!$G6))+(('Failure Rates'!C12)*((12-PersonMonthsPregnant!$M6)/12)*('NonPregnant Outcomes'!AH6))</f>
        <v>430</v>
      </c>
      <c r="AI6" s="46">
        <f>((1-'Failure Rates'!D12)*('NonPregnant Outcomes'!AI6))+(('Failure Rates'!D12)*(PersonMonthsPregnant!$M6/12)*('Pregnant Outcomes'!$G6))+(('Failure Rates'!D12)*((12-PersonMonthsPregnant!$M6)/12)*('NonPregnant Outcomes'!AI6))</f>
        <v>430</v>
      </c>
      <c r="AJ6" s="46">
        <f>((1-'Failure Rates'!E12)*('NonPregnant Outcomes'!AJ6))+(('Failure Rates'!E12)*(PersonMonthsPregnant!$M6/12)*('Pregnant Outcomes'!$G6))+(('Failure Rates'!E12)*((12-PersonMonthsPregnant!$M6)/12)*('NonPregnant Outcomes'!AJ6))</f>
        <v>430</v>
      </c>
      <c r="AK6" s="46">
        <f>((1-'Failure Rates'!F12)*('NonPregnant Outcomes'!AK6))+(('Failure Rates'!F12)*(PersonMonthsPregnant!$M34/12)*('Pregnant Outcomes'!$G6))+(('Failure Rates'!F12)*((12-PersonMonthsPregnant!$M34)/12)*('NonPregnant Outcomes'!AK6))</f>
        <v>430</v>
      </c>
      <c r="AL6" s="46">
        <f>((1-'Failure Rates'!G12)*('NonPregnant Outcomes'!AL6))+(('Failure Rates'!G12)*(PersonMonthsPregnant!$M34/12)*('Pregnant Outcomes'!$G6))+(('Failure Rates'!G12)*((12-PersonMonthsPregnant!$M34)/12)*('NonPregnant Outcomes'!AL6))</f>
        <v>430</v>
      </c>
      <c r="AM6" s="46">
        <f>((1-'Failure Rates'!H12)*('NonPregnant Outcomes'!AM6))+(('Failure Rates'!H12)*(PersonMonthsPregnant!$M6/12)*('Pregnant Outcomes'!$G6))+(('Failure Rates'!H12)*((12-PersonMonthsPregnant!$M6)/12)*('NonPregnant Outcomes'!AM6))</f>
        <v>430</v>
      </c>
      <c r="AN6" s="46">
        <f>((1-'Failure Rates'!I12)*('NonPregnant Outcomes'!AN6))+(('Failure Rates'!I12)*(PersonMonthsPregnant!$M6/12)*('Pregnant Outcomes'!$G6))+(('Failure Rates'!I12)*((12-PersonMonthsPregnant!$M6)/12)*('NonPregnant Outcomes'!AN6))</f>
        <v>430</v>
      </c>
      <c r="AO6" s="46">
        <f>((1-'Failure Rates'!J12)*('NonPregnant Outcomes'!AO6))+(('Failure Rates'!J12)*(PersonMonthsPregnant!$M6/12)*('Pregnant Outcomes'!$G6))+(('Failure Rates'!J12)*((12-PersonMonthsPregnant!$M6)/12)*('NonPregnant Outcomes'!AO6))</f>
        <v>430</v>
      </c>
      <c r="AP6" s="46">
        <f>((1-'Failure Rates'!K12)*('NonPregnant Outcomes'!AP6))+(('Failure Rates'!K12)*(PersonMonthsPregnant!$M6/12)*('Pregnant Outcomes'!$G6))+(('Failure Rates'!K12)*((12-PersonMonthsPregnant!$M6)/12)*('NonPregnant Outcomes'!AP6))</f>
        <v>430</v>
      </c>
      <c r="AQ6" s="46">
        <f>((1-'Failure Rates'!L12)*('NonPregnant Outcomes'!AQ6))+(('Failure Rates'!L12)*(PersonMonthsPregnant!$M6/12)*('Pregnant Outcomes'!$G6))+(('Failure Rates'!L12)*((12-PersonMonthsPregnant!$M6)/12)*('NonPregnant Outcomes'!AQ6))</f>
        <v>430</v>
      </c>
      <c r="AR6" s="54">
        <f>'Pregnant Outcomes'!$I6</f>
        <v>48</v>
      </c>
      <c r="AS6" s="54">
        <f>(('Failure Rates'!$D12)*('Pregnant Outcomes'!$H6))</f>
        <v>30.34</v>
      </c>
      <c r="AT6" s="54">
        <f>(('Failure Rates'!$E12)*('Pregnant Outcomes'!$H6))</f>
        <v>30.34</v>
      </c>
      <c r="AU6" s="54">
        <f>(('Failure Rates'!$F12)*('Pregnant Outcomes'!$J6))</f>
        <v>2.7676000000000003</v>
      </c>
      <c r="AV6" s="54">
        <f>(('Failure Rates'!$G12)*('Pregnant Outcomes'!$K6))</f>
        <v>11.070400000000001</v>
      </c>
      <c r="AW6" s="54">
        <f>(('Failure Rates'!$H12)*('Pregnant Outcomes'!$H6))</f>
        <v>29.6</v>
      </c>
      <c r="AX6" s="54">
        <f>(('Failure Rates'!$I12)*('Pregnant Outcomes'!$H6))</f>
        <v>0.37</v>
      </c>
      <c r="AY6" s="54">
        <f>(('Failure Rates'!$J12)*('Pregnant Outcomes'!$H6))</f>
        <v>62.160000000000004</v>
      </c>
      <c r="AZ6" s="54">
        <f>(('Failure Rates'!$K12)*('Pregnant Outcomes'!$H6))</f>
        <v>130.97999999999999</v>
      </c>
      <c r="BA6" s="54">
        <f>('Failure Rates'!$L12)*('Pregnant Outcomes'!$H6)</f>
        <v>629</v>
      </c>
    </row>
    <row r="7" spans="1:53" x14ac:dyDescent="0.2">
      <c r="A7" t="s">
        <v>69</v>
      </c>
      <c r="B7" s="12">
        <v>0</v>
      </c>
      <c r="C7" t="str">
        <f t="shared" si="0"/>
        <v>A35_39_0</v>
      </c>
      <c r="D7" s="45">
        <f>((1-'Failure Rates'!C13)*('NonPregnant Outcomes'!D7))+(('Failure Rates'!C13)*(PersonMonthsPregnant!$M7/12)*('Pregnant Outcomes'!$D7))+(('Failure Rates'!C13)*((12-PersonMonthsPregnant!$M7)/12)*('NonPregnant Outcomes'!D7))</f>
        <v>22.202599436666667</v>
      </c>
      <c r="E7" s="45">
        <f>((1-'Failure Rates'!D13)*('NonPregnant Outcomes'!E7))+(('Failure Rates'!D13)*(PersonMonthsPregnant!$M7/12)*('Pregnant Outcomes'!$D7))+(('Failure Rates'!D13)*((12-PersonMonthsPregnant!$M7)/12)*('NonPregnant Outcomes'!E7))</f>
        <v>23.661315380666665</v>
      </c>
      <c r="F7" s="45">
        <f>((1-'Failure Rates'!E13)*('NonPregnant Outcomes'!F7))+(('Failure Rates'!E13)*(PersonMonthsPregnant!$M7/12)*('Pregnant Outcomes'!$D7))+(('Failure Rates'!E13)*((12-PersonMonthsPregnant!$M7)/12)*('NonPregnant Outcomes'!F7))</f>
        <v>23.661315380666665</v>
      </c>
      <c r="G7" s="45">
        <f>((1-'Failure Rates'!F13)*('NonPregnant Outcomes'!G7))+(('Failure Rates'!F13)*(PersonMonthsPregnant!$M35/12)*('Pregnant Outcomes'!$D7))+(('Failure Rates'!F13)*((12-PersonMonthsPregnant!$M35)/12)*('NonPregnant Outcomes'!G7))</f>
        <v>22.080445239866666</v>
      </c>
      <c r="H7" s="45">
        <f>((1-'Failure Rates'!G13)*('NonPregnant Outcomes'!H7))+(('Failure Rates'!G13)*(PersonMonthsPregnant!$M35/12)*('Pregnant Outcomes'!$D7))+(('Failure Rates'!G13)*((12-PersonMonthsPregnant!$M35)/12)*('NonPregnant Outcomes'!H7))</f>
        <v>22.321780959466665</v>
      </c>
      <c r="I7" s="45">
        <f>((1-'Failure Rates'!H13)*('NonPregnant Outcomes'!I7))+(('Failure Rates'!H13)*(PersonMonthsPregnant!$M7/12)*('Pregnant Outcomes'!$D7))+(('Failure Rates'!H13)*((12-PersonMonthsPregnant!$M7)/12)*('NonPregnant Outcomes'!I7))</f>
        <v>23.620795493333329</v>
      </c>
      <c r="J7" s="45">
        <f>((1-'Failure Rates'!I13)*('NonPregnant Outcomes'!J7))+(('Failure Rates'!I13)*(PersonMonthsPregnant!$M7/12)*('Pregnant Outcomes'!$D7))+(('Failure Rates'!I13)*((12-PersonMonthsPregnant!$M7)/12)*('NonPregnant Outcomes'!J7))</f>
        <v>22.020259943666666</v>
      </c>
      <c r="K7" s="45">
        <f>((1-'Failure Rates'!J13)*('NonPregnant Outcomes'!K7))+(('Failure Rates'!J13)*(PersonMonthsPregnant!$M7/12)*('Pregnant Outcomes'!$D7))+(('Failure Rates'!J13)*((12-PersonMonthsPregnant!$M7)/12)*('NonPregnant Outcomes'!K7))</f>
        <v>25.403670536000003</v>
      </c>
      <c r="L7" s="45">
        <f>((1-'Failure Rates'!K13)*('NonPregnant Outcomes'!L7))+(('Failure Rates'!K13)*(PersonMonthsPregnant!$M7/12)*('Pregnant Outcomes'!$D7))+(('Failure Rates'!K13)*((12-PersonMonthsPregnant!$M7)/12)*('NonPregnant Outcomes'!L7))</f>
        <v>29.172020058000001</v>
      </c>
      <c r="M7" s="45">
        <f>((1-'Failure Rates'!L13)*('NonPregnant Outcomes'!M7))+(('Failure Rates'!L13)*(PersonMonthsPregnant!$M7/12)*('Pregnant Outcomes'!$D7))+(('Failure Rates'!L13)*((12-PersonMonthsPregnant!$M7)/12)*('NonPregnant Outcomes'!M7))</f>
        <v>56.441904233333339</v>
      </c>
      <c r="N7" s="46">
        <f>((1-'Failure Rates'!C13)*('NonPregnant Outcomes'!N7))+(('Failure Rates'!C13)*(PersonMonthsPregnant!$M7/12)*('Pregnant Outcomes'!$E7))+(('Failure Rates'!C13)*((12-PersonMonthsPregnant!$M7)/12)*('NonPregnant Outcomes'!N7))</f>
        <v>24.062136396500001</v>
      </c>
      <c r="O7" s="46">
        <f>((1-'Failure Rates'!D13)*('NonPregnant Outcomes'!O7))+(('Failure Rates'!D13)*(PersonMonthsPregnant!$M7/12)*('Pregnant Outcomes'!$E7))+(('Failure Rates'!D13)*((12-PersonMonthsPregnant!$M7)/12)*('NonPregnant Outcomes'!O7))</f>
        <v>24.581518451299999</v>
      </c>
      <c r="P7" s="46">
        <f>((1-'Failure Rates'!E13)*('NonPregnant Outcomes'!P7))+(('Failure Rates'!E13)*(PersonMonthsPregnant!$M7/12)*('Pregnant Outcomes'!$E7))+(('Failure Rates'!E13)*((12-PersonMonthsPregnant!$M7)/12)*('NonPregnant Outcomes'!P7))</f>
        <v>24.581518451299999</v>
      </c>
      <c r="Q7" s="46">
        <f>((1-'Failure Rates'!F13)*('NonPregnant Outcomes'!Q7))+(('Failure Rates'!F13)*(PersonMonthsPregnant!$M35/12)*('Pregnant Outcomes'!$E7))+(('Failure Rates'!F13)*((12-PersonMonthsPregnant!$M35)/12)*('NonPregnant Outcomes'!Q7))</f>
        <v>24.018642871939999</v>
      </c>
      <c r="R7" s="46">
        <f>((1-'Failure Rates'!G13)*('NonPregnant Outcomes'!R7))+(('Failure Rates'!G13)*(PersonMonthsPregnant!$M35/12)*('Pregnant Outcomes'!$E7))+(('Failure Rates'!G13)*((12-PersonMonthsPregnant!$M35)/12)*('NonPregnant Outcomes'!R7))</f>
        <v>16.931745366312001</v>
      </c>
      <c r="S7" s="46">
        <f>((1-'Failure Rates'!H13)*('NonPregnant Outcomes'!S7))+(('Failure Rates'!H13)*(PersonMonthsPregnant!$M7/12)*('Pregnant Outcomes'!$E7))+(('Failure Rates'!H13)*((12-PersonMonthsPregnant!$M7)/12)*('NonPregnant Outcomes'!S7))</f>
        <v>24.567091171999994</v>
      </c>
      <c r="T7" s="46">
        <f>((1-'Failure Rates'!I13)*('NonPregnant Outcomes'!T7))+(('Failure Rates'!I13)*(PersonMonthsPregnant!$M7/12)*('Pregnant Outcomes'!$E7))+(('Failure Rates'!I13)*((12-PersonMonthsPregnant!$M7)/12)*('NonPregnant Outcomes'!T7))</f>
        <v>23.997213639649999</v>
      </c>
      <c r="U7" s="46">
        <f>((1-'Failure Rates'!J13)*('NonPregnant Outcomes'!U7))+(('Failure Rates'!J13)*(PersonMonthsPregnant!$M7/12)*('Pregnant Outcomes'!$E7))+(('Failure Rates'!J13)*((12-PersonMonthsPregnant!$M7)/12)*('NonPregnant Outcomes'!U7))</f>
        <v>25.201891461200002</v>
      </c>
      <c r="V7" s="46">
        <f>((1-'Failure Rates'!K13)*('NonPregnant Outcomes'!V7))+(('Failure Rates'!K13)*(PersonMonthsPregnant!$M7/12)*('Pregnant Outcomes'!$E7))+(('Failure Rates'!K13)*((12-PersonMonthsPregnant!$M7)/12)*('NonPregnant Outcomes'!V7))</f>
        <v>26.543628436100001</v>
      </c>
      <c r="W7" s="46">
        <f>((1-'Failure Rates'!L13)*('NonPregnant Outcomes'!W7))+(('Failure Rates'!L13)*(PersonMonthsPregnant!$M7/12)*('Pregnant Outcomes'!$E7))+(('Failure Rates'!L13)*((12-PersonMonthsPregnant!$M7)/12)*('NonPregnant Outcomes'!W7))</f>
        <v>36.253187404999998</v>
      </c>
      <c r="X7" s="54">
        <f>((1-'Failure Rates'!C13)*('NonPregnant Outcomes'!X7))+(('Failure Rates'!C13)*(VTEPersonMonthsPregnant!$M7/12)*('Pregnant Outcomes'!$F7))+(('Failure Rates'!C13)*((12-VTEPersonMonthsPregnant!$M7)/12)*('NonPregnant Outcomes'!X7))</f>
        <v>74.340997116666657</v>
      </c>
      <c r="Y7" s="54">
        <f>((1-'Failure Rates'!D13)*('NonPregnant Outcomes'!Y7))+(('Failure Rates'!D13)*(VTEPersonMonthsPregnant!$M7/12)*('Pregnant Outcomes'!$F7))+(('Failure Rates'!D13)*((12-VTEPersonMonthsPregnant!$M7)/12)*('NonPregnant Outcomes'!Y7))</f>
        <v>258.07464667333335</v>
      </c>
      <c r="Z7" s="54">
        <f>((1-'Failure Rates'!E13)*('NonPregnant Outcomes'!Z7))+(('Failure Rates'!E13)*(VTEPersonMonthsPregnant!$M7/12)*('Pregnant Outcomes'!$F7))+(('Failure Rates'!E13)*((12-VTEPersonMonthsPregnant!$M7)/12)*('NonPregnant Outcomes'!Z7))</f>
        <v>76.796176356666663</v>
      </c>
      <c r="AA7" s="54">
        <f>((1-'Failure Rates'!F13)*('NonPregnant Outcomes'!AA7))+(('Failure Rates'!F13)*(VTEPersonMonthsPregnant!$M35/12)*('Pregnant Outcomes'!$F7))+(('Failure Rates'!F13)*((12-VTEPersonMonthsPregnant!$M35)/12)*('NonPregnant Outcomes'!AA7))</f>
        <v>74.135318538666667</v>
      </c>
      <c r="AB7" s="54">
        <f>((1-'Failure Rates'!G13)*('NonPregnant Outcomes'!AB7))+(('Failure Rates'!G13)*(VTEPersonMonthsPregnant!$M35/12)*('Pregnant Outcomes'!$F7))+(('Failure Rates'!G13)*((12-VTEPersonMonthsPregnant!$M35)/12)*('NonPregnant Outcomes'!AB7))</f>
        <v>74.541274154666667</v>
      </c>
      <c r="AC7" s="54">
        <f>((1-'Failure Rates'!H13)*('NonPregnant Outcomes'!AC7))+(('Failure Rates'!H13)*(VTEPersonMonthsPregnant!$M7/12)*('Pregnant Outcomes'!$F7))+(('Failure Rates'!H13)*((12-VTEPersonMonthsPregnant!$M7)/12)*('NonPregnant Outcomes'!AC7))</f>
        <v>197.88262880799999</v>
      </c>
      <c r="AD7" s="54">
        <f>((1-'Failure Rates'!I13)*('NonPregnant Outcomes'!AD7))+(('Failure Rates'!I13)*(VTEPersonMonthsPregnant!$M7/12)*('Pregnant Outcomes'!$F7))+(('Failure Rates'!I13)*((12-VTEPersonMonthsPregnant!$M7)/12)*('NonPregnant Outcomes'!AD7))</f>
        <v>74.034099711666684</v>
      </c>
      <c r="AE7" s="54">
        <f>((1-'Failure Rates'!J13)*('NonPregnant Outcomes'!AE7))+(('Failure Rates'!J13)*(VTEPersonMonthsPregnant!$M7/12)*('Pregnant Outcomes'!$F7))+(('Failure Rates'!J13)*((12-VTEPersonMonthsPregnant!$M7)/12)*('NonPregnant Outcomes'!AE7))</f>
        <v>79.728751560000006</v>
      </c>
      <c r="AF7" s="54">
        <f>((1-'Failure Rates'!K13)*('NonPregnant Outcomes'!AF7))+(('Failure Rates'!K13)*(VTEPersonMonthsPregnant!$M7/12)*('Pregnant Outcomes'!$F7))+(('Failure Rates'!K13)*((12-VTEPersonMonthsPregnant!$M7)/12)*('NonPregnant Outcomes'!AF7))</f>
        <v>86.071297929999986</v>
      </c>
      <c r="AG7" s="54">
        <f>((1-'Failure Rates'!L13)*('NonPregnant Outcomes'!AG7))+(('Failure Rates'!L13)*(VTEPersonMonthsPregnant!$M7/12)*('Pregnant Outcomes'!$F7))+(('Failure Rates'!L13)*((12-VTEPersonMonthsPregnant!$M7)/12)*('NonPregnant Outcomes'!AG7))</f>
        <v>131.96950983333332</v>
      </c>
      <c r="AH7" s="46">
        <f>((1-'Failure Rates'!C13)*('NonPregnant Outcomes'!AH7))+(('Failure Rates'!C13)*(PersonMonthsPregnant!$M7/12)*('Pregnant Outcomes'!$G7))+(('Failure Rates'!C13)*((12-PersonMonthsPregnant!$M7)/12)*('NonPregnant Outcomes'!AH7))</f>
        <v>440.00000000000006</v>
      </c>
      <c r="AI7" s="46">
        <f>((1-'Failure Rates'!D13)*('NonPregnant Outcomes'!AI7))+(('Failure Rates'!D13)*(PersonMonthsPregnant!$M7/12)*('Pregnant Outcomes'!$G7))+(('Failure Rates'!D13)*((12-PersonMonthsPregnant!$M7)/12)*('NonPregnant Outcomes'!AI7))</f>
        <v>440.00000000000006</v>
      </c>
      <c r="AJ7" s="46">
        <f>((1-'Failure Rates'!E13)*('NonPregnant Outcomes'!AJ7))+(('Failure Rates'!E13)*(PersonMonthsPregnant!$M7/12)*('Pregnant Outcomes'!$G7))+(('Failure Rates'!E13)*((12-PersonMonthsPregnant!$M7)/12)*('NonPregnant Outcomes'!AJ7))</f>
        <v>440.00000000000006</v>
      </c>
      <c r="AK7" s="46">
        <f>((1-'Failure Rates'!F13)*('NonPregnant Outcomes'!AK7))+(('Failure Rates'!F13)*(PersonMonthsPregnant!$M35/12)*('Pregnant Outcomes'!$G7))+(('Failure Rates'!F13)*((12-PersonMonthsPregnant!$M35)/12)*('NonPregnant Outcomes'!AK7))</f>
        <v>440.00000000000006</v>
      </c>
      <c r="AL7" s="46">
        <f>((1-'Failure Rates'!G13)*('NonPregnant Outcomes'!AL7))+(('Failure Rates'!G13)*(PersonMonthsPregnant!$M35/12)*('Pregnant Outcomes'!$G7))+(('Failure Rates'!G13)*((12-PersonMonthsPregnant!$M35)/12)*('NonPregnant Outcomes'!AL7))</f>
        <v>440.00000000000006</v>
      </c>
      <c r="AM7" s="46">
        <f>((1-'Failure Rates'!H13)*('NonPregnant Outcomes'!AM7))+(('Failure Rates'!H13)*(PersonMonthsPregnant!$M7/12)*('Pregnant Outcomes'!$G7))+(('Failure Rates'!H13)*((12-PersonMonthsPregnant!$M7)/12)*('NonPregnant Outcomes'!AM7))</f>
        <v>440.00000000000006</v>
      </c>
      <c r="AN7" s="46">
        <f>((1-'Failure Rates'!I13)*('NonPregnant Outcomes'!AN7))+(('Failure Rates'!I13)*(PersonMonthsPregnant!$M7/12)*('Pregnant Outcomes'!$G7))+(('Failure Rates'!I13)*((12-PersonMonthsPregnant!$M7)/12)*('NonPregnant Outcomes'!AN7))</f>
        <v>440.00000000000011</v>
      </c>
      <c r="AO7" s="46">
        <f>((1-'Failure Rates'!J13)*('NonPregnant Outcomes'!AO7))+(('Failure Rates'!J13)*(PersonMonthsPregnant!$M7/12)*('Pregnant Outcomes'!$G7))+(('Failure Rates'!J13)*((12-PersonMonthsPregnant!$M7)/12)*('NonPregnant Outcomes'!AO7))</f>
        <v>440.00000000000011</v>
      </c>
      <c r="AP7" s="46">
        <f>((1-'Failure Rates'!K13)*('NonPregnant Outcomes'!AP7))+(('Failure Rates'!K13)*(PersonMonthsPregnant!$M7/12)*('Pregnant Outcomes'!$G7))+(('Failure Rates'!K13)*((12-PersonMonthsPregnant!$M7)/12)*('NonPregnant Outcomes'!AP7))</f>
        <v>440</v>
      </c>
      <c r="AQ7" s="46">
        <f>((1-'Failure Rates'!L13)*('NonPregnant Outcomes'!AQ7))+(('Failure Rates'!L13)*(PersonMonthsPregnant!$M7/12)*('Pregnant Outcomes'!$G7))+(('Failure Rates'!L13)*((12-PersonMonthsPregnant!$M7)/12)*('NonPregnant Outcomes'!AQ7))</f>
        <v>440.00000000000011</v>
      </c>
      <c r="AR7" s="54">
        <f>'Pregnant Outcomes'!$I7</f>
        <v>48</v>
      </c>
      <c r="AS7" s="54">
        <f>(('Failure Rates'!$D13)*('Pregnant Outcomes'!$H7))</f>
        <v>40.590000000000003</v>
      </c>
      <c r="AT7" s="54">
        <f>(('Failure Rates'!$E13)*('Pregnant Outcomes'!$H7))</f>
        <v>40.590000000000003</v>
      </c>
      <c r="AU7" s="54">
        <f>(('Failure Rates'!$F13)*('Pregnant Outcomes'!$J7))</f>
        <v>3.7026000000000003</v>
      </c>
      <c r="AV7" s="54">
        <f>(('Failure Rates'!$G13)*('Pregnant Outcomes'!$K7))</f>
        <v>14.810400000000001</v>
      </c>
      <c r="AW7" s="54">
        <f>(('Failure Rates'!$H13)*('Pregnant Outcomes'!$H7))</f>
        <v>39.6</v>
      </c>
      <c r="AX7" s="54">
        <f>(('Failure Rates'!$I13)*('Pregnant Outcomes'!$H7))</f>
        <v>0.495</v>
      </c>
      <c r="AY7" s="54">
        <f>(('Failure Rates'!$J13)*('Pregnant Outcomes'!$H7))</f>
        <v>83.160000000000011</v>
      </c>
      <c r="AZ7" s="54">
        <f>(('Failure Rates'!$K13)*('Pregnant Outcomes'!$H7))</f>
        <v>175.23</v>
      </c>
      <c r="BA7" s="54">
        <f>('Failure Rates'!$L13)*('Pregnant Outcomes'!$H7)</f>
        <v>841.5</v>
      </c>
    </row>
    <row r="8" spans="1:53" x14ac:dyDescent="0.2">
      <c r="A8" t="s">
        <v>70</v>
      </c>
      <c r="B8" s="12">
        <v>0</v>
      </c>
      <c r="C8" t="str">
        <f t="shared" si="0"/>
        <v>A40_44_0</v>
      </c>
      <c r="D8" s="45">
        <f>((1-'Failure Rates'!C14)*('NonPregnant Outcomes'!D8))+(('Failure Rates'!C14)*(PersonMonthsPregnant!$M8/12)*('Pregnant Outcomes'!$D8))+(('Failure Rates'!C14)*((12-PersonMonthsPregnant!$M8)/12)*('NonPregnant Outcomes'!D8))</f>
        <v>50.290482184000005</v>
      </c>
      <c r="E8" s="45">
        <f>((1-'Failure Rates'!D14)*('NonPregnant Outcomes'!E8))+(('Failure Rates'!D14)*(PersonMonthsPregnant!$M8/12)*('Pregnant Outcomes'!$D8))+(('Failure Rates'!D14)*((12-PersonMonthsPregnant!$M8)/12)*('NonPregnant Outcomes'!E8))</f>
        <v>52.3819539088</v>
      </c>
      <c r="F8" s="45">
        <f>((1-'Failure Rates'!E14)*('NonPregnant Outcomes'!F8))+(('Failure Rates'!E14)*(PersonMonthsPregnant!$M8/12)*('Pregnant Outcomes'!$D8))+(('Failure Rates'!E14)*((12-PersonMonthsPregnant!$M8)/12)*('NonPregnant Outcomes'!F8))</f>
        <v>52.3819539088</v>
      </c>
      <c r="G8" s="45">
        <f>((1-'Failure Rates'!F14)*('NonPregnant Outcomes'!G8))+(('Failure Rates'!F14)*(PersonMonthsPregnant!$M36/12)*('Pregnant Outcomes'!$D8))+(('Failure Rates'!F14)*((12-PersonMonthsPregnant!$M36)/12)*('NonPregnant Outcomes'!G8))</f>
        <v>50.115426333304001</v>
      </c>
      <c r="H8" s="45">
        <f>((1-'Failure Rates'!G14)*('NonPregnant Outcomes'!H8))+(('Failure Rates'!G14)*(PersonMonthsPregnant!$M36/12)*('Pregnant Outcomes'!$D8))+(('Failure Rates'!G14)*((12-PersonMonthsPregnant!$M36)/12)*('NonPregnant Outcomes'!H8))</f>
        <v>50.461705333216003</v>
      </c>
      <c r="I8" s="45">
        <f>((1-'Failure Rates'!H14)*('NonPregnant Outcomes'!I8))+(('Failure Rates'!H14)*(PersonMonthsPregnant!$M8/12)*('Pregnant Outcomes'!$D8))+(('Failure Rates'!H14)*((12-PersonMonthsPregnant!$M8)/12)*('NonPregnant Outcomes'!I8))</f>
        <v>52.323857472</v>
      </c>
      <c r="J8" s="45">
        <f>((1-'Failure Rates'!I14)*('NonPregnant Outcomes'!J8))+(('Failure Rates'!I14)*(PersonMonthsPregnant!$M8/12)*('Pregnant Outcomes'!$D8))+(('Failure Rates'!I14)*((12-PersonMonthsPregnant!$M8)/12)*('NonPregnant Outcomes'!J8))</f>
        <v>50.0290482184</v>
      </c>
      <c r="K8" s="45">
        <f>((1-'Failure Rates'!J14)*('NonPregnant Outcomes'!K8))+(('Failure Rates'!J14)*(PersonMonthsPregnant!$M8/12)*('Pregnant Outcomes'!$D8))+(('Failure Rates'!J14)*((12-PersonMonthsPregnant!$M8)/12)*('NonPregnant Outcomes'!K8))</f>
        <v>54.880100691199999</v>
      </c>
      <c r="L8" s="45">
        <f>((1-'Failure Rates'!K14)*('NonPregnant Outcomes'!L8))+(('Failure Rates'!K14)*(PersonMonthsPregnant!$M8/12)*('Pregnant Outcomes'!$D8))+(('Failure Rates'!K14)*((12-PersonMonthsPregnant!$M8)/12)*('NonPregnant Outcomes'!L8))</f>
        <v>60.283069313599995</v>
      </c>
      <c r="M8" s="45">
        <f>((1-'Failure Rates'!L14)*('NonPregnant Outcomes'!M8))+(('Failure Rates'!L14)*(PersonMonthsPregnant!$M8/12)*('Pregnant Outcomes'!$D8))+(('Failure Rates'!L14)*((12-PersonMonthsPregnant!$M8)/12)*('NonPregnant Outcomes'!M8))</f>
        <v>99.381971280000002</v>
      </c>
      <c r="N8" s="46">
        <f>((1-'Failure Rates'!C14)*('NonPregnant Outcomes'!N8))+(('Failure Rates'!C14)*(PersonMonthsPregnant!$M8/12)*('Pregnant Outcomes'!$E8))+(('Failure Rates'!C14)*((12-PersonMonthsPregnant!$M8)/12)*('NonPregnant Outcomes'!N8))</f>
        <v>24.130775066000002</v>
      </c>
      <c r="O8" s="46">
        <f>((1-'Failure Rates'!D14)*('NonPregnant Outcomes'!O8))+(('Failure Rates'!D14)*(PersonMonthsPregnant!$M8/12)*('Pregnant Outcomes'!$E8))+(('Failure Rates'!D14)*((12-PersonMonthsPregnant!$M8)/12)*('NonPregnant Outcomes'!O8))</f>
        <v>25.144355541199999</v>
      </c>
      <c r="P8" s="46">
        <f>((1-'Failure Rates'!E14)*('NonPregnant Outcomes'!P8))+(('Failure Rates'!E14)*(PersonMonthsPregnant!$M8/12)*('Pregnant Outcomes'!$E8))+(('Failure Rates'!E14)*((12-PersonMonthsPregnant!$M8)/12)*('NonPregnant Outcomes'!P8))</f>
        <v>25.144355541199999</v>
      </c>
      <c r="Q8" s="46">
        <f>((1-'Failure Rates'!F14)*('NonPregnant Outcomes'!Q8))+(('Failure Rates'!F14)*(PersonMonthsPregnant!$M36/12)*('Pregnant Outcomes'!$E8))+(('Failure Rates'!F14)*((12-PersonMonthsPregnant!$M36)/12)*('NonPregnant Outcomes'!Q8))</f>
        <v>24.045938541445999</v>
      </c>
      <c r="R8" s="46">
        <f>((1-'Failure Rates'!G14)*('NonPregnant Outcomes'!R8))+(('Failure Rates'!G14)*(PersonMonthsPregnant!$M36/12)*('Pregnant Outcomes'!$E8))+(('Failure Rates'!G14)*((12-PersonMonthsPregnant!$M36)/12)*('NonPregnant Outcomes'!R8))</f>
        <v>17.040966445608799</v>
      </c>
      <c r="S8" s="46">
        <f>((1-'Failure Rates'!H14)*('NonPregnant Outcomes'!S8))+(('Failure Rates'!H14)*(PersonMonthsPregnant!$M8/12)*('Pregnant Outcomes'!$E8))+(('Failure Rates'!H14)*((12-PersonMonthsPregnant!$M8)/12)*('NonPregnant Outcomes'!S8))</f>
        <v>25.116200527999997</v>
      </c>
      <c r="T8" s="46">
        <f>((1-'Failure Rates'!I14)*('NonPregnant Outcomes'!T8))+(('Failure Rates'!I14)*(PersonMonthsPregnant!$M8/12)*('Pregnant Outcomes'!$E8))+(('Failure Rates'!I14)*((12-PersonMonthsPregnant!$M8)/12)*('NonPregnant Outcomes'!T8))</f>
        <v>24.004077506599998</v>
      </c>
      <c r="U8" s="46">
        <f>((1-'Failure Rates'!J14)*('NonPregnant Outcomes'!U8))+(('Failure Rates'!J14)*(PersonMonthsPregnant!$M8/12)*('Pregnant Outcomes'!$E8))+(('Failure Rates'!J14)*((12-PersonMonthsPregnant!$M8)/12)*('NonPregnant Outcomes'!U8))</f>
        <v>26.355021108800003</v>
      </c>
      <c r="V8" s="46">
        <f>((1-'Failure Rates'!K14)*('NonPregnant Outcomes'!V8))+(('Failure Rates'!K14)*(PersonMonthsPregnant!$M8/12)*('Pregnant Outcomes'!$E8))+(('Failure Rates'!K14)*((12-PersonMonthsPregnant!$M8)/12)*('NonPregnant Outcomes'!V8))</f>
        <v>28.973437336399996</v>
      </c>
      <c r="W8" s="46">
        <f>((1-'Failure Rates'!L14)*('NonPregnant Outcomes'!W8))+(('Failure Rates'!L14)*(PersonMonthsPregnant!$M8/12)*('Pregnant Outcomes'!$E8))+(('Failure Rates'!L14)*((12-PersonMonthsPregnant!$M8)/12)*('NonPregnant Outcomes'!W8))</f>
        <v>47.921761219999993</v>
      </c>
      <c r="X8" s="54">
        <f>((1-'Failure Rates'!C14)*('NonPregnant Outcomes'!X8))+(('Failure Rates'!C14)*(VTEPersonMonthsPregnant!$M8/12)*('Pregnant Outcomes'!$F8))+(('Failure Rates'!C14)*((12-VTEPersonMonthsPregnant!$M8)/12)*('NonPregnant Outcomes'!X8))</f>
        <v>84.46856438333333</v>
      </c>
      <c r="Y8" s="54">
        <f>((1-'Failure Rates'!D14)*('NonPregnant Outcomes'!Y8))+(('Failure Rates'!D14)*(VTEPersonMonthsPregnant!$M8/12)*('Pregnant Outcomes'!$F8))+(('Failure Rates'!D14)*((12-VTEPersonMonthsPregnant!$M8)/12)*('NonPregnant Outcomes'!Y8))</f>
        <v>293.6177888433333</v>
      </c>
      <c r="Z8" s="54">
        <f>((1-'Failure Rates'!E14)*('NonPregnant Outcomes'!Z8))+(('Failure Rates'!E14)*(VTEPersonMonthsPregnant!$M8/12)*('Pregnant Outcomes'!$F8))+(('Failure Rates'!E14)*((12-VTEPersonMonthsPregnant!$M8)/12)*('NonPregnant Outcomes'!Z8))</f>
        <v>87.842227943333327</v>
      </c>
      <c r="AA8" s="54">
        <f>((1-'Failure Rates'!F14)*('NonPregnant Outcomes'!AA8))+(('Failure Rates'!F14)*(VTEPersonMonthsPregnant!$M36/12)*('Pregnant Outcomes'!$F8))+(('Failure Rates'!F14)*((12-VTEPersonMonthsPregnant!$M36)/12)*('NonPregnant Outcomes'!AA8))</f>
        <v>84.185941301333315</v>
      </c>
      <c r="AB8" s="54">
        <f>((1-'Failure Rates'!G14)*('NonPregnant Outcomes'!AB8))+(('Failure Rates'!G14)*(VTEPersonMonthsPregnant!$M36/12)*('Pregnant Outcomes'!$F8))+(('Failure Rates'!G14)*((12-VTEPersonMonthsPregnant!$M36)/12)*('NonPregnant Outcomes'!AB8))</f>
        <v>84.743765205333347</v>
      </c>
      <c r="AC8" s="54">
        <f>((1-'Failure Rates'!H14)*('NonPregnant Outcomes'!AC8))+(('Failure Rates'!H14)*(VTEPersonMonthsPregnant!$M8/12)*('Pregnant Outcomes'!$F8))+(('Failure Rates'!H14)*((12-VTEPersonMonthsPregnant!$M8)/12)*('NonPregnant Outcomes'!AC8))</f>
        <v>225.27541719466666</v>
      </c>
      <c r="AD8" s="54">
        <f>((1-'Failure Rates'!I14)*('NonPregnant Outcomes'!AD8))+(('Failure Rates'!I14)*(VTEPersonMonthsPregnant!$M8/12)*('Pregnant Outcomes'!$F8))+(('Failure Rates'!I14)*((12-VTEPersonMonthsPregnant!$M8)/12)*('NonPregnant Outcomes'!AD8))</f>
        <v>84.046856438333336</v>
      </c>
      <c r="AE8" s="54">
        <f>((1-'Failure Rates'!J14)*('NonPregnant Outcomes'!AE8))+(('Failure Rates'!J14)*(VTEPersonMonthsPregnant!$M8/12)*('Pregnant Outcomes'!$F8))+(('Failure Rates'!J14)*((12-VTEPersonMonthsPregnant!$M8)/12)*('NonPregnant Outcomes'!AE8))</f>
        <v>91.871881639999998</v>
      </c>
      <c r="AF8" s="54">
        <f>((1-'Failure Rates'!K14)*('NonPregnant Outcomes'!AF8))+(('Failure Rates'!K14)*(VTEPersonMonthsPregnant!$M8/12)*('Pregnant Outcomes'!$F8))+(('Failure Rates'!K14)*((12-VTEPersonMonthsPregnant!$M8)/12)*('NonPregnant Outcomes'!AF8))</f>
        <v>100.58717916999998</v>
      </c>
      <c r="AG8" s="54">
        <f>((1-'Failure Rates'!L14)*('NonPregnant Outcomes'!AG8))+(('Failure Rates'!L14)*(VTEPersonMonthsPregnant!$M8/12)*('Pregnant Outcomes'!$F8))+(('Failure Rates'!L14)*((12-VTEPersonMonthsPregnant!$M8)/12)*('NonPregnant Outcomes'!AG8))</f>
        <v>163.65594516666667</v>
      </c>
      <c r="AH8" s="46">
        <f>((1-'Failure Rates'!C14)*('NonPregnant Outcomes'!AH8))+(('Failure Rates'!C14)*(PersonMonthsPregnant!$M8/12)*('Pregnant Outcomes'!$G8))+(('Failure Rates'!C14)*((12-PersonMonthsPregnant!$M8)/12)*('NonPregnant Outcomes'!AH8))</f>
        <v>280</v>
      </c>
      <c r="AI8" s="46">
        <f>((1-'Failure Rates'!D14)*('NonPregnant Outcomes'!AI8))+(('Failure Rates'!D14)*(PersonMonthsPregnant!$M8/12)*('Pregnant Outcomes'!$G8))+(('Failure Rates'!D14)*((12-PersonMonthsPregnant!$M8)/12)*('NonPregnant Outcomes'!AI8))</f>
        <v>280</v>
      </c>
      <c r="AJ8" s="46">
        <f>((1-'Failure Rates'!E14)*('NonPregnant Outcomes'!AJ8))+(('Failure Rates'!E14)*(PersonMonthsPregnant!$M8/12)*('Pregnant Outcomes'!$G8))+(('Failure Rates'!E14)*((12-PersonMonthsPregnant!$M8)/12)*('NonPregnant Outcomes'!AJ8))</f>
        <v>280</v>
      </c>
      <c r="AK8" s="46">
        <f>((1-'Failure Rates'!F14)*('NonPregnant Outcomes'!AK8))+(('Failure Rates'!F14)*(PersonMonthsPregnant!$M36/12)*('Pregnant Outcomes'!$G8))+(('Failure Rates'!F14)*((12-PersonMonthsPregnant!$M36)/12)*('NonPregnant Outcomes'!AK8))</f>
        <v>280</v>
      </c>
      <c r="AL8" s="46">
        <f>((1-'Failure Rates'!G14)*('NonPregnant Outcomes'!AL8))+(('Failure Rates'!G14)*(PersonMonthsPregnant!$M36/12)*('Pregnant Outcomes'!$G8))+(('Failure Rates'!G14)*((12-PersonMonthsPregnant!$M36)/12)*('NonPregnant Outcomes'!AL8))</f>
        <v>280</v>
      </c>
      <c r="AM8" s="46">
        <f>((1-'Failure Rates'!H14)*('NonPregnant Outcomes'!AM8))+(('Failure Rates'!H14)*(PersonMonthsPregnant!$M8/12)*('Pregnant Outcomes'!$G8))+(('Failure Rates'!H14)*((12-PersonMonthsPregnant!$M8)/12)*('NonPregnant Outcomes'!AM8))</f>
        <v>280</v>
      </c>
      <c r="AN8" s="46">
        <f>((1-'Failure Rates'!I14)*('NonPregnant Outcomes'!AN8))+(('Failure Rates'!I14)*(PersonMonthsPregnant!$M8/12)*('Pregnant Outcomes'!$G8))+(('Failure Rates'!I14)*((12-PersonMonthsPregnant!$M8)/12)*('NonPregnant Outcomes'!AN8))</f>
        <v>280</v>
      </c>
      <c r="AO8" s="46">
        <f>((1-'Failure Rates'!J14)*('NonPregnant Outcomes'!AO8))+(('Failure Rates'!J14)*(PersonMonthsPregnant!$M8/12)*('Pregnant Outcomes'!$G8))+(('Failure Rates'!J14)*((12-PersonMonthsPregnant!$M8)/12)*('NonPregnant Outcomes'!AO8))</f>
        <v>280.00000000000006</v>
      </c>
      <c r="AP8" s="46">
        <f>((1-'Failure Rates'!K14)*('NonPregnant Outcomes'!AP8))+(('Failure Rates'!K14)*(PersonMonthsPregnant!$M8/12)*('Pregnant Outcomes'!$G8))+(('Failure Rates'!K14)*((12-PersonMonthsPregnant!$M8)/12)*('NonPregnant Outcomes'!AP8))</f>
        <v>280</v>
      </c>
      <c r="AQ8" s="46">
        <f>((1-'Failure Rates'!L14)*('NonPregnant Outcomes'!AQ8))+(('Failure Rates'!L14)*(PersonMonthsPregnant!$M8/12)*('Pregnant Outcomes'!$G8))+(('Failure Rates'!L14)*((12-PersonMonthsPregnant!$M8)/12)*('NonPregnant Outcomes'!AQ8))</f>
        <v>280</v>
      </c>
      <c r="AR8" s="54">
        <f>'Pregnant Outcomes'!$I8</f>
        <v>48</v>
      </c>
      <c r="AS8" s="54">
        <f>(('Failure Rates'!$D14)*('Pregnant Outcomes'!$H8))</f>
        <v>40.18</v>
      </c>
      <c r="AT8" s="54">
        <f>(('Failure Rates'!$E14)*('Pregnant Outcomes'!$H8))</f>
        <v>40.18</v>
      </c>
      <c r="AU8" s="54">
        <f>(('Failure Rates'!$F14)*('Pregnant Outcomes'!$J8))</f>
        <v>3.6652000000000005</v>
      </c>
      <c r="AV8" s="54">
        <f>(('Failure Rates'!$G14)*('Pregnant Outcomes'!$K8))</f>
        <v>14.660800000000002</v>
      </c>
      <c r="AW8" s="54">
        <f>(('Failure Rates'!$H14)*('Pregnant Outcomes'!$H8))</f>
        <v>39.200000000000003</v>
      </c>
      <c r="AX8" s="54">
        <f>(('Failure Rates'!$I14)*('Pregnant Outcomes'!$H8))</f>
        <v>0.49</v>
      </c>
      <c r="AY8" s="54">
        <f>(('Failure Rates'!$J14)*('Pregnant Outcomes'!$H8))</f>
        <v>82.320000000000007</v>
      </c>
      <c r="AZ8" s="54">
        <f>(('Failure Rates'!$K14)*('Pregnant Outcomes'!$H8))</f>
        <v>173.45999999999998</v>
      </c>
      <c r="BA8" s="54">
        <f>('Failure Rates'!$L14)*('Pregnant Outcomes'!$H8)</f>
        <v>833</v>
      </c>
    </row>
    <row r="9" spans="1:53" x14ac:dyDescent="0.2">
      <c r="A9" t="s">
        <v>71</v>
      </c>
      <c r="B9" s="12">
        <v>0</v>
      </c>
      <c r="C9" t="str">
        <f t="shared" si="0"/>
        <v>A45_49_0</v>
      </c>
      <c r="D9" s="45">
        <f>((1-'Failure Rates'!C15)*('NonPregnant Outcomes'!D9))+(('Failure Rates'!C15)*(PersonMonthsPregnant!$M9/12)*('Pregnant Outcomes'!$D9))+(('Failure Rates'!C15)*((12-PersonMonthsPregnant!$M9)/12)*('NonPregnant Outcomes'!D9))</f>
        <v>88.210051383999996</v>
      </c>
      <c r="E9" s="45">
        <f>((1-'Failure Rates'!D15)*('NonPregnant Outcomes'!E9))+(('Failure Rates'!D15)*(PersonMonthsPregnant!$M9/12)*('Pregnant Outcomes'!$D9))+(('Failure Rates'!D15)*((12-PersonMonthsPregnant!$M9)/12)*('NonPregnant Outcomes'!E9))</f>
        <v>89.722421348799998</v>
      </c>
      <c r="F9" s="45">
        <f>((1-'Failure Rates'!E15)*('NonPregnant Outcomes'!F9))+(('Failure Rates'!E15)*(PersonMonthsPregnant!$M9/12)*('Pregnant Outcomes'!$D9))+(('Failure Rates'!E15)*((12-PersonMonthsPregnant!$M9)/12)*('NonPregnant Outcomes'!F9))</f>
        <v>89.722421348799998</v>
      </c>
      <c r="G9" s="45">
        <f>((1-'Failure Rates'!F15)*('NonPregnant Outcomes'!G9))+(('Failure Rates'!F15)*(PersonMonthsPregnant!$M37/12)*('Pregnant Outcomes'!$D9))+(('Failure Rates'!F15)*((12-PersonMonthsPregnant!$M37)/12)*('NonPregnant Outcomes'!G9))</f>
        <v>88.083466258503989</v>
      </c>
      <c r="H9" s="45">
        <f>((1-'Failure Rates'!G15)*('NonPregnant Outcomes'!H9))+(('Failure Rates'!G15)*(PersonMonthsPregnant!$M37/12)*('Pregnant Outcomes'!$D9))+(('Failure Rates'!G15)*((12-PersonMonthsPregnant!$M37)/12)*('NonPregnant Outcomes'!H9))</f>
        <v>88.333865034015986</v>
      </c>
      <c r="I9" s="45">
        <f>((1-'Failure Rates'!H15)*('NonPregnant Outcomes'!I9))+(('Failure Rates'!H15)*(PersonMonthsPregnant!$M9/12)*('Pregnant Outcomes'!$D9))+(('Failure Rates'!H15)*((12-PersonMonthsPregnant!$M9)/12)*('NonPregnant Outcomes'!I9))</f>
        <v>89.680411071999984</v>
      </c>
      <c r="J9" s="45">
        <f>((1-'Failure Rates'!I15)*('NonPregnant Outcomes'!J9))+(('Failure Rates'!I15)*(PersonMonthsPregnant!$M9/12)*('Pregnant Outcomes'!$D9))+(('Failure Rates'!I15)*((12-PersonMonthsPregnant!$M9)/12)*('NonPregnant Outcomes'!J9))</f>
        <v>88.021005138400014</v>
      </c>
      <c r="K9" s="45">
        <f>((1-'Failure Rates'!J15)*('NonPregnant Outcomes'!K9))+(('Failure Rates'!J15)*(PersonMonthsPregnant!$M9/12)*('Pregnant Outcomes'!$D9))+(('Failure Rates'!J15)*((12-PersonMonthsPregnant!$M9)/12)*('NonPregnant Outcomes'!K9))</f>
        <v>91.528863251200008</v>
      </c>
      <c r="L9" s="45">
        <f>((1-'Failure Rates'!K15)*('NonPregnant Outcomes'!L9))+(('Failure Rates'!K15)*(PersonMonthsPregnant!$M9/12)*('Pregnant Outcomes'!$D9))+(('Failure Rates'!K15)*((12-PersonMonthsPregnant!$M9)/12)*('NonPregnant Outcomes'!L9))</f>
        <v>95.435818993599995</v>
      </c>
      <c r="M9" s="45">
        <f>((1-'Failure Rates'!L15)*('NonPregnant Outcomes'!M9))+(('Failure Rates'!L15)*(PersonMonthsPregnant!$M9/12)*('Pregnant Outcomes'!$D9))+(('Failure Rates'!L15)*((12-PersonMonthsPregnant!$M9)/12)*('NonPregnant Outcomes'!M9))</f>
        <v>123.70873528000001</v>
      </c>
      <c r="N9" s="46">
        <f>((1-'Failure Rates'!C15)*('NonPregnant Outcomes'!N9))+(('Failure Rates'!C15)*(PersonMonthsPregnant!$M9/12)*('Pregnant Outcomes'!$E9))+(('Failure Rates'!C15)*((12-PersonMonthsPregnant!$M9)/12)*('NonPregnant Outcomes'!N9))</f>
        <v>24.130775066000002</v>
      </c>
      <c r="O9" s="46">
        <f>((1-'Failure Rates'!D15)*('NonPregnant Outcomes'!O9))+(('Failure Rates'!D15)*(PersonMonthsPregnant!$M9/12)*('Pregnant Outcomes'!$E9))+(('Failure Rates'!D15)*((12-PersonMonthsPregnant!$M9)/12)*('NonPregnant Outcomes'!O9))</f>
        <v>25.144355541199999</v>
      </c>
      <c r="P9" s="46">
        <f>((1-'Failure Rates'!E15)*('NonPregnant Outcomes'!P9))+(('Failure Rates'!E15)*(PersonMonthsPregnant!$M9/12)*('Pregnant Outcomes'!$E9))+(('Failure Rates'!E15)*((12-PersonMonthsPregnant!$M9)/12)*('NonPregnant Outcomes'!P9))</f>
        <v>25.144355541199999</v>
      </c>
      <c r="Q9" s="46">
        <f>((1-'Failure Rates'!F15)*('NonPregnant Outcomes'!Q9))+(('Failure Rates'!F15)*(PersonMonthsPregnant!$M37/12)*('Pregnant Outcomes'!$E9))+(('Failure Rates'!F15)*((12-PersonMonthsPregnant!$M37)/12)*('NonPregnant Outcomes'!Q9))</f>
        <v>24.045938541445999</v>
      </c>
      <c r="R9" s="46">
        <f>((1-'Failure Rates'!G15)*('NonPregnant Outcomes'!R9))+(('Failure Rates'!G15)*(PersonMonthsPregnant!$M37/12)*('Pregnant Outcomes'!$E9))+(('Failure Rates'!G15)*((12-PersonMonthsPregnant!$M37)/12)*('NonPregnant Outcomes'!R9))</f>
        <v>17.040966445608799</v>
      </c>
      <c r="S9" s="46">
        <f>((1-'Failure Rates'!H15)*('NonPregnant Outcomes'!S9))+(('Failure Rates'!H15)*(PersonMonthsPregnant!$M9/12)*('Pregnant Outcomes'!$E9))+(('Failure Rates'!H15)*((12-PersonMonthsPregnant!$M9)/12)*('NonPregnant Outcomes'!S9))</f>
        <v>25.116200527999997</v>
      </c>
      <c r="T9" s="46">
        <f>((1-'Failure Rates'!I15)*('NonPregnant Outcomes'!T9))+(('Failure Rates'!I15)*(PersonMonthsPregnant!$M9/12)*('Pregnant Outcomes'!$E9))+(('Failure Rates'!I15)*((12-PersonMonthsPregnant!$M9)/12)*('NonPregnant Outcomes'!T9))</f>
        <v>24.004077506599998</v>
      </c>
      <c r="U9" s="46">
        <f>((1-'Failure Rates'!J15)*('NonPregnant Outcomes'!U9))+(('Failure Rates'!J15)*(PersonMonthsPregnant!$M9/12)*('Pregnant Outcomes'!$E9))+(('Failure Rates'!J15)*((12-PersonMonthsPregnant!$M9)/12)*('NonPregnant Outcomes'!U9))</f>
        <v>26.355021108800003</v>
      </c>
      <c r="V9" s="46">
        <f>((1-'Failure Rates'!K15)*('NonPregnant Outcomes'!V9))+(('Failure Rates'!K15)*(PersonMonthsPregnant!$M9/12)*('Pregnant Outcomes'!$E9))+(('Failure Rates'!K15)*((12-PersonMonthsPregnant!$M9)/12)*('NonPregnant Outcomes'!V9))</f>
        <v>28.973437336399996</v>
      </c>
      <c r="W9" s="46">
        <f>((1-'Failure Rates'!L15)*('NonPregnant Outcomes'!W9))+(('Failure Rates'!L15)*(PersonMonthsPregnant!$M9/12)*('Pregnant Outcomes'!$E9))+(('Failure Rates'!L15)*((12-PersonMonthsPregnant!$M9)/12)*('NonPregnant Outcomes'!W9))</f>
        <v>47.921761219999993</v>
      </c>
      <c r="X9" s="54">
        <f>((1-'Failure Rates'!C15)*('NonPregnant Outcomes'!X9))+(('Failure Rates'!C15)*(VTEPersonMonthsPregnant!$M9/12)*('Pregnant Outcomes'!$F9))+(('Failure Rates'!C15)*((12-VTEPersonMonthsPregnant!$M9)/12)*('NonPregnant Outcomes'!X9))</f>
        <v>96.439125783333324</v>
      </c>
      <c r="Y9" s="54">
        <f>((1-'Failure Rates'!D15)*('NonPregnant Outcomes'!Y9))+(('Failure Rates'!D15)*(VTEPersonMonthsPregnant!$M9/12)*('Pregnant Outcomes'!$F9))+(('Failure Rates'!D15)*((12-VTEPersonMonthsPregnant!$M9)/12)*('NonPregnant Outcomes'!Y9))</f>
        <v>334.7729010233333</v>
      </c>
      <c r="Z9" s="54">
        <f>((1-'Failure Rates'!E15)*('NonPregnant Outcomes'!Z9))+(('Failure Rates'!E15)*(VTEPersonMonthsPregnant!$M9/12)*('Pregnant Outcomes'!$F9))+(('Failure Rates'!E15)*((12-VTEPersonMonthsPregnant!$M9)/12)*('NonPregnant Outcomes'!Z9))</f>
        <v>99.600831423333332</v>
      </c>
      <c r="AA9" s="54">
        <f>((1-'Failure Rates'!F15)*('NonPregnant Outcomes'!AA9))+(('Failure Rates'!F15)*(VTEPersonMonthsPregnant!$M37/12)*('Pregnant Outcomes'!$F9))+(('Failure Rates'!F15)*((12-VTEPersonMonthsPregnant!$M37)/12)*('NonPregnant Outcomes'!AA9))</f>
        <v>96.174259125333322</v>
      </c>
      <c r="AB9" s="54">
        <f>((1-'Failure Rates'!G15)*('NonPregnant Outcomes'!AB9))+(('Failure Rates'!G15)*(VTEPersonMonthsPregnant!$M37/12)*('Pregnant Outcomes'!$F9))+(('Failure Rates'!G15)*((12-VTEPersonMonthsPregnant!$M37)/12)*('NonPregnant Outcomes'!AB9))</f>
        <v>96.697036501333343</v>
      </c>
      <c r="AC9" s="54">
        <f>((1-'Failure Rates'!H15)*('NonPregnant Outcomes'!AC9))+(('Failure Rates'!H15)*(VTEPersonMonthsPregnant!$M9/12)*('Pregnant Outcomes'!$F9))+(('Failure Rates'!H15)*((12-VTEPersonMonthsPregnant!$M9)/12)*('NonPregnant Outcomes'!AC9))</f>
        <v>256.68660869866665</v>
      </c>
      <c r="AD9" s="54">
        <f>((1-'Failure Rates'!I15)*('NonPregnant Outcomes'!AD9))+(('Failure Rates'!I15)*(VTEPersonMonthsPregnant!$M9/12)*('Pregnant Outcomes'!$F9))+(('Failure Rates'!I15)*((12-VTEPersonMonthsPregnant!$M9)/12)*('NonPregnant Outcomes'!AD9))</f>
        <v>96.043912578333334</v>
      </c>
      <c r="AE9" s="54">
        <f>((1-'Failure Rates'!J15)*('NonPregnant Outcomes'!AE9))+(('Failure Rates'!J15)*(VTEPersonMonthsPregnant!$M9/12)*('Pregnant Outcomes'!$F9))+(('Failure Rates'!J15)*((12-VTEPersonMonthsPregnant!$M9)/12)*('NonPregnant Outcomes'!AE9))</f>
        <v>103.37731316</v>
      </c>
      <c r="AF9" s="54">
        <f>((1-'Failure Rates'!K15)*('NonPregnant Outcomes'!AF9))+(('Failure Rates'!K15)*(VTEPersonMonthsPregnant!$M9/12)*('Pregnant Outcomes'!$F9))+(('Failure Rates'!K15)*((12-VTEPersonMonthsPregnant!$M9)/12)*('NonPregnant Outcomes'!AF9))</f>
        <v>111.54505272999999</v>
      </c>
      <c r="AG9" s="54">
        <f>((1-'Failure Rates'!L15)*('NonPregnant Outcomes'!AG9))+(('Failure Rates'!L15)*(VTEPersonMonthsPregnant!$M9/12)*('Pregnant Outcomes'!$F9))+(('Failure Rates'!L15)*((12-VTEPersonMonthsPregnant!$M9)/12)*('NonPregnant Outcomes'!AG9))</f>
        <v>170.65138316666665</v>
      </c>
      <c r="AH9" s="46">
        <f>((1-'Failure Rates'!C15)*('NonPregnant Outcomes'!AH9))+(('Failure Rates'!C15)*(PersonMonthsPregnant!$M9/12)*('Pregnant Outcomes'!$G9))+(('Failure Rates'!C15)*((12-PersonMonthsPregnant!$M9)/12)*('NonPregnant Outcomes'!AH9))</f>
        <v>280</v>
      </c>
      <c r="AI9" s="46">
        <f>((1-'Failure Rates'!D15)*('NonPregnant Outcomes'!AI9))+(('Failure Rates'!D15)*(PersonMonthsPregnant!$M9/12)*('Pregnant Outcomes'!$G9))+(('Failure Rates'!D15)*((12-PersonMonthsPregnant!$M9)/12)*('NonPregnant Outcomes'!AI9))</f>
        <v>280</v>
      </c>
      <c r="AJ9" s="46">
        <f>((1-'Failure Rates'!E15)*('NonPregnant Outcomes'!AJ9))+(('Failure Rates'!E15)*(PersonMonthsPregnant!$M9/12)*('Pregnant Outcomes'!$G9))+(('Failure Rates'!E15)*((12-PersonMonthsPregnant!$M9)/12)*('NonPregnant Outcomes'!AJ9))</f>
        <v>280</v>
      </c>
      <c r="AK9" s="46">
        <f>((1-'Failure Rates'!F15)*('NonPregnant Outcomes'!AK9))+(('Failure Rates'!F15)*(PersonMonthsPregnant!$M37/12)*('Pregnant Outcomes'!$G9))+(('Failure Rates'!F15)*((12-PersonMonthsPregnant!$M37)/12)*('NonPregnant Outcomes'!AK9))</f>
        <v>280</v>
      </c>
      <c r="AL9" s="46">
        <f>((1-'Failure Rates'!G15)*('NonPregnant Outcomes'!AL9))+(('Failure Rates'!G15)*(PersonMonthsPregnant!$M37/12)*('Pregnant Outcomes'!$G9))+(('Failure Rates'!G15)*((12-PersonMonthsPregnant!$M37)/12)*('NonPregnant Outcomes'!AL9))</f>
        <v>280</v>
      </c>
      <c r="AM9" s="46">
        <f>((1-'Failure Rates'!H15)*('NonPregnant Outcomes'!AM9))+(('Failure Rates'!H15)*(PersonMonthsPregnant!$M9/12)*('Pregnant Outcomes'!$G9))+(('Failure Rates'!H15)*((12-PersonMonthsPregnant!$M9)/12)*('NonPregnant Outcomes'!AM9))</f>
        <v>280</v>
      </c>
      <c r="AN9" s="46">
        <f>((1-'Failure Rates'!I15)*('NonPregnant Outcomes'!AN9))+(('Failure Rates'!I15)*(PersonMonthsPregnant!$M9/12)*('Pregnant Outcomes'!$G9))+(('Failure Rates'!I15)*((12-PersonMonthsPregnant!$M9)/12)*('NonPregnant Outcomes'!AN9))</f>
        <v>280</v>
      </c>
      <c r="AO9" s="46">
        <f>((1-'Failure Rates'!J15)*('NonPregnant Outcomes'!AO9))+(('Failure Rates'!J15)*(PersonMonthsPregnant!$M9/12)*('Pregnant Outcomes'!$G9))+(('Failure Rates'!J15)*((12-PersonMonthsPregnant!$M9)/12)*('NonPregnant Outcomes'!AO9))</f>
        <v>280.00000000000006</v>
      </c>
      <c r="AP9" s="46">
        <f>((1-'Failure Rates'!K15)*('NonPregnant Outcomes'!AP9))+(('Failure Rates'!K15)*(PersonMonthsPregnant!$M9/12)*('Pregnant Outcomes'!$G9))+(('Failure Rates'!K15)*((12-PersonMonthsPregnant!$M9)/12)*('NonPregnant Outcomes'!AP9))</f>
        <v>280</v>
      </c>
      <c r="AQ9" s="46">
        <f>((1-'Failure Rates'!L15)*('NonPregnant Outcomes'!AQ9))+(('Failure Rates'!L15)*(PersonMonthsPregnant!$M9/12)*('Pregnant Outcomes'!$G9))+(('Failure Rates'!L15)*((12-PersonMonthsPregnant!$M9)/12)*('NonPregnant Outcomes'!AQ9))</f>
        <v>280</v>
      </c>
      <c r="AR9" s="54">
        <f>'Pregnant Outcomes'!$I9</f>
        <v>48</v>
      </c>
      <c r="AS9" s="54">
        <f>(('Failure Rates'!$D15)*('Pregnant Outcomes'!$H9))</f>
        <v>40.18</v>
      </c>
      <c r="AT9" s="54">
        <f>(('Failure Rates'!$E15)*('Pregnant Outcomes'!$H9))</f>
        <v>40.18</v>
      </c>
      <c r="AU9" s="54">
        <f>(('Failure Rates'!$F15)*('Pregnant Outcomes'!$J9))</f>
        <v>3.6652000000000005</v>
      </c>
      <c r="AV9" s="54">
        <f>(('Failure Rates'!$G15)*('Pregnant Outcomes'!$K9))</f>
        <v>14.660800000000002</v>
      </c>
      <c r="AW9" s="54">
        <f>(('Failure Rates'!$H15)*('Pregnant Outcomes'!$H9))</f>
        <v>39.200000000000003</v>
      </c>
      <c r="AX9" s="54">
        <f>(('Failure Rates'!$I15)*('Pregnant Outcomes'!$H9))</f>
        <v>0.49</v>
      </c>
      <c r="AY9" s="54">
        <f>(('Failure Rates'!$J15)*('Pregnant Outcomes'!$H9))</f>
        <v>82.320000000000007</v>
      </c>
      <c r="AZ9" s="54">
        <f>(('Failure Rates'!$K15)*('Pregnant Outcomes'!$H9))</f>
        <v>173.45999999999998</v>
      </c>
      <c r="BA9" s="54">
        <f>('Failure Rates'!$L15)*('Pregnant Outcomes'!$H9)</f>
        <v>833</v>
      </c>
    </row>
    <row r="10" spans="1:53" x14ac:dyDescent="0.2">
      <c r="A10" t="s">
        <v>66</v>
      </c>
      <c r="B10" t="s">
        <v>5</v>
      </c>
      <c r="C10" t="str">
        <f t="shared" si="0"/>
        <v>A15_19_Obesity</v>
      </c>
      <c r="D10" s="45">
        <f>((1-'Failure Rates'!C16)*('NonPregnant Outcomes'!D10))+(('Failure Rates'!C16)*(PersonMonthsPregnant!$M10/12)*('Pregnant Outcomes'!$D10))+(('Failure Rates'!C16)*((12-PersonMonthsPregnant!$M10)/12)*('NonPregnant Outcomes'!D10))</f>
        <v>2.5686818246666667</v>
      </c>
      <c r="E10" s="45">
        <f>((1-'Failure Rates'!D16)*('NonPregnant Outcomes'!E10))+(('Failure Rates'!D16)*(PersonMonthsPregnant!$M10/12)*('Pregnant Outcomes'!$D10))+(('Failure Rates'!D16)*((12-PersonMonthsPregnant!$M10)/12)*('NonPregnant Outcomes'!E10))</f>
        <v>2.6954364648000002</v>
      </c>
      <c r="F10" s="45">
        <f>((1-'Failure Rates'!E16)*('NonPregnant Outcomes'!F10))+(('Failure Rates'!E16)*(PersonMonthsPregnant!$M10/12)*('Pregnant Outcomes'!$D10))+(('Failure Rates'!E16)*((12-PersonMonthsPregnant!$M10)/12)*('NonPregnant Outcomes'!F10))</f>
        <v>2.6954364648000002</v>
      </c>
      <c r="G10" s="45">
        <f>((1-'Failure Rates'!F16)*('NonPregnant Outcomes'!G10))+(('Failure Rates'!F16)*(PersonMonthsPregnant!$M38/12)*('Pregnant Outcomes'!$D10))+(('Failure Rates'!F16)*((12-PersonMonthsPregnant!$M38)/12)*('NonPregnant Outcomes'!G10))</f>
        <v>2.5634650662106671</v>
      </c>
      <c r="H10" s="45">
        <f>((1-'Failure Rates'!G16)*('NonPregnant Outcomes'!H10))+(('Failure Rates'!G16)*(PersonMonthsPregnant!$M38/12)*('Pregnant Outcomes'!$D10))+(('Failure Rates'!G16)*((12-PersonMonthsPregnant!$M38)/12)*('NonPregnant Outcomes'!H10))</f>
        <v>2.5738602648426667</v>
      </c>
      <c r="I10" s="45">
        <f>((1-'Failure Rates'!H16)*('NonPregnant Outcomes'!I10))+(('Failure Rates'!H16)*(PersonMonthsPregnant!$M10/12)*('Pregnant Outcomes'!$D10))+(('Failure Rates'!H16)*((12-PersonMonthsPregnant!$M10)/12)*('NonPregnant Outcomes'!I10))</f>
        <v>2.629454597333333</v>
      </c>
      <c r="J10" s="45">
        <f>((1-'Failure Rates'!I16)*('NonPregnant Outcomes'!J10))+(('Failure Rates'!I16)*(PersonMonthsPregnant!$M10/12)*('Pregnant Outcomes'!$D10))+(('Failure Rates'!I16)*((12-PersonMonthsPregnant!$M10)/12)*('NonPregnant Outcomes'!J10))</f>
        <v>2.5608681824666668</v>
      </c>
      <c r="K10" s="45">
        <f>((1-'Failure Rates'!J16)*('NonPregnant Outcomes'!K10))+(('Failure Rates'!J16)*(PersonMonthsPregnant!$M10/12)*('Pregnant Outcomes'!$D10))+(('Failure Rates'!J16)*((12-PersonMonthsPregnant!$M10)/12)*('NonPregnant Outcomes'!K10))</f>
        <v>2.8378183893333331</v>
      </c>
      <c r="L10" s="45">
        <f>((1-'Failure Rates'!K16)*('NonPregnant Outcomes'!L10))+(('Failure Rates'!K16)*(PersonMonthsPregnant!$M10/12)*('Pregnant Outcomes'!$D10))+(('Failure Rates'!K16)*((12-PersonMonthsPregnant!$M10)/12)*('NonPregnant Outcomes'!L10))</f>
        <v>2.9246366360000002</v>
      </c>
      <c r="M10" s="45">
        <f>((1-'Failure Rates'!L16)*('NonPregnant Outcomes'!M10))+(('Failure Rates'!L16)*(PersonMonthsPregnant!$M10/12)*('Pregnant Outcomes'!$D10))+(('Failure Rates'!L16)*((12-PersonMonthsPregnant!$M10)/12)*('NonPregnant Outcomes'!M10))</f>
        <v>4.0359101933333337</v>
      </c>
      <c r="N10" s="46">
        <f>((1-'Failure Rates'!C16)*('NonPregnant Outcomes'!N10))+(('Failure Rates'!C16)*(PersonMonthsPregnant!$M10/12)*('Pregnant Outcomes'!$E10))+(('Failure Rates'!C16)*((12-PersonMonthsPregnant!$M10)/12)*('NonPregnant Outcomes'!N10))</f>
        <v>3.7804035563500005</v>
      </c>
      <c r="O10" s="46">
        <f>((1-'Failure Rates'!D16)*('NonPregnant Outcomes'!O10))+(('Failure Rates'!D16)*(PersonMonthsPregnant!$M10/12)*('Pregnant Outcomes'!$E10))+(('Failure Rates'!D16)*((12-PersonMonthsPregnant!$M10)/12)*('NonPregnant Outcomes'!O10))</f>
        <v>4.70609547906</v>
      </c>
      <c r="P10" s="46">
        <f>((1-'Failure Rates'!E16)*('NonPregnant Outcomes'!P10))+(('Failure Rates'!E16)*(PersonMonthsPregnant!$M10/12)*('Pregnant Outcomes'!$E10))+(('Failure Rates'!E16)*((12-PersonMonthsPregnant!$M10)/12)*('NonPregnant Outcomes'!P10))</f>
        <v>4.70609547906</v>
      </c>
      <c r="Q10" s="46">
        <f>((1-'Failure Rates'!F16)*('NonPregnant Outcomes'!Q10))+(('Failure Rates'!F16)*(PersonMonthsPregnant!$M38/12)*('Pregnant Outcomes'!$E10))+(('Failure Rates'!F16)*((12-PersonMonthsPregnant!$M38)/12)*('NonPregnant Outcomes'!Q10))</f>
        <v>3.7423054546918002</v>
      </c>
      <c r="R10" s="46">
        <f>((1-'Failure Rates'!G16)*('NonPregnant Outcomes'!R10))+(('Failure Rates'!G16)*(PersonMonthsPregnant!$M38/12)*('Pregnant Outcomes'!$E10))+(('Failure Rates'!G16)*((12-PersonMonthsPregnant!$M38)/12)*('NonPregnant Outcomes'!R10))</f>
        <v>2.7073678575930402</v>
      </c>
      <c r="S10" s="46">
        <f>((1-'Failure Rates'!H16)*('NonPregnant Outcomes'!S10))+(('Failure Rates'!H16)*(PersonMonthsPregnant!$M10/12)*('Pregnant Outcomes'!$E10))+(('Failure Rates'!H16)*((12-PersonMonthsPregnant!$M10)/12)*('NonPregnant Outcomes'!S10))</f>
        <v>4.2242284508000001</v>
      </c>
      <c r="T10" s="46">
        <f>((1-'Failure Rates'!I16)*('NonPregnant Outcomes'!T10))+(('Failure Rates'!I16)*(PersonMonthsPregnant!$M10/12)*('Pregnant Outcomes'!$E10))+(('Failure Rates'!I16)*((12-PersonMonthsPregnant!$M10)/12)*('NonPregnant Outcomes'!T10))</f>
        <v>3.723340355635</v>
      </c>
      <c r="U10" s="46">
        <f>((1-'Failure Rates'!J16)*('NonPregnant Outcomes'!U10))+(('Failure Rates'!J16)*(PersonMonthsPregnant!$M10/12)*('Pregnant Outcomes'!$E10))+(('Failure Rates'!J16)*((12-PersonMonthsPregnant!$M10)/12)*('NonPregnant Outcomes'!U10))</f>
        <v>5.7459138032000006</v>
      </c>
      <c r="V10" s="46">
        <f>((1-'Failure Rates'!K16)*('NonPregnant Outcomes'!V10))+(('Failure Rates'!K16)*(PersonMonthsPregnant!$M10/12)*('Pregnant Outcomes'!$E10))+(('Failure Rates'!K16)*((12-PersonMonthsPregnant!$M10)/12)*('NonPregnant Outcomes'!V10))</f>
        <v>6.3799493667</v>
      </c>
      <c r="W10" s="46">
        <f>((1-'Failure Rates'!L16)*('NonPregnant Outcomes'!W10))+(('Failure Rates'!L16)*(PersonMonthsPregnant!$M10/12)*('Pregnant Outcomes'!$E10))+(('Failure Rates'!L16)*((12-PersonMonthsPregnant!$M10)/12)*('NonPregnant Outcomes'!W10))</f>
        <v>14.495604579500002</v>
      </c>
      <c r="X10" s="54">
        <f>((1-'Failure Rates'!C16)*('NonPregnant Outcomes'!X10))+(('Failure Rates'!C16)*(VTEPersonMonthsPregnant!$M10/12)*('Pregnant Outcomes'!$F10))+(('Failure Rates'!C16)*((12-VTEPersonMonthsPregnant!$M10)/12)*('NonPregnant Outcomes'!X10))</f>
        <v>28.739923219999998</v>
      </c>
      <c r="Y10" s="54">
        <f>((1-'Failure Rates'!D16)*('NonPregnant Outcomes'!Y10))+(('Failure Rates'!D16)*(VTEPersonMonthsPregnant!$M10/12)*('Pregnant Outcomes'!$F10))+(('Failure Rates'!D16)*((12-VTEPersonMonthsPregnant!$M10)/12)*('NonPregnant Outcomes'!Y10))</f>
        <v>200.01220448999999</v>
      </c>
      <c r="Z10" s="54">
        <f>((1-'Failure Rates'!E16)*('NonPregnant Outcomes'!Z10))+(('Failure Rates'!E16)*(VTEPersonMonthsPregnant!$M10/12)*('Pregnant Outcomes'!$F10))+(('Failure Rates'!E16)*((12-VTEPersonMonthsPregnant!$M10)/12)*('NonPregnant Outcomes'!Z10))</f>
        <v>54.142802232000008</v>
      </c>
      <c r="AA10" s="54">
        <f>((1-'Failure Rates'!F16)*('NonPregnant Outcomes'!AA10))+(('Failure Rates'!F16)*(VTEPersonMonthsPregnant!$M38/12)*('Pregnant Outcomes'!$F10))+(('Failure Rates'!F16)*((12-VTEPersonMonthsPregnant!$M38)/12)*('NonPregnant Outcomes'!AA10))</f>
        <v>27.694330040960001</v>
      </c>
      <c r="AB10" s="54">
        <f>((1-'Failure Rates'!G16)*('NonPregnant Outcomes'!AB10))+(('Failure Rates'!G16)*(VTEPersonMonthsPregnant!$M38/12)*('Pregnant Outcomes'!$F10))+(('Failure Rates'!G16)*((12-VTEPersonMonthsPregnant!$M38)/12)*('NonPregnant Outcomes'!AB10))</f>
        <v>29.777320163839999</v>
      </c>
      <c r="AC10" s="54">
        <f>((1-'Failure Rates'!H16)*('NonPregnant Outcomes'!AC10))+(('Failure Rates'!H16)*(VTEPersonMonthsPregnant!$M10/12)*('Pregnant Outcomes'!$F10))+(('Failure Rates'!H16)*((12-VTEPersonMonthsPregnant!$M10)/12)*('NonPregnant Outcomes'!AC10))</f>
        <v>84.996760552000012</v>
      </c>
      <c r="AD10" s="54">
        <f>((1-'Failure Rates'!I16)*('NonPregnant Outcomes'!AD10))+(('Failure Rates'!I16)*(VTEPersonMonthsPregnant!$M10/12)*('Pregnant Outcomes'!$F10))+(('Failure Rates'!I16)*((12-VTEPersonMonthsPregnant!$M10)/12)*('NonPregnant Outcomes'!AD10))</f>
        <v>27.173992322000004</v>
      </c>
      <c r="AE10" s="54">
        <f>((1-'Failure Rates'!J16)*('NonPregnant Outcomes'!AE10))+(('Failure Rates'!J16)*(VTEPersonMonthsPregnant!$M10/12)*('Pregnant Outcomes'!$F10))+(('Failure Rates'!J16)*((12-VTEPersonMonthsPregnant!$M10)/12)*('NonPregnant Outcomes'!AE10))</f>
        <v>82.677543040000003</v>
      </c>
      <c r="AF10" s="54">
        <f>((1-'Failure Rates'!K16)*('NonPregnant Outcomes'!AF10))+(('Failure Rates'!K16)*(VTEPersonMonthsPregnant!$M10/12)*('Pregnant Outcomes'!$F10))+(('Failure Rates'!K16)*((12-VTEPersonMonthsPregnant!$M10)/12)*('NonPregnant Outcomes'!AF10))</f>
        <v>100.07677523999999</v>
      </c>
      <c r="AG10" s="54">
        <f>((1-'Failure Rates'!L16)*('NonPregnant Outcomes'!AG10))+(('Failure Rates'!L16)*(VTEPersonMonthsPregnant!$M10/12)*('Pregnant Outcomes'!$F10))+(('Failure Rates'!L16)*((12-VTEPersonMonthsPregnant!$M10)/12)*('NonPregnant Outcomes'!AG10))</f>
        <v>322.78694740000003</v>
      </c>
      <c r="AH10" s="46">
        <f>((1-'Failure Rates'!C16)*('NonPregnant Outcomes'!AH10))+(('Failure Rates'!C16)*(PersonMonthsPregnant!$M10/12)*('Pregnant Outcomes'!$G10))+(('Failure Rates'!C16)*((12-PersonMonthsPregnant!$M10)/12)*('NonPregnant Outcomes'!AH10))</f>
        <v>760</v>
      </c>
      <c r="AI10" s="46">
        <f>((1-'Failure Rates'!D16)*('NonPregnant Outcomes'!AI10))+(('Failure Rates'!D16)*(PersonMonthsPregnant!$M10/12)*('Pregnant Outcomes'!$G10))+(('Failure Rates'!D16)*((12-PersonMonthsPregnant!$M10)/12)*('NonPregnant Outcomes'!AI10))</f>
        <v>760</v>
      </c>
      <c r="AJ10" s="46">
        <f>((1-'Failure Rates'!E16)*('NonPregnant Outcomes'!AJ10))+(('Failure Rates'!E16)*(PersonMonthsPregnant!$M10/12)*('Pregnant Outcomes'!$G10))+(('Failure Rates'!E16)*((12-PersonMonthsPregnant!$M10)/12)*('NonPregnant Outcomes'!AJ10))</f>
        <v>760</v>
      </c>
      <c r="AK10" s="46">
        <f>((1-'Failure Rates'!F16)*('NonPregnant Outcomes'!AK10))+(('Failure Rates'!F16)*(PersonMonthsPregnant!$M38/12)*('Pregnant Outcomes'!$G10))+(('Failure Rates'!F16)*((12-PersonMonthsPregnant!$M38)/12)*('NonPregnant Outcomes'!AK10))</f>
        <v>760</v>
      </c>
      <c r="AL10" s="46">
        <f>((1-'Failure Rates'!G16)*('NonPregnant Outcomes'!AL10))+(('Failure Rates'!G16)*(PersonMonthsPregnant!$M38/12)*('Pregnant Outcomes'!$G10))+(('Failure Rates'!G16)*((12-PersonMonthsPregnant!$M38)/12)*('NonPregnant Outcomes'!AL10))</f>
        <v>760</v>
      </c>
      <c r="AM10" s="46">
        <f>((1-'Failure Rates'!H16)*('NonPregnant Outcomes'!AM10))+(('Failure Rates'!H16)*(PersonMonthsPregnant!$M10/12)*('Pregnant Outcomes'!$G10))+(('Failure Rates'!H16)*((12-PersonMonthsPregnant!$M10)/12)*('NonPregnant Outcomes'!AM10))</f>
        <v>760.00000000000011</v>
      </c>
      <c r="AN10" s="46">
        <f>((1-'Failure Rates'!I16)*('NonPregnant Outcomes'!AN10))+(('Failure Rates'!I16)*(PersonMonthsPregnant!$M10/12)*('Pregnant Outcomes'!$G10))+(('Failure Rates'!I16)*((12-PersonMonthsPregnant!$M10)/12)*('NonPregnant Outcomes'!AN10))</f>
        <v>760</v>
      </c>
      <c r="AO10" s="46">
        <f>((1-'Failure Rates'!J16)*('NonPregnant Outcomes'!AO10))+(('Failure Rates'!J16)*(PersonMonthsPregnant!$M10/12)*('Pregnant Outcomes'!$G10))+(('Failure Rates'!J16)*((12-PersonMonthsPregnant!$M10)/12)*('NonPregnant Outcomes'!AO10))</f>
        <v>760</v>
      </c>
      <c r="AP10" s="46">
        <f>((1-'Failure Rates'!K16)*('NonPregnant Outcomes'!AP10))+(('Failure Rates'!K16)*(PersonMonthsPregnant!$M10/12)*('Pregnant Outcomes'!$G10))+(('Failure Rates'!K16)*((12-PersonMonthsPregnant!$M10)/12)*('NonPregnant Outcomes'!AP10))</f>
        <v>760</v>
      </c>
      <c r="AQ10" s="46">
        <f>((1-'Failure Rates'!L16)*('NonPregnant Outcomes'!AQ10))+(('Failure Rates'!L16)*(PersonMonthsPregnant!$M10/12)*('Pregnant Outcomes'!$G10))+(('Failure Rates'!L16)*((12-PersonMonthsPregnant!$M10)/12)*('NonPregnant Outcomes'!AQ10))</f>
        <v>760</v>
      </c>
      <c r="AR10" s="54">
        <f>'Pregnant Outcomes'!$I10</f>
        <v>91</v>
      </c>
      <c r="AS10" s="54">
        <f>(('Failure Rates'!$D16)*('Pregnant Outcomes'!$H10))</f>
        <v>21.84</v>
      </c>
      <c r="AT10" s="54">
        <f>(('Failure Rates'!$E16)*('Pregnant Outcomes'!$H10))</f>
        <v>21.84</v>
      </c>
      <c r="AU10" s="54">
        <f>(('Failure Rates'!$F16)*('Pregnant Outcomes'!$J10))</f>
        <v>1.0472000000000001</v>
      </c>
      <c r="AV10" s="54">
        <f>(('Failure Rates'!$G16)*('Pregnant Outcomes'!$K10))</f>
        <v>4.1888000000000005</v>
      </c>
      <c r="AW10" s="54">
        <f>(('Failure Rates'!$H16)*('Pregnant Outcomes'!$H10))</f>
        <v>11.200000000000001</v>
      </c>
      <c r="AX10" s="54">
        <f>(('Failure Rates'!$I16)*('Pregnant Outcomes'!$H10))</f>
        <v>0.14000000000000001</v>
      </c>
      <c r="AY10" s="54">
        <f>(('Failure Rates'!$J16)*('Pregnant Outcomes'!$H10))</f>
        <v>44.800000000000004</v>
      </c>
      <c r="AZ10" s="54">
        <f>(('Failure Rates'!$K16)*('Pregnant Outcomes'!$H10))</f>
        <v>58.8</v>
      </c>
      <c r="BA10" s="54">
        <f>('Failure Rates'!$L16)*('Pregnant Outcomes'!$H10)</f>
        <v>238</v>
      </c>
    </row>
    <row r="11" spans="1:53" x14ac:dyDescent="0.2">
      <c r="A11" t="s">
        <v>67</v>
      </c>
      <c r="B11" t="s">
        <v>5</v>
      </c>
      <c r="C11" t="str">
        <f t="shared" si="0"/>
        <v>A20_24_Obesity</v>
      </c>
      <c r="D11" s="45">
        <f>((1-'Failure Rates'!C17)*('NonPregnant Outcomes'!D11))+(('Failure Rates'!C17)*(PersonMonthsPregnant!$M11/12)*('Pregnant Outcomes'!$D11))+(('Failure Rates'!C17)*((12-PersonMonthsPregnant!$M11)/12)*('NonPregnant Outcomes'!D11))</f>
        <v>5.7796423666666659</v>
      </c>
      <c r="E11" s="45">
        <f>((1-'Failure Rates'!D17)*('NonPregnant Outcomes'!E11))+(('Failure Rates'!D17)*(PersonMonthsPregnant!$M11/12)*('Pregnant Outcomes'!$D11))+(('Failure Rates'!D17)*((12-PersonMonthsPregnant!$M11)/12)*('NonPregnant Outcomes'!E11))</f>
        <v>6.0232077133333339</v>
      </c>
      <c r="F11" s="45">
        <f>((1-'Failure Rates'!E17)*('NonPregnant Outcomes'!F11))+(('Failure Rates'!E17)*(PersonMonthsPregnant!$M11/12)*('Pregnant Outcomes'!$D11))+(('Failure Rates'!E17)*((12-PersonMonthsPregnant!$M11)/12)*('NonPregnant Outcomes'!F11))</f>
        <v>6.0232077133333339</v>
      </c>
      <c r="G11" s="45">
        <f>((1-'Failure Rates'!F17)*('NonPregnant Outcomes'!G11))+(('Failure Rates'!F17)*(PersonMonthsPregnant!$M39/12)*('Pregnant Outcomes'!$D11))+(('Failure Rates'!F17)*((12-PersonMonthsPregnant!$M39)/12)*('NonPregnant Outcomes'!G11))</f>
        <v>5.767835156066667</v>
      </c>
      <c r="H11" s="45">
        <f>((1-'Failure Rates'!G17)*('NonPregnant Outcomes'!H11))+(('Failure Rates'!G17)*(PersonMonthsPregnant!$M39/12)*('Pregnant Outcomes'!$D11))+(('Failure Rates'!G17)*((12-PersonMonthsPregnant!$M39)/12)*('NonPregnant Outcomes'!H11))</f>
        <v>5.7913406242666667</v>
      </c>
      <c r="I11" s="45">
        <f>((1-'Failure Rates'!H17)*('NonPregnant Outcomes'!I11))+(('Failure Rates'!H17)*(PersonMonthsPregnant!$M11/12)*('Pregnant Outcomes'!$D11))+(('Failure Rates'!H17)*((12-PersonMonthsPregnant!$M11)/12)*('NonPregnant Outcomes'!I11))</f>
        <v>5.9171389333333329</v>
      </c>
      <c r="J11" s="45">
        <f>((1-'Failure Rates'!I17)*('NonPregnant Outcomes'!J11))+(('Failure Rates'!I17)*(PersonMonthsPregnant!$M11/12)*('Pregnant Outcomes'!$D11))+(('Failure Rates'!I17)*((12-PersonMonthsPregnant!$M11)/12)*('NonPregnant Outcomes'!J11))</f>
        <v>5.7619642366666675</v>
      </c>
      <c r="K11" s="45">
        <f>((1-'Failure Rates'!J17)*('NonPregnant Outcomes'!K11))+(('Failure Rates'!J17)*(PersonMonthsPregnant!$M11/12)*('Pregnant Outcomes'!$D11))+(('Failure Rates'!J17)*((12-PersonMonthsPregnant!$M11)/12)*('NonPregnant Outcomes'!K11))</f>
        <v>6.3335571066666665</v>
      </c>
      <c r="L11" s="45">
        <f>((1-'Failure Rates'!K17)*('NonPregnant Outcomes'!L11))+(('Failure Rates'!K17)*(PersonMonthsPregnant!$M11/12)*('Pregnant Outcomes'!$D11))+(('Failure Rates'!K17)*((12-PersonMonthsPregnant!$M11)/12)*('NonPregnant Outcomes'!L11))</f>
        <v>6.5849793999999999</v>
      </c>
      <c r="M11" s="45">
        <f>((1-'Failure Rates'!L17)*('NonPregnant Outcomes'!M11))+(('Failure Rates'!L17)*(PersonMonthsPregnant!$M11/12)*('Pregnant Outcomes'!$D11))+(('Failure Rates'!L17)*((12-PersonMonthsPregnant!$M11)/12)*('NonPregnant Outcomes'!M11))</f>
        <v>9.0992023333333325</v>
      </c>
      <c r="N11" s="46">
        <f>((1-'Failure Rates'!C17)*('NonPregnant Outcomes'!N11))+(('Failure Rates'!C17)*(PersonMonthsPregnant!$M11/12)*('Pregnant Outcomes'!$E11))+(('Failure Rates'!C17)*((12-PersonMonthsPregnant!$M11)/12)*('NonPregnant Outcomes'!N11))</f>
        <v>3.7691863019333334</v>
      </c>
      <c r="O11" s="46">
        <f>((1-'Failure Rates'!D17)*('NonPregnant Outcomes'!O11))+(('Failure Rates'!D17)*(PersonMonthsPregnant!$M11/12)*('Pregnant Outcomes'!$E11))+(('Failure Rates'!D17)*((12-PersonMonthsPregnant!$M11)/12)*('NonPregnant Outcomes'!O11))</f>
        <v>4.4162964459066671</v>
      </c>
      <c r="P11" s="46">
        <f>((1-'Failure Rates'!E17)*('NonPregnant Outcomes'!P11))+(('Failure Rates'!E17)*(PersonMonthsPregnant!$M11/12)*('Pregnant Outcomes'!$E11))+(('Failure Rates'!E17)*((12-PersonMonthsPregnant!$M11)/12)*('NonPregnant Outcomes'!P11))</f>
        <v>4.4162964459066671</v>
      </c>
      <c r="Q11" s="46">
        <f>((1-'Failure Rates'!F17)*('NonPregnant Outcomes'!Q11))+(('Failure Rates'!F17)*(PersonMonthsPregnant!$M39/12)*('Pregnant Outcomes'!$E11))+(('Failure Rates'!F17)*((12-PersonMonthsPregnant!$M39)/12)*('NonPregnant Outcomes'!Q11))</f>
        <v>3.7378166269945337</v>
      </c>
      <c r="R11" s="46">
        <f>((1-'Failure Rates'!G17)*('NonPregnant Outcomes'!R11))+(('Failure Rates'!G17)*(PersonMonthsPregnant!$M39/12)*('Pregnant Outcomes'!$E11))+(('Failure Rates'!G17)*((12-PersonMonthsPregnant!$M39)/12)*('NonPregnant Outcomes'!R11))</f>
        <v>2.6892780291686935</v>
      </c>
      <c r="S11" s="46">
        <f>((1-'Failure Rates'!H17)*('NonPregnant Outcomes'!S11))+(('Failure Rates'!H17)*(PersonMonthsPregnant!$M11/12)*('Pregnant Outcomes'!$E11))+(('Failure Rates'!H17)*((12-PersonMonthsPregnant!$M11)/12)*('NonPregnant Outcomes'!S11))</f>
        <v>4.1344904154666668</v>
      </c>
      <c r="T11" s="46">
        <f>((1-'Failure Rates'!I17)*('NonPregnant Outcomes'!T11))+(('Failure Rates'!I17)*(PersonMonthsPregnant!$M11/12)*('Pregnant Outcomes'!$E11))+(('Failure Rates'!I17)*((12-PersonMonthsPregnant!$M11)/12)*('NonPregnant Outcomes'!T11))</f>
        <v>3.7222186301933333</v>
      </c>
      <c r="U11" s="46">
        <f>((1-'Failure Rates'!J17)*('NonPregnant Outcomes'!U11))+(('Failure Rates'!J17)*(PersonMonthsPregnant!$M11/12)*('Pregnant Outcomes'!$E11))+(('Failure Rates'!J17)*((12-PersonMonthsPregnant!$M11)/12)*('NonPregnant Outcomes'!U11))</f>
        <v>5.2408400164533333</v>
      </c>
      <c r="V11" s="46">
        <f>((1-'Failure Rates'!K17)*('NonPregnant Outcomes'!V11))+(('Failure Rates'!K17)*(PersonMonthsPregnant!$M11/12)*('Pregnant Outcomes'!$E11))+(('Failure Rates'!K17)*((12-PersonMonthsPregnant!$M11)/12)*('NonPregnant Outcomes'!V11))</f>
        <v>5.9088246811999996</v>
      </c>
      <c r="W11" s="46">
        <f>((1-'Failure Rates'!L17)*('NonPregnant Outcomes'!W11))+(('Failure Rates'!L17)*(PersonMonthsPregnant!$M11/12)*('Pregnant Outcomes'!$E11))+(('Failure Rates'!L17)*((12-PersonMonthsPregnant!$M11)/12)*('NonPregnant Outcomes'!W11))</f>
        <v>12.588671328666667</v>
      </c>
      <c r="X11" s="54">
        <f>((1-'Failure Rates'!C17)*('NonPregnant Outcomes'!X11))+(('Failure Rates'!C17)*(VTEPersonMonthsPregnant!$M11/12)*('Pregnant Outcomes'!$F11))+(('Failure Rates'!C17)*((12-VTEPersonMonthsPregnant!$M11)/12)*('NonPregnant Outcomes'!X11))</f>
        <v>52.751408013333332</v>
      </c>
      <c r="Y11" s="54">
        <f>((1-'Failure Rates'!D17)*('NonPregnant Outcomes'!Y11))+(('Failure Rates'!D17)*(VTEPersonMonthsPregnant!$M11/12)*('Pregnant Outcomes'!$F11))+(('Failure Rates'!D17)*((12-VTEPersonMonthsPregnant!$M11)/12)*('NonPregnant Outcomes'!Y11))</f>
        <v>352.12126704466664</v>
      </c>
      <c r="Z11" s="54">
        <f>((1-'Failure Rates'!E17)*('NonPregnant Outcomes'!Z11))+(('Failure Rates'!E17)*(VTEPersonMonthsPregnant!$M11/12)*('Pregnant Outcomes'!$F11))+(('Failure Rates'!E17)*((12-VTEPersonMonthsPregnant!$M11)/12)*('NonPregnant Outcomes'!Z11))</f>
        <v>74.468867378666673</v>
      </c>
      <c r="AA11" s="54">
        <f>((1-'Failure Rates'!F17)*('NonPregnant Outcomes'!AA11))+(('Failure Rates'!F17)*(VTEPersonMonthsPregnant!$M39/12)*('Pregnant Outcomes'!$F11))+(('Failure Rates'!F17)*((12-VTEPersonMonthsPregnant!$M39)/12)*('NonPregnant Outcomes'!AA11))</f>
        <v>51.69849326189334</v>
      </c>
      <c r="AB11" s="54">
        <f>((1-'Failure Rates'!G17)*('NonPregnant Outcomes'!AB11))+(('Failure Rates'!G17)*(VTEPersonMonthsPregnant!$M39/12)*('Pregnant Outcomes'!$F11))+(('Failure Rates'!G17)*((12-VTEPersonMonthsPregnant!$M39)/12)*('NonPregnant Outcomes'!AB11))</f>
        <v>53.793973047573331</v>
      </c>
      <c r="AC11" s="54">
        <f>((1-'Failure Rates'!H17)*('NonPregnant Outcomes'!AC11))+(('Failure Rates'!H17)*(VTEPersonMonthsPregnant!$M11/12)*('Pregnant Outcomes'!$F11))+(('Failure Rates'!H17)*((12-VTEPersonMonthsPregnant!$M11)/12)*('NonPregnant Outcomes'!AC11))</f>
        <v>148.32882796266665</v>
      </c>
      <c r="AD11" s="54">
        <f>((1-'Failure Rates'!I17)*('NonPregnant Outcomes'!AD11))+(('Failure Rates'!I17)*(VTEPersonMonthsPregnant!$M11/12)*('Pregnant Outcomes'!$F11))+(('Failure Rates'!I17)*((12-VTEPersonMonthsPregnant!$M11)/12)*('NonPregnant Outcomes'!AD11))</f>
        <v>51.175140801333342</v>
      </c>
      <c r="AE11" s="54">
        <f>((1-'Failure Rates'!J17)*('NonPregnant Outcomes'!AE11))+(('Failure Rates'!J17)*(VTEPersonMonthsPregnant!$M11/12)*('Pregnant Outcomes'!$F11))+(('Failure Rates'!J17)*((12-VTEPersonMonthsPregnant!$M11)/12)*('NonPregnant Outcomes'!AE11))</f>
        <v>102.14111398933333</v>
      </c>
      <c r="AF11" s="54">
        <f>((1-'Failure Rates'!K17)*('NonPregnant Outcomes'!AF11))+(('Failure Rates'!K17)*(VTEPersonMonthsPregnant!$M11/12)*('Pregnant Outcomes'!$F11))+(('Failure Rates'!K17)*((12-VTEPersonMonthsPregnant!$M11)/12)*('NonPregnant Outcomes'!AF11))</f>
        <v>124.55913656</v>
      </c>
      <c r="AG11" s="54">
        <f>((1-'Failure Rates'!L17)*('NonPregnant Outcomes'!AG11))+(('Failure Rates'!L17)*(VTEPersonMonthsPregnant!$M11/12)*('Pregnant Outcomes'!$F11))+(('Failure Rates'!L17)*((12-VTEPersonMonthsPregnant!$M11)/12)*('NonPregnant Outcomes'!AG11))</f>
        <v>348.73936226666672</v>
      </c>
      <c r="AH11" s="46">
        <f>((1-'Failure Rates'!C17)*('NonPregnant Outcomes'!AH11))+(('Failure Rates'!C17)*(PersonMonthsPregnant!$M11/12)*('Pregnant Outcomes'!$G11))+(('Failure Rates'!C17)*((12-PersonMonthsPregnant!$M11)/12)*('NonPregnant Outcomes'!AH11))</f>
        <v>1010</v>
      </c>
      <c r="AI11" s="46">
        <f>((1-'Failure Rates'!D17)*('NonPregnant Outcomes'!AI11))+(('Failure Rates'!D17)*(PersonMonthsPregnant!$M11/12)*('Pregnant Outcomes'!$G11))+(('Failure Rates'!D17)*((12-PersonMonthsPregnant!$M11)/12)*('NonPregnant Outcomes'!AI11))</f>
        <v>1010.0000000000001</v>
      </c>
      <c r="AJ11" s="46">
        <f>((1-'Failure Rates'!E17)*('NonPregnant Outcomes'!AJ11))+(('Failure Rates'!E17)*(PersonMonthsPregnant!$M11/12)*('Pregnant Outcomes'!$G11))+(('Failure Rates'!E17)*((12-PersonMonthsPregnant!$M11)/12)*('NonPregnant Outcomes'!AJ11))</f>
        <v>1010.0000000000001</v>
      </c>
      <c r="AK11" s="46">
        <f>((1-'Failure Rates'!F17)*('NonPregnant Outcomes'!AK11))+(('Failure Rates'!F17)*(PersonMonthsPregnant!$M39/12)*('Pregnant Outcomes'!$G11))+(('Failure Rates'!F17)*((12-PersonMonthsPregnant!$M39)/12)*('NonPregnant Outcomes'!AK11))</f>
        <v>1010</v>
      </c>
      <c r="AL11" s="46">
        <f>((1-'Failure Rates'!G17)*('NonPregnant Outcomes'!AL11))+(('Failure Rates'!G17)*(PersonMonthsPregnant!$M39/12)*('Pregnant Outcomes'!$G11))+(('Failure Rates'!G17)*((12-PersonMonthsPregnant!$M39)/12)*('NonPregnant Outcomes'!AL11))</f>
        <v>1009.9999999999999</v>
      </c>
      <c r="AM11" s="46">
        <f>((1-'Failure Rates'!H17)*('NonPregnant Outcomes'!AM11))+(('Failure Rates'!H17)*(PersonMonthsPregnant!$M11/12)*('Pregnant Outcomes'!$G11))+(('Failure Rates'!H17)*((12-PersonMonthsPregnant!$M11)/12)*('NonPregnant Outcomes'!AM11))</f>
        <v>1009.9999999999999</v>
      </c>
      <c r="AN11" s="46">
        <f>((1-'Failure Rates'!I17)*('NonPregnant Outcomes'!AN11))+(('Failure Rates'!I17)*(PersonMonthsPregnant!$M11/12)*('Pregnant Outcomes'!$G11))+(('Failure Rates'!I17)*((12-PersonMonthsPregnant!$M11)/12)*('NonPregnant Outcomes'!AN11))</f>
        <v>1010</v>
      </c>
      <c r="AO11" s="46">
        <f>((1-'Failure Rates'!J17)*('NonPregnant Outcomes'!AO11))+(('Failure Rates'!J17)*(PersonMonthsPregnant!$M11/12)*('Pregnant Outcomes'!$G11))+(('Failure Rates'!J17)*((12-PersonMonthsPregnant!$M11)/12)*('NonPregnant Outcomes'!AO11))</f>
        <v>1010</v>
      </c>
      <c r="AP11" s="46">
        <f>((1-'Failure Rates'!K17)*('NonPregnant Outcomes'!AP11))+(('Failure Rates'!K17)*(PersonMonthsPregnant!$M11/12)*('Pregnant Outcomes'!$G11))+(('Failure Rates'!K17)*((12-PersonMonthsPregnant!$M11)/12)*('NonPregnant Outcomes'!AP11))</f>
        <v>1010.0000000000001</v>
      </c>
      <c r="AQ11" s="46">
        <f>((1-'Failure Rates'!L17)*('NonPregnant Outcomes'!AQ11))+(('Failure Rates'!L17)*(PersonMonthsPregnant!$M11/12)*('Pregnant Outcomes'!$G11))+(('Failure Rates'!L17)*((12-PersonMonthsPregnant!$M11)/12)*('NonPregnant Outcomes'!AQ11))</f>
        <v>1010</v>
      </c>
      <c r="AR11" s="54">
        <f>'Pregnant Outcomes'!$I11</f>
        <v>91</v>
      </c>
      <c r="AS11" s="54">
        <f>(('Failure Rates'!$D17)*('Pregnant Outcomes'!$H11))</f>
        <v>29.48</v>
      </c>
      <c r="AT11" s="54">
        <f>(('Failure Rates'!$E17)*('Pregnant Outcomes'!$H11))</f>
        <v>29.48</v>
      </c>
      <c r="AU11" s="54">
        <f>(('Failure Rates'!$F17)*('Pregnant Outcomes'!$J11))</f>
        <v>1.6456000000000002</v>
      </c>
      <c r="AV11" s="54">
        <f>(('Failure Rates'!$G17)*('Pregnant Outcomes'!$K11))</f>
        <v>6.5824000000000007</v>
      </c>
      <c r="AW11" s="54">
        <f>(('Failure Rates'!$H17)*('Pregnant Outcomes'!$H11))</f>
        <v>17.600000000000001</v>
      </c>
      <c r="AX11" s="54">
        <f>(('Failure Rates'!$I17)*('Pregnant Outcomes'!$H11))</f>
        <v>0.22</v>
      </c>
      <c r="AY11" s="54">
        <f>(('Failure Rates'!$J17)*('Pregnant Outcomes'!$H11))</f>
        <v>64.239999999999995</v>
      </c>
      <c r="AZ11" s="54">
        <f>(('Failure Rates'!$K17)*('Pregnant Outcomes'!$H11))</f>
        <v>92.399999999999991</v>
      </c>
      <c r="BA11" s="54">
        <f>('Failure Rates'!$L17)*('Pregnant Outcomes'!$H11)</f>
        <v>374</v>
      </c>
    </row>
    <row r="12" spans="1:53" x14ac:dyDescent="0.2">
      <c r="A12" t="s">
        <v>30</v>
      </c>
      <c r="B12" t="s">
        <v>5</v>
      </c>
      <c r="C12" t="str">
        <f t="shared" si="0"/>
        <v>A24_29_Obesity</v>
      </c>
      <c r="D12" s="45">
        <f>((1-'Failure Rates'!C18)*('NonPregnant Outcomes'!D12))+(('Failure Rates'!C18)*(PersonMonthsPregnant!$M12/12)*('Pregnant Outcomes'!$D12))+(('Failure Rates'!C18)*((12-PersonMonthsPregnant!$M12)/12)*('NonPregnant Outcomes'!D12))</f>
        <v>10.274333208</v>
      </c>
      <c r="E12" s="45">
        <f>((1-'Failure Rates'!D18)*('NonPregnant Outcomes'!E12))+(('Failure Rates'!D18)*(PersonMonthsPregnant!$M12/12)*('Pregnant Outcomes'!$D12))+(('Failure Rates'!D18)*((12-PersonMonthsPregnant!$M12)/12)*('NonPregnant Outcomes'!E12))</f>
        <v>10.954130726400001</v>
      </c>
      <c r="F12" s="45">
        <f>((1-'Failure Rates'!E18)*('NonPregnant Outcomes'!F12))+(('Failure Rates'!E18)*(PersonMonthsPregnant!$M12/12)*('Pregnant Outcomes'!$D12))+(('Failure Rates'!E18)*((12-PersonMonthsPregnant!$M12)/12)*('NonPregnant Outcomes'!F12))</f>
        <v>10.954130726400001</v>
      </c>
      <c r="G12" s="45">
        <f>((1-'Failure Rates'!F18)*('NonPregnant Outcomes'!G12))+(('Failure Rates'!F18)*(PersonMonthsPregnant!$M40/12)*('Pregnant Outcomes'!$D12))+(('Failure Rates'!F18)*((12-PersonMonthsPregnant!$M40)/12)*('NonPregnant Outcomes'!G12))</f>
        <v>10.253675520768002</v>
      </c>
      <c r="H12" s="45">
        <f>((1-'Failure Rates'!G18)*('NonPregnant Outcomes'!H12))+(('Failure Rates'!G18)*(PersonMonthsPregnant!$M40/12)*('Pregnant Outcomes'!$D12))+(('Failure Rates'!G18)*((12-PersonMonthsPregnant!$M40)/12)*('NonPregnant Outcomes'!H12))</f>
        <v>10.294702083072</v>
      </c>
      <c r="I12" s="45">
        <f>((1-'Failure Rates'!H18)*('NonPregnant Outcomes'!I12))+(('Failure Rates'!H18)*(PersonMonthsPregnant!$M12/12)*('Pregnant Outcomes'!$D12))+(('Failure Rates'!H18)*((12-PersonMonthsPregnant!$M12)/12)*('NonPregnant Outcomes'!I12))</f>
        <v>10.514665663999999</v>
      </c>
      <c r="J12" s="45">
        <f>((1-'Failure Rates'!I18)*('NonPregnant Outcomes'!J12))+(('Failure Rates'!I18)*(PersonMonthsPregnant!$M12/12)*('Pregnant Outcomes'!$D12))+(('Failure Rates'!I18)*((12-PersonMonthsPregnant!$M12)/12)*('NonPregnant Outcomes'!J12))</f>
        <v>10.243433320800001</v>
      </c>
      <c r="K12" s="45">
        <f>((1-'Failure Rates'!J18)*('NonPregnant Outcomes'!K12))+(('Failure Rates'!J18)*(PersonMonthsPregnant!$M12/12)*('Pregnant Outcomes'!$D12))+(('Failure Rates'!J18)*((12-PersonMonthsPregnant!$M12)/12)*('NonPregnant Outcomes'!K12))</f>
        <v>11.063996992</v>
      </c>
      <c r="L12" s="45">
        <f>((1-'Failure Rates'!K18)*('NonPregnant Outcomes'!L12))+(('Failure Rates'!K18)*(PersonMonthsPregnant!$M12/12)*('Pregnant Outcomes'!$D12))+(('Failure Rates'!K18)*((12-PersonMonthsPregnant!$M12)/12)*('NonPregnant Outcomes'!L12))</f>
        <v>11.599595036800002</v>
      </c>
      <c r="M12" s="45">
        <f>((1-'Failure Rates'!L18)*('NonPregnant Outcomes'!M12))+(('Failure Rates'!L18)*(PersonMonthsPregnant!$M12/12)*('Pregnant Outcomes'!$D12))+(('Failure Rates'!L18)*((12-PersonMonthsPregnant!$M12)/12)*('NonPregnant Outcomes'!M12))</f>
        <v>16.076645360000001</v>
      </c>
      <c r="N12" s="46">
        <f>((1-'Failure Rates'!C18)*('NonPregnant Outcomes'!N12))+(('Failure Rates'!C18)*(PersonMonthsPregnant!$M12/12)*('Pregnant Outcomes'!$E12))+(('Failure Rates'!C18)*((12-PersonMonthsPregnant!$M12)/12)*('NonPregnant Outcomes'!N12))</f>
        <v>9.7034280481900002</v>
      </c>
      <c r="O12" s="46">
        <f>((1-'Failure Rates'!D18)*('NonPregnant Outcomes'!O12))+(('Failure Rates'!D18)*(PersonMonthsPregnant!$M12/12)*('Pregnant Outcomes'!$E12))+(('Failure Rates'!D18)*((12-PersonMonthsPregnant!$M12)/12)*('NonPregnant Outcomes'!O12))</f>
        <v>10.480143402352001</v>
      </c>
      <c r="P12" s="46">
        <f>((1-'Failure Rates'!E18)*('NonPregnant Outcomes'!P12))+(('Failure Rates'!E18)*(PersonMonthsPregnant!$M12/12)*('Pregnant Outcomes'!$E12))+(('Failure Rates'!E18)*((12-PersonMonthsPregnant!$M12)/12)*('NonPregnant Outcomes'!P12))</f>
        <v>10.480143402352001</v>
      </c>
      <c r="Q12" s="46">
        <f>((1-'Failure Rates'!F18)*('NonPregnant Outcomes'!Q12))+(('Failure Rates'!F18)*(PersonMonthsPregnant!$M40/12)*('Pregnant Outcomes'!$E12))+(('Failure Rates'!F18)*((12-PersonMonthsPregnant!$M40)/12)*('NonPregnant Outcomes'!Q12))</f>
        <v>9.6798252217302405</v>
      </c>
      <c r="R12" s="46">
        <f>((1-'Failure Rates'!G18)*('NonPregnant Outcomes'!R12))+(('Failure Rates'!G18)*(PersonMonthsPregnant!$M40/12)*('Pregnant Outcomes'!$E12))+(('Failure Rates'!G18)*((12-PersonMonthsPregnant!$M40)/12)*('NonPregnant Outcomes'!R12))</f>
        <v>6.838333439212672</v>
      </c>
      <c r="S12" s="46">
        <f>((1-'Failure Rates'!H18)*('NonPregnant Outcomes'!S12))+(('Failure Rates'!H18)*(PersonMonthsPregnant!$M12/12)*('Pregnant Outcomes'!$E12))+(('Failure Rates'!H18)*((12-PersonMonthsPregnant!$M12)/12)*('NonPregnant Outcomes'!S12))</f>
        <v>9.9780243855199977</v>
      </c>
      <c r="T12" s="46">
        <f>((1-'Failure Rates'!I18)*('NonPregnant Outcomes'!T12))+(('Failure Rates'!I18)*(PersonMonthsPregnant!$M12/12)*('Pregnant Outcomes'!$E12))+(('Failure Rates'!I18)*((12-PersonMonthsPregnant!$M12)/12)*('NonPregnant Outcomes'!T12))</f>
        <v>9.6681228048189993</v>
      </c>
      <c r="U12" s="46">
        <f>((1-'Failure Rates'!J18)*('NonPregnant Outcomes'!U12))+(('Failure Rates'!J18)*(PersonMonthsPregnant!$M12/12)*('Pregnant Outcomes'!$E12))+(('Failure Rates'!J18)*((12-PersonMonthsPregnant!$M12)/12)*('NonPregnant Outcomes'!U12))</f>
        <v>10.60567315656</v>
      </c>
      <c r="V12" s="46">
        <f>((1-'Failure Rates'!K18)*('NonPregnant Outcomes'!V12))+(('Failure Rates'!K18)*(PersonMonthsPregnant!$M12/12)*('Pregnant Outcomes'!$E12))+(('Failure Rates'!K18)*((12-PersonMonthsPregnant!$M12)/12)*('NonPregnant Outcomes'!V12))</f>
        <v>11.217630708324002</v>
      </c>
      <c r="W12" s="46">
        <f>((1-'Failure Rates'!L18)*('NonPregnant Outcomes'!W12))+(('Failure Rates'!L18)*(PersonMonthsPregnant!$M12/12)*('Pregnant Outcomes'!$E12))+(('Failure Rates'!L18)*((12-PersonMonthsPregnant!$M12)/12)*('NonPregnant Outcomes'!W12))</f>
        <v>16.332968192300001</v>
      </c>
      <c r="X12" s="54">
        <f>((1-'Failure Rates'!C18)*('NonPregnant Outcomes'!X12))+(('Failure Rates'!C18)*(VTEPersonMonthsPregnant!$M12/12)*('Pregnant Outcomes'!$F12))+(('Failure Rates'!C18)*((12-VTEPersonMonthsPregnant!$M12)/12)*('NonPregnant Outcomes'!X12))</f>
        <v>73.842263646666666</v>
      </c>
      <c r="Y12" s="54">
        <f>((1-'Failure Rates'!D18)*('NonPregnant Outcomes'!Y12))+(('Failure Rates'!D18)*(VTEPersonMonthsPregnant!$M12/12)*('Pregnant Outcomes'!$F12))+(('Failure Rates'!D18)*((12-VTEPersonMonthsPregnant!$M12)/12)*('NonPregnant Outcomes'!Y12))</f>
        <v>493.60037034666669</v>
      </c>
      <c r="Z12" s="54">
        <f>((1-'Failure Rates'!E18)*('NonPregnant Outcomes'!Z12))+(('Failure Rates'!E18)*(VTEPersonMonthsPregnant!$M12/12)*('Pregnant Outcomes'!$F12))+(('Failure Rates'!E18)*((12-VTEPersonMonthsPregnant!$M12)/12)*('NonPregnant Outcomes'!Z12))</f>
        <v>110.31908385066667</v>
      </c>
      <c r="AA12" s="54">
        <f>((1-'Failure Rates'!F18)*('NonPregnant Outcomes'!AA12))+(('Failure Rates'!F18)*(VTEPersonMonthsPregnant!$M40/12)*('Pregnant Outcomes'!$F12))+(('Failure Rates'!F18)*((12-VTEPersonMonthsPregnant!$M40)/12)*('NonPregnant Outcomes'!AA12))</f>
        <v>72.733607100746667</v>
      </c>
      <c r="AB12" s="54">
        <f>((1-'Failure Rates'!G18)*('NonPregnant Outcomes'!AB12))+(('Failure Rates'!G18)*(VTEPersonMonthsPregnant!$M40/12)*('Pregnant Outcomes'!$F12))+(('Failure Rates'!G18)*((12-VTEPersonMonthsPregnant!$M40)/12)*('NonPregnant Outcomes'!AB12))</f>
        <v>74.934428402986683</v>
      </c>
      <c r="AC12" s="54">
        <f>((1-'Failure Rates'!H18)*('NonPregnant Outcomes'!AC12))+(('Failure Rates'!H18)*(VTEPersonMonthsPregnant!$M12/12)*('Pregnant Outcomes'!$F12))+(('Failure Rates'!H18)*((12-VTEPersonMonthsPregnant!$M12)/12)*('NonPregnant Outcomes'!AC12))</f>
        <v>204.30443650133333</v>
      </c>
      <c r="AD12" s="54">
        <f>((1-'Failure Rates'!I18)*('NonPregnant Outcomes'!AD12))+(('Failure Rates'!I18)*(VTEPersonMonthsPregnant!$M12/12)*('Pregnant Outcomes'!$F12))+(('Failure Rates'!I18)*((12-VTEPersonMonthsPregnant!$M12)/12)*('NonPregnant Outcomes'!AD12))</f>
        <v>72.184226364666671</v>
      </c>
      <c r="AE12" s="54">
        <f>((1-'Failure Rates'!J18)*('NonPregnant Outcomes'!AE12))+(('Failure Rates'!J18)*(VTEPersonMonthsPregnant!$M12/12)*('Pregnant Outcomes'!$F12))+(('Failure Rates'!J18)*((12-VTEPersonMonthsPregnant!$M12)/12)*('NonPregnant Outcomes'!AE12))</f>
        <v>116.21432752000001</v>
      </c>
      <c r="AF12" s="54">
        <f>((1-'Failure Rates'!K18)*('NonPregnant Outcomes'!AF12))+(('Failure Rates'!K18)*(VTEPersonMonthsPregnant!$M12/12)*('Pregnant Outcomes'!$F12))+(('Failure Rates'!K18)*((12-VTEPersonMonthsPregnant!$M12)/12)*('NonPregnant Outcomes'!AF12))</f>
        <v>144.95364040800004</v>
      </c>
      <c r="AG12" s="54">
        <f>((1-'Failure Rates'!L18)*('NonPregnant Outcomes'!AG12))+(('Failure Rates'!L18)*(VTEPersonMonthsPregnant!$M12/12)*('Pregnant Outcomes'!$F12))+(('Failure Rates'!L18)*((12-VTEPersonMonthsPregnant!$M12)/12)*('NonPregnant Outcomes'!AG12))</f>
        <v>385.18481993333347</v>
      </c>
      <c r="AH12" s="46">
        <f>((1-'Failure Rates'!C18)*('NonPregnant Outcomes'!AH12))+(('Failure Rates'!C18)*(PersonMonthsPregnant!$M12/12)*('Pregnant Outcomes'!$G12))+(('Failure Rates'!C18)*((12-PersonMonthsPregnant!$M12)/12)*('NonPregnant Outcomes'!AH12))</f>
        <v>1010.0000000000001</v>
      </c>
      <c r="AI12" s="46">
        <f>((1-'Failure Rates'!D18)*('NonPregnant Outcomes'!AI12))+(('Failure Rates'!D18)*(PersonMonthsPregnant!$M12/12)*('Pregnant Outcomes'!$G12))+(('Failure Rates'!D18)*((12-PersonMonthsPregnant!$M12)/12)*('NonPregnant Outcomes'!AI12))</f>
        <v>1010</v>
      </c>
      <c r="AJ12" s="46">
        <f>((1-'Failure Rates'!E18)*('NonPregnant Outcomes'!AJ12))+(('Failure Rates'!E18)*(PersonMonthsPregnant!$M12/12)*('Pregnant Outcomes'!$G12))+(('Failure Rates'!E18)*((12-PersonMonthsPregnant!$M12)/12)*('NonPregnant Outcomes'!AJ12))</f>
        <v>1010</v>
      </c>
      <c r="AK12" s="46">
        <f>((1-'Failure Rates'!F18)*('NonPregnant Outcomes'!AK12))+(('Failure Rates'!F18)*(PersonMonthsPregnant!$M40/12)*('Pregnant Outcomes'!$G12))+(('Failure Rates'!F18)*((12-PersonMonthsPregnant!$M40)/12)*('NonPregnant Outcomes'!AK12))</f>
        <v>1010</v>
      </c>
      <c r="AL12" s="46">
        <f>((1-'Failure Rates'!G18)*('NonPregnant Outcomes'!AL12))+(('Failure Rates'!G18)*(PersonMonthsPregnant!$M40/12)*('Pregnant Outcomes'!$G12))+(('Failure Rates'!G18)*((12-PersonMonthsPregnant!$M40)/12)*('NonPregnant Outcomes'!AL12))</f>
        <v>1010</v>
      </c>
      <c r="AM12" s="46">
        <f>((1-'Failure Rates'!H18)*('NonPregnant Outcomes'!AM12))+(('Failure Rates'!H18)*(PersonMonthsPregnant!$M12/12)*('Pregnant Outcomes'!$G12))+(('Failure Rates'!H18)*((12-PersonMonthsPregnant!$M12)/12)*('NonPregnant Outcomes'!AM12))</f>
        <v>1009.9999999999999</v>
      </c>
      <c r="AN12" s="46">
        <f>((1-'Failure Rates'!I18)*('NonPregnant Outcomes'!AN12))+(('Failure Rates'!I18)*(PersonMonthsPregnant!$M12/12)*('Pregnant Outcomes'!$G12))+(('Failure Rates'!I18)*((12-PersonMonthsPregnant!$M12)/12)*('NonPregnant Outcomes'!AN12))</f>
        <v>1010</v>
      </c>
      <c r="AO12" s="46">
        <f>((1-'Failure Rates'!J18)*('NonPregnant Outcomes'!AO12))+(('Failure Rates'!J18)*(PersonMonthsPregnant!$M12/12)*('Pregnant Outcomes'!$G12))+(('Failure Rates'!J18)*((12-PersonMonthsPregnant!$M12)/12)*('NonPregnant Outcomes'!AO12))</f>
        <v>1010</v>
      </c>
      <c r="AP12" s="46">
        <f>((1-'Failure Rates'!K18)*('NonPregnant Outcomes'!AP12))+(('Failure Rates'!K18)*(PersonMonthsPregnant!$M12/12)*('Pregnant Outcomes'!$G12))+(('Failure Rates'!K18)*((12-PersonMonthsPregnant!$M12)/12)*('NonPregnant Outcomes'!AP12))</f>
        <v>1010.0000000000001</v>
      </c>
      <c r="AQ12" s="46">
        <f>((1-'Failure Rates'!L18)*('NonPregnant Outcomes'!AQ12))+(('Failure Rates'!L18)*(PersonMonthsPregnant!$M12/12)*('Pregnant Outcomes'!$G12))+(('Failure Rates'!L18)*((12-PersonMonthsPregnant!$M12)/12)*('NonPregnant Outcomes'!AQ12))</f>
        <v>1010</v>
      </c>
      <c r="AR12" s="54">
        <f>'Pregnant Outcomes'!$I12</f>
        <v>91</v>
      </c>
      <c r="AS12" s="54">
        <f>(('Failure Rates'!$D18)*('Pregnant Outcomes'!$H12))</f>
        <v>55.12</v>
      </c>
      <c r="AT12" s="54">
        <f>(('Failure Rates'!$E18)*('Pregnant Outcomes'!$H12))</f>
        <v>55.12</v>
      </c>
      <c r="AU12" s="54">
        <f>(('Failure Rates'!$F18)*('Pregnant Outcomes'!$J12))</f>
        <v>1.9822000000000002</v>
      </c>
      <c r="AV12" s="54">
        <f>(('Failure Rates'!$G18)*('Pregnant Outcomes'!$K12))</f>
        <v>7.9288000000000007</v>
      </c>
      <c r="AW12" s="54">
        <f>(('Failure Rates'!$H18)*('Pregnant Outcomes'!$H12))</f>
        <v>21.2</v>
      </c>
      <c r="AX12" s="54">
        <f>(('Failure Rates'!$I18)*('Pregnant Outcomes'!$H12))</f>
        <v>0.26500000000000001</v>
      </c>
      <c r="AY12" s="54">
        <f>(('Failure Rates'!$J18)*('Pregnant Outcomes'!$H12))</f>
        <v>63.599999999999994</v>
      </c>
      <c r="AZ12" s="54">
        <f>(('Failure Rates'!$K18)*('Pregnant Outcomes'!$H12))</f>
        <v>104.94000000000001</v>
      </c>
      <c r="BA12" s="54">
        <f>('Failure Rates'!$L18)*('Pregnant Outcomes'!$H12)</f>
        <v>450.5</v>
      </c>
    </row>
    <row r="13" spans="1:53" x14ac:dyDescent="0.2">
      <c r="A13" t="s">
        <v>68</v>
      </c>
      <c r="B13" t="s">
        <v>5</v>
      </c>
      <c r="C13" t="str">
        <f t="shared" si="0"/>
        <v>A30_34_Obesity</v>
      </c>
      <c r="D13" s="45">
        <f>((1-'Failure Rates'!C19)*('NonPregnant Outcomes'!D13))+(('Failure Rates'!C19)*(PersonMonthsPregnant!$M13/12)*('Pregnant Outcomes'!$D13))+(('Failure Rates'!C19)*((12-PersonMonthsPregnant!$M13)/12)*('NonPregnant Outcomes'!D13))</f>
        <v>23.113281635999996</v>
      </c>
      <c r="E13" s="45">
        <f>((1-'Failure Rates'!D19)*('NonPregnant Outcomes'!E13))+(('Failure Rates'!D19)*(PersonMonthsPregnant!$M13/12)*('Pregnant Outcomes'!$D13))+(('Failure Rates'!D19)*((12-PersonMonthsPregnant!$M13)/12)*('NonPregnant Outcomes'!E13))</f>
        <v>23.640909415199999</v>
      </c>
      <c r="F13" s="45">
        <f>((1-'Failure Rates'!E19)*('NonPregnant Outcomes'!F13))+(('Failure Rates'!E19)*(PersonMonthsPregnant!$M13/12)*('Pregnant Outcomes'!$D13))+(('Failure Rates'!E19)*((12-PersonMonthsPregnant!$M13)/12)*('NonPregnant Outcomes'!F13))</f>
        <v>23.640909415199999</v>
      </c>
      <c r="G13" s="45">
        <f>((1-'Failure Rates'!F19)*('NonPregnant Outcomes'!G13))+(('Failure Rates'!F19)*(PersonMonthsPregnant!$M41/12)*('Pregnant Outcomes'!$D13))+(('Failure Rates'!F19)*((12-PersonMonthsPregnant!$M41)/12)*('NonPregnant Outcomes'!G13))</f>
        <v>23.069145926207998</v>
      </c>
      <c r="H13" s="45">
        <f>((1-'Failure Rates'!G19)*('NonPregnant Outcomes'!H13))+(('Failure Rates'!G19)*(PersonMonthsPregnant!$M41/12)*('Pregnant Outcomes'!$D13))+(('Failure Rates'!G19)*((12-PersonMonthsPregnant!$M41)/12)*('NonPregnant Outcomes'!H13))</f>
        <v>23.156583704832002</v>
      </c>
      <c r="I13" s="45">
        <f>((1-'Failure Rates'!H19)*('NonPregnant Outcomes'!I13))+(('Failure Rates'!H19)*(PersonMonthsPregnant!$M13/12)*('Pregnant Outcomes'!$D13))+(('Failure Rates'!H19)*((12-PersonMonthsPregnant!$M13)/12)*('NonPregnant Outcomes'!I13))</f>
        <v>23.626253087999995</v>
      </c>
      <c r="J13" s="45">
        <f>((1-'Failure Rates'!I19)*('NonPregnant Outcomes'!J13))+(('Failure Rates'!I19)*(PersonMonthsPregnant!$M13/12)*('Pregnant Outcomes'!$D13))+(('Failure Rates'!I19)*((12-PersonMonthsPregnant!$M13)/12)*('NonPregnant Outcomes'!J13))</f>
        <v>23.047328163600003</v>
      </c>
      <c r="K13" s="45">
        <f>((1-'Failure Rates'!J19)*('NonPregnant Outcomes'!K13))+(('Failure Rates'!J19)*(PersonMonthsPregnant!$M13/12)*('Pregnant Outcomes'!$D13))+(('Failure Rates'!J19)*((12-PersonMonthsPregnant!$M13)/12)*('NonPregnant Outcomes'!K13))</f>
        <v>24.271131484799998</v>
      </c>
      <c r="L13" s="45">
        <f>((1-'Failure Rates'!K19)*('NonPregnant Outcomes'!L13))+(('Failure Rates'!K19)*(PersonMonthsPregnant!$M13/12)*('Pregnant Outcomes'!$D13))+(('Failure Rates'!K19)*((12-PersonMonthsPregnant!$M13)/12)*('NonPregnant Outcomes'!L13))</f>
        <v>25.634169914399997</v>
      </c>
      <c r="M13" s="45">
        <f>((1-'Failure Rates'!L19)*('NonPregnant Outcomes'!M13))+(('Failure Rates'!L19)*(PersonMonthsPregnant!$M13/12)*('Pregnant Outcomes'!$D13))+(('Failure Rates'!L19)*((12-PersonMonthsPregnant!$M13)/12)*('NonPregnant Outcomes'!M13))</f>
        <v>35.497878120000003</v>
      </c>
      <c r="N13" s="46">
        <f>((1-'Failure Rates'!C19)*('NonPregnant Outcomes'!N13))+(('Failure Rates'!C19)*(PersonMonthsPregnant!$M13/12)*('Pregnant Outcomes'!$E13))+(('Failure Rates'!C19)*((12-PersonMonthsPregnant!$M13)/12)*('NonPregnant Outcomes'!N13))</f>
        <v>9.7238013123150004</v>
      </c>
      <c r="O13" s="46">
        <f>((1-'Failure Rates'!D19)*('NonPregnant Outcomes'!O13))+(('Failure Rates'!D19)*(PersonMonthsPregnant!$M13/12)*('Pregnant Outcomes'!$E13))+(('Failure Rates'!D19)*((12-PersonMonthsPregnant!$M13)/12)*('NonPregnant Outcomes'!O13))</f>
        <v>10.152930760982999</v>
      </c>
      <c r="P13" s="46">
        <f>((1-'Failure Rates'!E19)*('NonPregnant Outcomes'!P13))+(('Failure Rates'!E19)*(PersonMonthsPregnant!$M13/12)*('Pregnant Outcomes'!$E13))+(('Failure Rates'!E19)*((12-PersonMonthsPregnant!$M13)/12)*('NonPregnant Outcomes'!P13))</f>
        <v>10.152930760982999</v>
      </c>
      <c r="Q13" s="46">
        <f>((1-'Failure Rates'!F19)*('NonPregnant Outcomes'!Q13))+(('Failure Rates'!F19)*(PersonMonthsPregnant!$M41/12)*('Pregnant Outcomes'!$E13))+(('Failure Rates'!F19)*((12-PersonMonthsPregnant!$M41)/12)*('NonPregnant Outcomes'!Q13))</f>
        <v>9.6879049217983209</v>
      </c>
      <c r="R13" s="46">
        <f>((1-'Failure Rates'!G19)*('NonPregnant Outcomes'!R13))+(('Failure Rates'!G19)*(PersonMonthsPregnant!$M41/12)*('Pregnant Outcomes'!$E13))+(('Failure Rates'!G19)*((12-PersonMonthsPregnant!$M41)/12)*('NonPregnant Outcomes'!R13))</f>
        <v>6.8704832427792955</v>
      </c>
      <c r="S13" s="46">
        <f>((1-'Failure Rates'!H19)*('NonPregnant Outcomes'!S13))+(('Failure Rates'!H19)*(PersonMonthsPregnant!$M13/12)*('Pregnant Outcomes'!$E13))+(('Failure Rates'!H19)*((12-PersonMonthsPregnant!$M13)/12)*('NonPregnant Outcomes'!S13))</f>
        <v>10.141010498519998</v>
      </c>
      <c r="T13" s="46">
        <f>((1-'Failure Rates'!I19)*('NonPregnant Outcomes'!T13))+(('Failure Rates'!I19)*(PersonMonthsPregnant!$M13/12)*('Pregnant Outcomes'!$E13))+(('Failure Rates'!I19)*((12-PersonMonthsPregnant!$M13)/12)*('NonPregnant Outcomes'!T13))</f>
        <v>9.6701601312314995</v>
      </c>
      <c r="U13" s="46">
        <f>((1-'Failure Rates'!J19)*('NonPregnant Outcomes'!U13))+(('Failure Rates'!J19)*(PersonMonthsPregnant!$M13/12)*('Pregnant Outcomes'!$E13))+(('Failure Rates'!J19)*((12-PersonMonthsPregnant!$M13)/12)*('NonPregnant Outcomes'!U13))</f>
        <v>10.665502046892</v>
      </c>
      <c r="V13" s="46">
        <f>((1-'Failure Rates'!K19)*('NonPregnant Outcomes'!V13))+(('Failure Rates'!K19)*(PersonMonthsPregnant!$M13/12)*('Pregnant Outcomes'!$E13))+(('Failure Rates'!K19)*((12-PersonMonthsPregnant!$M13)/12)*('NonPregnant Outcomes'!V13))</f>
        <v>11.774086455950998</v>
      </c>
      <c r="W13" s="46">
        <f>((1-'Failure Rates'!L19)*('NonPregnant Outcomes'!W13))+(('Failure Rates'!L19)*(PersonMonthsPregnant!$M13/12)*('Pregnant Outcomes'!$E13))+(('Failure Rates'!L19)*((12-PersonMonthsPregnant!$M13)/12)*('NonPregnant Outcomes'!W13))</f>
        <v>19.796423093549997</v>
      </c>
      <c r="X13" s="54">
        <f>((1-'Failure Rates'!C19)*('NonPregnant Outcomes'!X13))+(('Failure Rates'!C19)*(VTEPersonMonthsPregnant!$M13/12)*('Pregnant Outcomes'!$F13))+(('Failure Rates'!C19)*((12-VTEPersonMonthsPregnant!$M13)/12)*('NonPregnant Outcomes'!X13))</f>
        <v>76.876282378333329</v>
      </c>
      <c r="Y13" s="54">
        <f>((1-'Failure Rates'!D19)*('NonPregnant Outcomes'!Y13))+(('Failure Rates'!D19)*(VTEPersonMonthsPregnant!$M13/12)*('Pregnant Outcomes'!$F13))+(('Failure Rates'!D19)*((12-VTEPersonMonthsPregnant!$M13)/12)*('NonPregnant Outcomes'!Y13))</f>
        <v>504.63447762108336</v>
      </c>
      <c r="Z13" s="54">
        <f>((1-'Failure Rates'!E19)*('NonPregnant Outcomes'!Z13))+(('Failure Rates'!E19)*(VTEPersonMonthsPregnant!$M13/12)*('Pregnant Outcomes'!$F13))+(('Failure Rates'!E19)*((12-VTEPersonMonthsPregnant!$M13)/12)*('NonPregnant Outcomes'!Z13))</f>
        <v>90.385515502333334</v>
      </c>
      <c r="AA13" s="54">
        <f>((1-'Failure Rates'!F19)*('NonPregnant Outcomes'!AA13))+(('Failure Rates'!F19)*(VTEPersonMonthsPregnant!$M41/12)*('Pregnant Outcomes'!$F13))+(('Failure Rates'!F19)*((12-VTEPersonMonthsPregnant!$M41)/12)*('NonPregnant Outcomes'!AA13))</f>
        <v>75.745959877093341</v>
      </c>
      <c r="AB13" s="54">
        <f>((1-'Failure Rates'!G19)*('NonPregnant Outcomes'!AB13))+(('Failure Rates'!G19)*(VTEPersonMonthsPregnant!$M41/12)*('Pregnant Outcomes'!$F13))+(('Failure Rates'!G19)*((12-VTEPersonMonthsPregnant!$M41)/12)*('NonPregnant Outcomes'!AB13))</f>
        <v>77.983839508373336</v>
      </c>
      <c r="AC13" s="54">
        <f>((1-'Failure Rates'!H19)*('NonPregnant Outcomes'!AC13))+(('Failure Rates'!H19)*(VTEPersonMonthsPregnant!$M13/12)*('Pregnant Outcomes'!$F13))+(('Failure Rates'!H19)*((12-VTEPersonMonthsPregnant!$M13)/12)*('NonPregnant Outcomes'!AC13))</f>
        <v>212.52048207666667</v>
      </c>
      <c r="AD13" s="54">
        <f>((1-'Failure Rates'!I19)*('NonPregnant Outcomes'!AD13))+(('Failure Rates'!I19)*(VTEPersonMonthsPregnant!$M13/12)*('Pregnant Outcomes'!$F13))+(('Failure Rates'!I19)*((12-VTEPersonMonthsPregnant!$M13)/12)*('NonPregnant Outcomes'!AD13))</f>
        <v>75.187628237833337</v>
      </c>
      <c r="AE13" s="54">
        <f>((1-'Failure Rates'!J19)*('NonPregnant Outcomes'!AE13))+(('Failure Rates'!J19)*(VTEPersonMonthsPregnant!$M13/12)*('Pregnant Outcomes'!$F13))+(('Failure Rates'!J19)*((12-VTEPersonMonthsPregnant!$M13)/12)*('NonPregnant Outcomes'!AE13))</f>
        <v>106.521543956</v>
      </c>
      <c r="AF13" s="54">
        <f>((1-'Failure Rates'!K19)*('NonPregnant Outcomes'!AF13))+(('Failure Rates'!K19)*(VTEPersonMonthsPregnant!$M13/12)*('Pregnant Outcomes'!$F13))+(('Failure Rates'!K19)*((12-VTEPersonMonthsPregnant!$M13)/12)*('NonPregnant Outcomes'!AF13))</f>
        <v>141.42039619300002</v>
      </c>
      <c r="AG13" s="54">
        <f>((1-'Failure Rates'!L19)*('NonPregnant Outcomes'!AG13))+(('Failure Rates'!L19)*(VTEPersonMonthsPregnant!$M13/12)*('Pregnant Outcomes'!$F13))+(('Failure Rates'!L19)*((12-VTEPersonMonthsPregnant!$M13)/12)*('NonPregnant Outcomes'!AG13))</f>
        <v>393.96800431666662</v>
      </c>
      <c r="AH13" s="46">
        <f>((1-'Failure Rates'!C19)*('NonPregnant Outcomes'!AH13))+(('Failure Rates'!C19)*(PersonMonthsPregnant!$M13/12)*('Pregnant Outcomes'!$G13))+(('Failure Rates'!C19)*((12-PersonMonthsPregnant!$M13)/12)*('NonPregnant Outcomes'!AH13))</f>
        <v>430</v>
      </c>
      <c r="AI13" s="46">
        <f>((1-'Failure Rates'!D19)*('NonPregnant Outcomes'!AI13))+(('Failure Rates'!D19)*(PersonMonthsPregnant!$M13/12)*('Pregnant Outcomes'!$G13))+(('Failure Rates'!D19)*((12-PersonMonthsPregnant!$M13)/12)*('NonPregnant Outcomes'!AI13))</f>
        <v>430</v>
      </c>
      <c r="AJ13" s="46">
        <f>((1-'Failure Rates'!E19)*('NonPregnant Outcomes'!AJ13))+(('Failure Rates'!E19)*(PersonMonthsPregnant!$M13/12)*('Pregnant Outcomes'!$G13))+(('Failure Rates'!E19)*((12-PersonMonthsPregnant!$M13)/12)*('NonPregnant Outcomes'!AJ13))</f>
        <v>430</v>
      </c>
      <c r="AK13" s="46">
        <f>((1-'Failure Rates'!F19)*('NonPregnant Outcomes'!AK13))+(('Failure Rates'!F19)*(PersonMonthsPregnant!$M41/12)*('Pregnant Outcomes'!$G13))+(('Failure Rates'!F19)*((12-PersonMonthsPregnant!$M41)/12)*('NonPregnant Outcomes'!AK13))</f>
        <v>430</v>
      </c>
      <c r="AL13" s="46">
        <f>((1-'Failure Rates'!G19)*('NonPregnant Outcomes'!AL13))+(('Failure Rates'!G19)*(PersonMonthsPregnant!$M41/12)*('Pregnant Outcomes'!$G13))+(('Failure Rates'!G19)*((12-PersonMonthsPregnant!$M41)/12)*('NonPregnant Outcomes'!AL13))</f>
        <v>430</v>
      </c>
      <c r="AM13" s="46">
        <f>((1-'Failure Rates'!H19)*('NonPregnant Outcomes'!AM13))+(('Failure Rates'!H19)*(PersonMonthsPregnant!$M13/12)*('Pregnant Outcomes'!$G13))+(('Failure Rates'!H19)*((12-PersonMonthsPregnant!$M13)/12)*('NonPregnant Outcomes'!AM13))</f>
        <v>430</v>
      </c>
      <c r="AN13" s="46">
        <f>((1-'Failure Rates'!I19)*('NonPregnant Outcomes'!AN13))+(('Failure Rates'!I19)*(PersonMonthsPregnant!$M13/12)*('Pregnant Outcomes'!$G13))+(('Failure Rates'!I19)*((12-PersonMonthsPregnant!$M13)/12)*('NonPregnant Outcomes'!AN13))</f>
        <v>430</v>
      </c>
      <c r="AO13" s="46">
        <f>((1-'Failure Rates'!J19)*('NonPregnant Outcomes'!AO13))+(('Failure Rates'!J19)*(PersonMonthsPregnant!$M13/12)*('Pregnant Outcomes'!$G13))+(('Failure Rates'!J19)*((12-PersonMonthsPregnant!$M13)/12)*('NonPregnant Outcomes'!AO13))</f>
        <v>430</v>
      </c>
      <c r="AP13" s="46">
        <f>((1-'Failure Rates'!K19)*('NonPregnant Outcomes'!AP13))+(('Failure Rates'!K19)*(PersonMonthsPregnant!$M13/12)*('Pregnant Outcomes'!$G13))+(('Failure Rates'!K19)*((12-PersonMonthsPregnant!$M13)/12)*('NonPregnant Outcomes'!AP13))</f>
        <v>430</v>
      </c>
      <c r="AQ13" s="46">
        <f>((1-'Failure Rates'!L19)*('NonPregnant Outcomes'!AQ13))+(('Failure Rates'!L19)*(PersonMonthsPregnant!$M13/12)*('Pregnant Outcomes'!$G13))+(('Failure Rates'!L19)*((12-PersonMonthsPregnant!$M13)/12)*('NonPregnant Outcomes'!AQ13))</f>
        <v>430</v>
      </c>
      <c r="AR13" s="54">
        <f>'Pregnant Outcomes'!$I13</f>
        <v>48</v>
      </c>
      <c r="AS13" s="54">
        <f>(('Failure Rates'!$D19)*('Pregnant Outcomes'!$H13))</f>
        <v>30.34</v>
      </c>
      <c r="AT13" s="54">
        <f>(('Failure Rates'!$E19)*('Pregnant Outcomes'!$H13))</f>
        <v>30.34</v>
      </c>
      <c r="AU13" s="54">
        <f>(('Failure Rates'!$F19)*('Pregnant Outcomes'!$J13))</f>
        <v>2.7676000000000003</v>
      </c>
      <c r="AV13" s="54">
        <f>(('Failure Rates'!$G19)*('Pregnant Outcomes'!$K13))</f>
        <v>11.070400000000001</v>
      </c>
      <c r="AW13" s="54">
        <f>(('Failure Rates'!$H19)*('Pregnant Outcomes'!$H13))</f>
        <v>29.6</v>
      </c>
      <c r="AX13" s="54">
        <f>(('Failure Rates'!$I19)*('Pregnant Outcomes'!$H13))</f>
        <v>0.37</v>
      </c>
      <c r="AY13" s="54">
        <f>(('Failure Rates'!$J19)*('Pregnant Outcomes'!$H13))</f>
        <v>62.160000000000004</v>
      </c>
      <c r="AZ13" s="54">
        <f>(('Failure Rates'!$K19)*('Pregnant Outcomes'!$H13))</f>
        <v>130.97999999999999</v>
      </c>
      <c r="BA13" s="54">
        <f>('Failure Rates'!$L19)*('Pregnant Outcomes'!$H13)</f>
        <v>629</v>
      </c>
    </row>
    <row r="14" spans="1:53" x14ac:dyDescent="0.2">
      <c r="A14" t="s">
        <v>69</v>
      </c>
      <c r="B14" t="s">
        <v>5</v>
      </c>
      <c r="C14" t="str">
        <f t="shared" si="0"/>
        <v>A35_39_Obesity</v>
      </c>
      <c r="D14" s="45">
        <f>((1-'Failure Rates'!C20)*('NonPregnant Outcomes'!D14))+(('Failure Rates'!C20)*(PersonMonthsPregnant!$M14/12)*('Pregnant Outcomes'!$D14))+(('Failure Rates'!C20)*((12-PersonMonthsPregnant!$M14)/12)*('NonPregnant Outcomes'!D14))</f>
        <v>56.450018928666665</v>
      </c>
      <c r="E14" s="45">
        <f>((1-'Failure Rates'!D20)*('NonPregnant Outcomes'!E14))+(('Failure Rates'!D20)*(PersonMonthsPregnant!$M14/12)*('Pregnant Outcomes'!$D14))+(('Failure Rates'!D20)*((12-PersonMonthsPregnant!$M14)/12)*('NonPregnant Outcomes'!E14))</f>
        <v>57.386155215066665</v>
      </c>
      <c r="F14" s="45">
        <f>((1-'Failure Rates'!E20)*('NonPregnant Outcomes'!F14))+(('Failure Rates'!E20)*(PersonMonthsPregnant!$M14/12)*('Pregnant Outcomes'!$D14))+(('Failure Rates'!E20)*((12-PersonMonthsPregnant!$M14)/12)*('NonPregnant Outcomes'!F14))</f>
        <v>57.386155215066665</v>
      </c>
      <c r="G14" s="45">
        <f>((1-'Failure Rates'!F20)*('NonPregnant Outcomes'!G14))+(('Failure Rates'!F20)*(PersonMonthsPregnant!$M42/12)*('Pregnant Outcomes'!$D14))+(('Failure Rates'!F20)*((12-PersonMonthsPregnant!$M42)/12)*('NonPregnant Outcomes'!G14))</f>
        <v>56.371626026586668</v>
      </c>
      <c r="H14" s="45">
        <f>((1-'Failure Rates'!G20)*('NonPregnant Outcomes'!H14))+(('Failure Rates'!G20)*(PersonMonthsPregnant!$M42/12)*('Pregnant Outcomes'!$D14))+(('Failure Rates'!G20)*((12-PersonMonthsPregnant!$M42)/12)*('NonPregnant Outcomes'!H14))</f>
        <v>56.526504106346664</v>
      </c>
      <c r="I14" s="45">
        <f>((1-'Failure Rates'!H20)*('NonPregnant Outcomes'!I14))+(('Failure Rates'!H20)*(PersonMonthsPregnant!$M14/12)*('Pregnant Outcomes'!$D14))+(('Failure Rates'!H20)*((12-PersonMonthsPregnant!$M14)/12)*('NonPregnant Outcomes'!I14))</f>
        <v>57.360151429333335</v>
      </c>
      <c r="J14" s="45">
        <f>((1-'Failure Rates'!I20)*('NonPregnant Outcomes'!J14))+(('Failure Rates'!I20)*(PersonMonthsPregnant!$M14/12)*('Pregnant Outcomes'!$D14))+(('Failure Rates'!I20)*((12-PersonMonthsPregnant!$M14)/12)*('NonPregnant Outcomes'!J14))</f>
        <v>56.333001892866669</v>
      </c>
      <c r="K14" s="45">
        <f>((1-'Failure Rates'!J20)*('NonPregnant Outcomes'!K14))+(('Failure Rates'!J20)*(PersonMonthsPregnant!$M14/12)*('Pregnant Outcomes'!$D14))+(('Failure Rates'!J20)*((12-PersonMonthsPregnant!$M14)/12)*('NonPregnant Outcomes'!K14))</f>
        <v>58.504318001599998</v>
      </c>
      <c r="L14" s="45">
        <f>((1-'Failure Rates'!K20)*('NonPregnant Outcomes'!L14))+(('Failure Rates'!K20)*(PersonMonthsPregnant!$M14/12)*('Pregnant Outcomes'!$D14))+(('Failure Rates'!K20)*((12-PersonMonthsPregnant!$M14)/12)*('NonPregnant Outcomes'!L14))</f>
        <v>60.922670074799996</v>
      </c>
      <c r="M14" s="45">
        <f>((1-'Failure Rates'!L20)*('NonPregnant Outcomes'!M14))+(('Failure Rates'!L20)*(PersonMonthsPregnant!$M14/12)*('Pregnant Outcomes'!$D14))+(('Failure Rates'!L20)*((12-PersonMonthsPregnant!$M14)/12)*('NonPregnant Outcomes'!M14))</f>
        <v>78.423217873333328</v>
      </c>
      <c r="N14" s="46">
        <f>((1-'Failure Rates'!C20)*('NonPregnant Outcomes'!N14))+(('Failure Rates'!C20)*(PersonMonthsPregnant!$M14/12)*('Pregnant Outcomes'!$E14))+(('Failure Rates'!C20)*((12-PersonMonthsPregnant!$M14)/12)*('NonPregnant Outcomes'!N14))</f>
        <v>30.286345439023336</v>
      </c>
      <c r="O14" s="46">
        <f>((1-'Failure Rates'!D20)*('NonPregnant Outcomes'!O14))+(('Failure Rates'!D20)*(PersonMonthsPregnant!$M14/12)*('Pregnant Outcomes'!$E14))+(('Failure Rates'!D20)*((12-PersonMonthsPregnant!$M14)/12)*('NonPregnant Outcomes'!O14))</f>
        <v>30.710752599991331</v>
      </c>
      <c r="P14" s="46">
        <f>((1-'Failure Rates'!E20)*('NonPregnant Outcomes'!P14))+(('Failure Rates'!E20)*(PersonMonthsPregnant!$M14/12)*('Pregnant Outcomes'!$E14))+(('Failure Rates'!E20)*((12-PersonMonthsPregnant!$M14)/12)*('NonPregnant Outcomes'!P14))</f>
        <v>30.710752599991331</v>
      </c>
      <c r="Q14" s="46">
        <f>((1-'Failure Rates'!F20)*('NonPregnant Outcomes'!Q14))+(('Failure Rates'!F20)*(PersonMonthsPregnant!$M42/12)*('Pregnant Outcomes'!$E14))+(('Failure Rates'!F20)*((12-PersonMonthsPregnant!$M42)/12)*('NonPregnant Outcomes'!Q14))</f>
        <v>30.250805198253733</v>
      </c>
      <c r="R14" s="46">
        <f>((1-'Failure Rates'!G20)*('NonPregnant Outcomes'!R14))+(('Failure Rates'!G20)*(PersonMonthsPregnant!$M42/12)*('Pregnant Outcomes'!$E14))+(('Failure Rates'!G20)*((12-PersonMonthsPregnant!$M42)/12)*('NonPregnant Outcomes'!R14))</f>
        <v>21.28325987999045</v>
      </c>
      <c r="S14" s="46">
        <f>((1-'Failure Rates'!H20)*('NonPregnant Outcomes'!S14))+(('Failure Rates'!H20)*(PersonMonthsPregnant!$M14/12)*('Pregnant Outcomes'!$E14))+(('Failure Rates'!H20)*((12-PersonMonthsPregnant!$M14)/12)*('NonPregnant Outcomes'!S14))</f>
        <v>30.698963512186662</v>
      </c>
      <c r="T14" s="46">
        <f>((1-'Failure Rates'!I20)*('NonPregnant Outcomes'!T14))+(('Failure Rates'!I20)*(PersonMonthsPregnant!$M14/12)*('Pregnant Outcomes'!$E14))+(('Failure Rates'!I20)*((12-PersonMonthsPregnant!$M14)/12)*('NonPregnant Outcomes'!T14))</f>
        <v>30.233294543902336</v>
      </c>
      <c r="U14" s="46">
        <f>((1-'Failure Rates'!J20)*('NonPregnant Outcomes'!U14))+(('Failure Rates'!J20)*(PersonMonthsPregnant!$M14/12)*('Pregnant Outcomes'!$E14))+(('Failure Rates'!J20)*((12-PersonMonthsPregnant!$M14)/12)*('NonPregnant Outcomes'!U14))</f>
        <v>31.217683375592003</v>
      </c>
      <c r="V14" s="46">
        <f>((1-'Failure Rates'!K20)*('NonPregnant Outcomes'!V14))+(('Failure Rates'!K20)*(PersonMonthsPregnant!$M14/12)*('Pregnant Outcomes'!$E14))+(('Failure Rates'!K20)*((12-PersonMonthsPregnant!$M14)/12)*('NonPregnant Outcomes'!V14))</f>
        <v>32.314068541425996</v>
      </c>
      <c r="W14" s="46">
        <f>((1-'Failure Rates'!L20)*('NonPregnant Outcomes'!W14))+(('Failure Rates'!L20)*(PersonMonthsPregnant!$M14/12)*('Pregnant Outcomes'!$E14))+(('Failure Rates'!L20)*((12-PersonMonthsPregnant!$M14)/12)*('NonPregnant Outcomes'!W14))</f>
        <v>40.248124633966668</v>
      </c>
      <c r="X14" s="54">
        <f>((1-'Failure Rates'!C20)*('NonPregnant Outcomes'!X14))+(('Failure Rates'!C20)*(VTEPersonMonthsPregnant!$M14/12)*('Pregnant Outcomes'!$F14))+(('Failure Rates'!C20)*((12-VTEPersonMonthsPregnant!$M14)/12)*('NonPregnant Outcomes'!X14))</f>
        <v>76.11761662666666</v>
      </c>
      <c r="Y14" s="54">
        <f>((1-'Failure Rates'!D20)*('NonPregnant Outcomes'!Y14))+(('Failure Rates'!D20)*(VTEPersonMonthsPregnant!$M14/12)*('Pregnant Outcomes'!$F14))+(('Failure Rates'!D20)*((12-VTEPersonMonthsPregnant!$M14)/12)*('NonPregnant Outcomes'!Y14))</f>
        <v>501.05379925433328</v>
      </c>
      <c r="Z14" s="54">
        <f>((1-'Failure Rates'!E20)*('NonPregnant Outcomes'!Z14))+(('Failure Rates'!E20)*(VTEPersonMonthsPregnant!$M14/12)*('Pregnant Outcomes'!$F14))+(('Failure Rates'!E20)*((12-VTEPersonMonthsPregnant!$M14)/12)*('NonPregnant Outcomes'!Z14))</f>
        <v>91.364456338666656</v>
      </c>
      <c r="AA14" s="54">
        <f>((1-'Failure Rates'!F20)*('NonPregnant Outcomes'!AA14))+(('Failure Rates'!F20)*(VTEPersonMonthsPregnant!$M42/12)*('Pregnant Outcomes'!$F14))+(('Failure Rates'!F20)*((12-VTEPersonMonthsPregnant!$M42)/12)*('NonPregnant Outcomes'!AA14))</f>
        <v>74.840337860266672</v>
      </c>
      <c r="AB14" s="54">
        <f>((1-'Failure Rates'!G20)*('NonPregnant Outcomes'!AB14))+(('Failure Rates'!G20)*(VTEPersonMonthsPregnant!$M42/12)*('Pregnant Outcomes'!$F14))+(('Failure Rates'!G20)*((12-VTEPersonMonthsPregnant!$M42)/12)*('NonPregnant Outcomes'!AB14))</f>
        <v>77.36135144106666</v>
      </c>
      <c r="AC14" s="54">
        <f>((1-'Failure Rates'!H20)*('NonPregnant Outcomes'!AC14))+(('Failure Rates'!H20)*(VTEPersonMonthsPregnant!$M14/12)*('Pregnant Outcomes'!$F14))+(('Failure Rates'!H20)*((12-VTEPersonMonthsPregnant!$M14)/12)*('NonPregnant Outcomes'!AC14))</f>
        <v>212.09558488799999</v>
      </c>
      <c r="AD14" s="54">
        <f>((1-'Failure Rates'!I20)*('NonPregnant Outcomes'!AD14))+(('Failure Rates'!I20)*(VTEPersonMonthsPregnant!$M14/12)*('Pregnant Outcomes'!$F14))+(('Failure Rates'!I20)*((12-VTEPersonMonthsPregnant!$M14)/12)*('NonPregnant Outcomes'!AD14))</f>
        <v>74.211761662666675</v>
      </c>
      <c r="AE14" s="54">
        <f>((1-'Failure Rates'!J20)*('NonPregnant Outcomes'!AE14))+(('Failure Rates'!J20)*(VTEPersonMonthsPregnant!$M14/12)*('Pregnant Outcomes'!$F14))+(('Failure Rates'!J20)*((12-VTEPersonMonthsPregnant!$M14)/12)*('NonPregnant Outcomes'!AE14))</f>
        <v>109.57595932800002</v>
      </c>
      <c r="AF14" s="54">
        <f>((1-'Failure Rates'!K20)*('NonPregnant Outcomes'!AF14))+(('Failure Rates'!K20)*(VTEPersonMonthsPregnant!$M14/12)*('Pregnant Outcomes'!$F14))+(('Failure Rates'!K20)*((12-VTEPersonMonthsPregnant!$M14)/12)*('NonPregnant Outcomes'!AF14))</f>
        <v>148.96362858399999</v>
      </c>
      <c r="AG14" s="54">
        <f>((1-'Failure Rates'!L20)*('NonPregnant Outcomes'!AG14))+(('Failure Rates'!L20)*(VTEPersonMonthsPregnant!$M14/12)*('Pregnant Outcomes'!$F14))+(('Failure Rates'!L20)*((12-VTEPersonMonthsPregnant!$M14)/12)*('NonPregnant Outcomes'!AG14))</f>
        <v>433.99482653333337</v>
      </c>
      <c r="AH14" s="46">
        <f>((1-'Failure Rates'!C20)*('NonPregnant Outcomes'!AH14))+(('Failure Rates'!C20)*(PersonMonthsPregnant!$M14/12)*('Pregnant Outcomes'!$G14))+(('Failure Rates'!C20)*((12-PersonMonthsPregnant!$M14)/12)*('NonPregnant Outcomes'!AH14))</f>
        <v>440.00000000000006</v>
      </c>
      <c r="AI14" s="46">
        <f>((1-'Failure Rates'!D20)*('NonPregnant Outcomes'!AI14))+(('Failure Rates'!D20)*(PersonMonthsPregnant!$M14/12)*('Pregnant Outcomes'!$G14))+(('Failure Rates'!D20)*((12-PersonMonthsPregnant!$M14)/12)*('NonPregnant Outcomes'!AI14))</f>
        <v>440.00000000000006</v>
      </c>
      <c r="AJ14" s="46">
        <f>((1-'Failure Rates'!E20)*('NonPregnant Outcomes'!AJ14))+(('Failure Rates'!E20)*(PersonMonthsPregnant!$M14/12)*('Pregnant Outcomes'!$G14))+(('Failure Rates'!E20)*((12-PersonMonthsPregnant!$M14)/12)*('NonPregnant Outcomes'!AJ14))</f>
        <v>440.00000000000006</v>
      </c>
      <c r="AK14" s="46">
        <f>((1-'Failure Rates'!F20)*('NonPregnant Outcomes'!AK14))+(('Failure Rates'!F20)*(PersonMonthsPregnant!$M42/12)*('Pregnant Outcomes'!$G14))+(('Failure Rates'!F20)*((12-PersonMonthsPregnant!$M42)/12)*('NonPregnant Outcomes'!AK14))</f>
        <v>440.00000000000006</v>
      </c>
      <c r="AL14" s="46">
        <f>((1-'Failure Rates'!G20)*('NonPregnant Outcomes'!AL14))+(('Failure Rates'!G20)*(PersonMonthsPregnant!$M42/12)*('Pregnant Outcomes'!$G14))+(('Failure Rates'!G20)*((12-PersonMonthsPregnant!$M42)/12)*('NonPregnant Outcomes'!AL14))</f>
        <v>440.00000000000006</v>
      </c>
      <c r="AM14" s="46">
        <f>((1-'Failure Rates'!H20)*('NonPregnant Outcomes'!AM14))+(('Failure Rates'!H20)*(PersonMonthsPregnant!$M14/12)*('Pregnant Outcomes'!$G14))+(('Failure Rates'!H20)*((12-PersonMonthsPregnant!$M14)/12)*('NonPregnant Outcomes'!AM14))</f>
        <v>440.00000000000006</v>
      </c>
      <c r="AN14" s="46">
        <f>((1-'Failure Rates'!I20)*('NonPregnant Outcomes'!AN14))+(('Failure Rates'!I20)*(PersonMonthsPregnant!$M14/12)*('Pregnant Outcomes'!$G14))+(('Failure Rates'!I20)*((12-PersonMonthsPregnant!$M14)/12)*('NonPregnant Outcomes'!AN14))</f>
        <v>440.00000000000011</v>
      </c>
      <c r="AO14" s="46">
        <f>((1-'Failure Rates'!J20)*('NonPregnant Outcomes'!AO14))+(('Failure Rates'!J20)*(PersonMonthsPregnant!$M14/12)*('Pregnant Outcomes'!$G14))+(('Failure Rates'!J20)*((12-PersonMonthsPregnant!$M14)/12)*('NonPregnant Outcomes'!AO14))</f>
        <v>440.00000000000011</v>
      </c>
      <c r="AP14" s="46">
        <f>((1-'Failure Rates'!K20)*('NonPregnant Outcomes'!AP14))+(('Failure Rates'!K20)*(PersonMonthsPregnant!$M14/12)*('Pregnant Outcomes'!$G14))+(('Failure Rates'!K20)*((12-PersonMonthsPregnant!$M14)/12)*('NonPregnant Outcomes'!AP14))</f>
        <v>440</v>
      </c>
      <c r="AQ14" s="46">
        <f>((1-'Failure Rates'!L20)*('NonPregnant Outcomes'!AQ14))+(('Failure Rates'!L20)*(PersonMonthsPregnant!$M14/12)*('Pregnant Outcomes'!$G14))+(('Failure Rates'!L20)*((12-PersonMonthsPregnant!$M14)/12)*('NonPregnant Outcomes'!AQ14))</f>
        <v>440.00000000000011</v>
      </c>
      <c r="AR14" s="54">
        <f>'Pregnant Outcomes'!$I14</f>
        <v>48</v>
      </c>
      <c r="AS14" s="54">
        <f>(('Failure Rates'!$D20)*('Pregnant Outcomes'!$H14))</f>
        <v>40.590000000000003</v>
      </c>
      <c r="AT14" s="54">
        <f>(('Failure Rates'!$E20)*('Pregnant Outcomes'!$H14))</f>
        <v>40.590000000000003</v>
      </c>
      <c r="AU14" s="54">
        <f>(('Failure Rates'!$F20)*('Pregnant Outcomes'!$J14))</f>
        <v>3.7026000000000003</v>
      </c>
      <c r="AV14" s="54">
        <f>(('Failure Rates'!$G20)*('Pregnant Outcomes'!$K14))</f>
        <v>14.810400000000001</v>
      </c>
      <c r="AW14" s="54">
        <f>(('Failure Rates'!$H20)*('Pregnant Outcomes'!$H14))</f>
        <v>39.6</v>
      </c>
      <c r="AX14" s="54">
        <f>(('Failure Rates'!$I20)*('Pregnant Outcomes'!$H14))</f>
        <v>0.495</v>
      </c>
      <c r="AY14" s="54">
        <f>(('Failure Rates'!$J20)*('Pregnant Outcomes'!$H14))</f>
        <v>83.160000000000011</v>
      </c>
      <c r="AZ14" s="54">
        <f>(('Failure Rates'!$K20)*('Pregnant Outcomes'!$H14))</f>
        <v>175.23</v>
      </c>
      <c r="BA14" s="54">
        <f>('Failure Rates'!$L20)*('Pregnant Outcomes'!$H14)</f>
        <v>841.5</v>
      </c>
    </row>
    <row r="15" spans="1:53" x14ac:dyDescent="0.2">
      <c r="A15" t="s">
        <v>70</v>
      </c>
      <c r="B15" t="s">
        <v>5</v>
      </c>
      <c r="C15" t="str">
        <f t="shared" si="0"/>
        <v>A40_44_Obesity</v>
      </c>
      <c r="D15" s="45">
        <f>((1-'Failure Rates'!C21)*('NonPregnant Outcomes'!D15))+(('Failure Rates'!C21)*(PersonMonthsPregnant!$M15/12)*('Pregnant Outcomes'!$D15))+(('Failure Rates'!C21)*((12-PersonMonthsPregnant!$M15)/12)*('NonPregnant Outcomes'!D15))</f>
        <v>128.12538738399999</v>
      </c>
      <c r="E15" s="45">
        <f>((1-'Failure Rates'!D21)*('NonPregnant Outcomes'!E15))+(('Failure Rates'!D21)*(PersonMonthsPregnant!$M15/12)*('Pregnant Outcomes'!$D15))+(('Failure Rates'!D21)*((12-PersonMonthsPregnant!$M15)/12)*('NonPregnant Outcomes'!E15))</f>
        <v>129.02817654879999</v>
      </c>
      <c r="F15" s="45">
        <f>((1-'Failure Rates'!E21)*('NonPregnant Outcomes'!F15))+(('Failure Rates'!E21)*(PersonMonthsPregnant!$M15/12)*('Pregnant Outcomes'!$D15))+(('Failure Rates'!E21)*((12-PersonMonthsPregnant!$M15)/12)*('NonPregnant Outcomes'!F15))</f>
        <v>129.02817654879999</v>
      </c>
      <c r="G15" s="45">
        <f>((1-'Failure Rates'!F21)*('NonPregnant Outcomes'!G15))+(('Failure Rates'!F21)*(PersonMonthsPregnant!$M43/12)*('Pregnant Outcomes'!$D15))+(('Failure Rates'!F21)*((12-PersonMonthsPregnant!$M43)/12)*('NonPregnant Outcomes'!G15))</f>
        <v>128.04982407450399</v>
      </c>
      <c r="H15" s="45">
        <f>((1-'Failure Rates'!G21)*('NonPregnant Outcomes'!H15))+(('Failure Rates'!G21)*(PersonMonthsPregnant!$M43/12)*('Pregnant Outcomes'!$D15))+(('Failure Rates'!G21)*((12-PersonMonthsPregnant!$M43)/12)*('NonPregnant Outcomes'!H15))</f>
        <v>128.19929629801601</v>
      </c>
      <c r="I15" s="45">
        <f>((1-'Failure Rates'!H21)*('NonPregnant Outcomes'!I15))+(('Failure Rates'!H21)*(PersonMonthsPregnant!$M15/12)*('Pregnant Outcomes'!$D15))+(('Failure Rates'!H21)*((12-PersonMonthsPregnant!$M15)/12)*('NonPregnant Outcomes'!I15))</f>
        <v>129.003099072</v>
      </c>
      <c r="J15" s="45">
        <f>((1-'Failure Rates'!I21)*('NonPregnant Outcomes'!J15))+(('Failure Rates'!I21)*(PersonMonthsPregnant!$M15/12)*('Pregnant Outcomes'!$D15))+(('Failure Rates'!I21)*((12-PersonMonthsPregnant!$M15)/12)*('NonPregnant Outcomes'!J15))</f>
        <v>128.01253873840002</v>
      </c>
      <c r="K15" s="45">
        <f>((1-'Failure Rates'!J21)*('NonPregnant Outcomes'!K15))+(('Failure Rates'!J21)*(PersonMonthsPregnant!$M15/12)*('Pregnant Outcomes'!$D15))+(('Failure Rates'!J21)*((12-PersonMonthsPregnant!$M15)/12)*('NonPregnant Outcomes'!K15))</f>
        <v>130.1065080512</v>
      </c>
      <c r="L15" s="45">
        <f>((1-'Failure Rates'!K21)*('NonPregnant Outcomes'!L15))+(('Failure Rates'!K21)*(PersonMonthsPregnant!$M15/12)*('Pregnant Outcomes'!$D15))+(('Failure Rates'!K21)*((12-PersonMonthsPregnant!$M15)/12)*('NonPregnant Outcomes'!L15))</f>
        <v>132.43871339359998</v>
      </c>
      <c r="M15" s="45">
        <f>((1-'Failure Rates'!L21)*('NonPregnant Outcomes'!M15))+(('Failure Rates'!L21)*(PersonMonthsPregnant!$M15/12)*('Pregnant Outcomes'!$D15))+(('Failure Rates'!L21)*((12-PersonMonthsPregnant!$M15)/12)*('NonPregnant Outcomes'!M15))</f>
        <v>149.31585527999999</v>
      </c>
      <c r="N15" s="46">
        <f>((1-'Failure Rates'!C21)*('NonPregnant Outcomes'!N15))+(('Failure Rates'!C21)*(PersonMonthsPregnant!$M15/12)*('Pregnant Outcomes'!$E15))+(('Failure Rates'!C21)*((12-PersonMonthsPregnant!$M15)/12)*('NonPregnant Outcomes'!N15))</f>
        <v>30.354972985160003</v>
      </c>
      <c r="O15" s="46">
        <f>((1-'Failure Rates'!D21)*('NonPregnant Outcomes'!O15))+(('Failure Rates'!D21)*(PersonMonthsPregnant!$M15/12)*('Pregnant Outcomes'!$E15))+(('Failure Rates'!D21)*((12-PersonMonthsPregnant!$M15)/12)*('NonPregnant Outcomes'!O15))</f>
        <v>31.273498478312</v>
      </c>
      <c r="P15" s="46">
        <f>((1-'Failure Rates'!E21)*('NonPregnant Outcomes'!P15))+(('Failure Rates'!E21)*(PersonMonthsPregnant!$M15/12)*('Pregnant Outcomes'!$E15))+(('Failure Rates'!E21)*((12-PersonMonthsPregnant!$M15)/12)*('NonPregnant Outcomes'!P15))</f>
        <v>31.273498478312</v>
      </c>
      <c r="Q15" s="46">
        <f>((1-'Failure Rates'!F21)*('NonPregnant Outcomes'!Q15))+(('Failure Rates'!F21)*(PersonMonthsPregnant!$M43/12)*('Pregnant Outcomes'!$E15))+(('Failure Rates'!F21)*((12-PersonMonthsPregnant!$M43)/12)*('NonPregnant Outcomes'!Q15))</f>
        <v>30.278092547483961</v>
      </c>
      <c r="R15" s="46">
        <f>((1-'Failure Rates'!G21)*('NonPregnant Outcomes'!R15))+(('Failure Rates'!G21)*(PersonMonthsPregnant!$M43/12)*('Pregnant Outcomes'!$E15))+(('Failure Rates'!G21)*((12-PersonMonthsPregnant!$M43)/12)*('NonPregnant Outcomes'!R15))</f>
        <v>21.392457662515085</v>
      </c>
      <c r="S15" s="46">
        <f>((1-'Failure Rates'!H21)*('NonPregnant Outcomes'!S15))+(('Failure Rates'!H21)*(PersonMonthsPregnant!$M15/12)*('Pregnant Outcomes'!$E15))+(('Failure Rates'!H21)*((12-PersonMonthsPregnant!$M15)/12)*('NonPregnant Outcomes'!S15))</f>
        <v>31.24798388128</v>
      </c>
      <c r="T15" s="46">
        <f>((1-'Failure Rates'!I21)*('NonPregnant Outcomes'!T15))+(('Failure Rates'!I21)*(PersonMonthsPregnant!$M15/12)*('Pregnant Outcomes'!$E15))+(('Failure Rates'!I21)*((12-PersonMonthsPregnant!$M15)/12)*('NonPregnant Outcomes'!T15))</f>
        <v>30.240157298516003</v>
      </c>
      <c r="U15" s="46">
        <f>((1-'Failure Rates'!J21)*('NonPregnant Outcomes'!U15))+(('Failure Rates'!J21)*(PersonMonthsPregnant!$M15/12)*('Pregnant Outcomes'!$E15))+(('Failure Rates'!J21)*((12-PersonMonthsPregnant!$M15)/12)*('NonPregnant Outcomes'!U15))</f>
        <v>32.370626150688004</v>
      </c>
      <c r="V15" s="46">
        <f>((1-'Failure Rates'!K21)*('NonPregnant Outcomes'!V15))+(('Failure Rates'!K21)*(PersonMonthsPregnant!$M15/12)*('Pregnant Outcomes'!$E15))+(('Failure Rates'!K21)*((12-PersonMonthsPregnant!$M15)/12)*('NonPregnant Outcomes'!V15))</f>
        <v>34.743483674663999</v>
      </c>
      <c r="W15" s="46">
        <f>((1-'Failure Rates'!L21)*('NonPregnant Outcomes'!W15))+(('Failure Rates'!L21)*(PersonMonthsPregnant!$M15/12)*('Pregnant Outcomes'!$E15))+(('Failure Rates'!L21)*((12-PersonMonthsPregnant!$M15)/12)*('NonPregnant Outcomes'!W15))</f>
        <v>51.914807477199993</v>
      </c>
      <c r="X15" s="54">
        <f>((1-'Failure Rates'!C21)*('NonPregnant Outcomes'!X15))+(('Failure Rates'!C21)*(VTEPersonMonthsPregnant!$M15/12)*('Pregnant Outcomes'!$F15))+(('Failure Rates'!C21)*((12-VTEPersonMonthsPregnant!$M15)/12)*('NonPregnant Outcomes'!X15))</f>
        <v>86.762321966666661</v>
      </c>
      <c r="Y15" s="54">
        <f>((1-'Failure Rates'!D21)*('NonPregnant Outcomes'!Y15))+(('Failure Rates'!D21)*(VTEPersonMonthsPregnant!$M15/12)*('Pregnant Outcomes'!$F15))+(('Failure Rates'!D21)*((12-VTEPersonMonthsPregnant!$M15)/12)*('NonPregnant Outcomes'!Y15))</f>
        <v>571.70380776066668</v>
      </c>
      <c r="Z15" s="54">
        <f>((1-'Failure Rates'!E21)*('NonPregnant Outcomes'!Z15))+(('Failure Rates'!E21)*(VTEPersonMonthsPregnant!$M15/12)*('Pregnant Outcomes'!$F15))+(('Failure Rates'!E21)*((12-VTEPersonMonthsPregnant!$M15)/12)*('NonPregnant Outcomes'!Z15))</f>
        <v>106.65104012666666</v>
      </c>
      <c r="AA15" s="54">
        <f>((1-'Failure Rates'!F21)*('NonPregnant Outcomes'!AA15))+(('Failure Rates'!F21)*(VTEPersonMonthsPregnant!$M43/12)*('Pregnant Outcomes'!$F15))+(('Failure Rates'!F21)*((12-VTEPersonMonthsPregnant!$M43)/12)*('NonPregnant Outcomes'!AA15))</f>
        <v>85.09617751466665</v>
      </c>
      <c r="AB15" s="54">
        <f>((1-'Failure Rates'!G21)*('NonPregnant Outcomes'!AB15))+(('Failure Rates'!G21)*(VTEPersonMonthsPregnant!$M43/12)*('Pregnant Outcomes'!$F15))+(('Failure Rates'!G21)*((12-VTEPersonMonthsPregnant!$M43)/12)*('NonPregnant Outcomes'!AB15))</f>
        <v>88.38471005866667</v>
      </c>
      <c r="AC15" s="54">
        <f>((1-'Failure Rates'!H21)*('NonPregnant Outcomes'!AC15))+(('Failure Rates'!H21)*(VTEPersonMonthsPregnant!$M15/12)*('Pregnant Outcomes'!$F15))+(('Failure Rates'!H21)*((12-VTEPersonMonthsPregnant!$M15)/12)*('NonPregnant Outcomes'!AC15))</f>
        <v>243.62547786133334</v>
      </c>
      <c r="AD15" s="54">
        <f>((1-'Failure Rates'!I21)*('NonPregnant Outcomes'!AD15))+(('Failure Rates'!I21)*(VTEPersonMonthsPregnant!$M15/12)*('Pregnant Outcomes'!$F15))+(('Failure Rates'!I21)*((12-VTEPersonMonthsPregnant!$M15)/12)*('NonPregnant Outcomes'!AD15))</f>
        <v>84.276232196666669</v>
      </c>
      <c r="AE15" s="54">
        <f>((1-'Failure Rates'!J21)*('NonPregnant Outcomes'!AE15))+(('Failure Rates'!J21)*(VTEPersonMonthsPregnant!$M15/12)*('Pregnant Outcomes'!$F15))+(('Failure Rates'!J21)*((12-VTEPersonMonthsPregnant!$M15)/12)*('NonPregnant Outcomes'!AE15))</f>
        <v>130.40700903999999</v>
      </c>
      <c r="AF15" s="54">
        <f>((1-'Failure Rates'!K21)*('NonPregnant Outcomes'!AF15))+(('Failure Rates'!K21)*(VTEPersonMonthsPregnant!$M15/12)*('Pregnant Outcomes'!$F15))+(('Failure Rates'!K21)*((12-VTEPersonMonthsPregnant!$M15)/12)*('NonPregnant Outcomes'!AF15))</f>
        <v>181.78619761999997</v>
      </c>
      <c r="AG15" s="54">
        <f>((1-'Failure Rates'!L21)*('NonPregnant Outcomes'!AG15))+(('Failure Rates'!L21)*(VTEPersonMonthsPregnant!$M15/12)*('Pregnant Outcomes'!$F15))+(('Failure Rates'!L21)*((12-VTEPersonMonthsPregnant!$M15)/12)*('NonPregnant Outcomes'!AG15))</f>
        <v>553.59473433333335</v>
      </c>
      <c r="AH15" s="46">
        <f>((1-'Failure Rates'!C21)*('NonPregnant Outcomes'!AH15))+(('Failure Rates'!C21)*(PersonMonthsPregnant!$M15/12)*('Pregnant Outcomes'!$G15))+(('Failure Rates'!C21)*((12-PersonMonthsPregnant!$M15)/12)*('NonPregnant Outcomes'!AH15))</f>
        <v>280</v>
      </c>
      <c r="AI15" s="46">
        <f>((1-'Failure Rates'!D21)*('NonPregnant Outcomes'!AI15))+(('Failure Rates'!D21)*(PersonMonthsPregnant!$M15/12)*('Pregnant Outcomes'!$G15))+(('Failure Rates'!D21)*((12-PersonMonthsPregnant!$M15)/12)*('NonPregnant Outcomes'!AI15))</f>
        <v>280</v>
      </c>
      <c r="AJ15" s="46">
        <f>((1-'Failure Rates'!E21)*('NonPregnant Outcomes'!AJ15))+(('Failure Rates'!E21)*(PersonMonthsPregnant!$M15/12)*('Pregnant Outcomes'!$G15))+(('Failure Rates'!E21)*((12-PersonMonthsPregnant!$M15)/12)*('NonPregnant Outcomes'!AJ15))</f>
        <v>280</v>
      </c>
      <c r="AK15" s="46">
        <f>((1-'Failure Rates'!F21)*('NonPregnant Outcomes'!AK15))+(('Failure Rates'!F21)*(PersonMonthsPregnant!$M43/12)*('Pregnant Outcomes'!$G15))+(('Failure Rates'!F21)*((12-PersonMonthsPregnant!$M43)/12)*('NonPregnant Outcomes'!AK15))</f>
        <v>280</v>
      </c>
      <c r="AL15" s="46">
        <f>((1-'Failure Rates'!G21)*('NonPregnant Outcomes'!AL15))+(('Failure Rates'!G21)*(PersonMonthsPregnant!$M43/12)*('Pregnant Outcomes'!$G15))+(('Failure Rates'!G21)*((12-PersonMonthsPregnant!$M43)/12)*('NonPregnant Outcomes'!AL15))</f>
        <v>280</v>
      </c>
      <c r="AM15" s="46">
        <f>((1-'Failure Rates'!H21)*('NonPregnant Outcomes'!AM15))+(('Failure Rates'!H21)*(PersonMonthsPregnant!$M15/12)*('Pregnant Outcomes'!$G15))+(('Failure Rates'!H21)*((12-PersonMonthsPregnant!$M15)/12)*('NonPregnant Outcomes'!AM15))</f>
        <v>280</v>
      </c>
      <c r="AN15" s="46">
        <f>((1-'Failure Rates'!I21)*('NonPregnant Outcomes'!AN15))+(('Failure Rates'!I21)*(PersonMonthsPregnant!$M15/12)*('Pregnant Outcomes'!$G15))+(('Failure Rates'!I21)*((12-PersonMonthsPregnant!$M15)/12)*('NonPregnant Outcomes'!AN15))</f>
        <v>280</v>
      </c>
      <c r="AO15" s="46">
        <f>((1-'Failure Rates'!J21)*('NonPregnant Outcomes'!AO15))+(('Failure Rates'!J21)*(PersonMonthsPregnant!$M15/12)*('Pregnant Outcomes'!$G15))+(('Failure Rates'!J21)*((12-PersonMonthsPregnant!$M15)/12)*('NonPregnant Outcomes'!AO15))</f>
        <v>280.00000000000006</v>
      </c>
      <c r="AP15" s="46">
        <f>((1-'Failure Rates'!K21)*('NonPregnant Outcomes'!AP15))+(('Failure Rates'!K21)*(PersonMonthsPregnant!$M15/12)*('Pregnant Outcomes'!$G15))+(('Failure Rates'!K21)*((12-PersonMonthsPregnant!$M15)/12)*('NonPregnant Outcomes'!AP15))</f>
        <v>280</v>
      </c>
      <c r="AQ15" s="46">
        <f>((1-'Failure Rates'!L21)*('NonPregnant Outcomes'!AQ15))+(('Failure Rates'!L21)*(PersonMonthsPregnant!$M15/12)*('Pregnant Outcomes'!$G15))+(('Failure Rates'!L21)*((12-PersonMonthsPregnant!$M15)/12)*('NonPregnant Outcomes'!AQ15))</f>
        <v>280</v>
      </c>
      <c r="AR15" s="54">
        <f>'Pregnant Outcomes'!$I15</f>
        <v>48</v>
      </c>
      <c r="AS15" s="54">
        <f>(('Failure Rates'!$D21)*('Pregnant Outcomes'!$H15))</f>
        <v>40.18</v>
      </c>
      <c r="AT15" s="54">
        <f>(('Failure Rates'!$E21)*('Pregnant Outcomes'!$H15))</f>
        <v>40.18</v>
      </c>
      <c r="AU15" s="54">
        <f>(('Failure Rates'!$F21)*('Pregnant Outcomes'!$J15))</f>
        <v>3.6652000000000005</v>
      </c>
      <c r="AV15" s="54">
        <f>(('Failure Rates'!$G21)*('Pregnant Outcomes'!$K15))</f>
        <v>14.660800000000002</v>
      </c>
      <c r="AW15" s="54">
        <f>(('Failure Rates'!$H21)*('Pregnant Outcomes'!$H15))</f>
        <v>39.200000000000003</v>
      </c>
      <c r="AX15" s="54">
        <f>(('Failure Rates'!$I21)*('Pregnant Outcomes'!$H15))</f>
        <v>0.49</v>
      </c>
      <c r="AY15" s="54">
        <f>(('Failure Rates'!$J21)*('Pregnant Outcomes'!$H15))</f>
        <v>82.320000000000007</v>
      </c>
      <c r="AZ15" s="54">
        <f>(('Failure Rates'!$K21)*('Pregnant Outcomes'!$H15))</f>
        <v>173.45999999999998</v>
      </c>
      <c r="BA15" s="54">
        <f>('Failure Rates'!$L21)*('Pregnant Outcomes'!$H15)</f>
        <v>833</v>
      </c>
    </row>
    <row r="16" spans="1:53" x14ac:dyDescent="0.2">
      <c r="A16" t="s">
        <v>71</v>
      </c>
      <c r="B16" t="s">
        <v>5</v>
      </c>
      <c r="C16" t="str">
        <f t="shared" si="0"/>
        <v>A45_49_Obesity</v>
      </c>
      <c r="D16" s="45">
        <f>((1-'Failure Rates'!C22)*('NonPregnant Outcomes'!D16))+(('Failure Rates'!C22)*(PersonMonthsPregnant!$M16/12)*('Pregnant Outcomes'!$D16))+(('Failure Rates'!C22)*((12-PersonMonthsPregnant!$M16)/12)*('NonPregnant Outcomes'!D16))</f>
        <v>225.19948453600003</v>
      </c>
      <c r="E16" s="45">
        <f>((1-'Failure Rates'!D22)*('NonPregnant Outcomes'!E16))+(('Failure Rates'!D22)*(PersonMonthsPregnant!$M16/12)*('Pregnant Outcomes'!$D16))+(('Failure Rates'!D22)*((12-PersonMonthsPregnant!$M16)/12)*('NonPregnant Outcomes'!E16))</f>
        <v>224.6197731952</v>
      </c>
      <c r="F16" s="45">
        <f>((1-'Failure Rates'!E22)*('NonPregnant Outcomes'!F16))+(('Failure Rates'!E22)*(PersonMonthsPregnant!$M16/12)*('Pregnant Outcomes'!$D16))+(('Failure Rates'!E22)*((12-PersonMonthsPregnant!$M16)/12)*('NonPregnant Outcomes'!F16))</f>
        <v>224.6197731952</v>
      </c>
      <c r="G16" s="45">
        <f>((1-'Failure Rates'!F22)*('NonPregnant Outcomes'!G16))+(('Failure Rates'!F22)*(PersonMonthsPregnant!$M44/12)*('Pregnant Outcomes'!$D16))+(('Failure Rates'!F22)*((12-PersonMonthsPregnant!$M44)/12)*('NonPregnant Outcomes'!G16))</f>
        <v>225.24800628301603</v>
      </c>
      <c r="H16" s="45">
        <f>((1-'Failure Rates'!G22)*('NonPregnant Outcomes'!H16))+(('Failure Rates'!G22)*(PersonMonthsPregnant!$M44/12)*('Pregnant Outcomes'!$D16))+(('Failure Rates'!G22)*((12-PersonMonthsPregnant!$M44)/12)*('NonPregnant Outcomes'!H16))</f>
        <v>225.15202513206401</v>
      </c>
      <c r="I16" s="45">
        <f>((1-'Failure Rates'!H22)*('NonPregnant Outcomes'!I16))+(('Failure Rates'!H22)*(PersonMonthsPregnant!$M16/12)*('Pregnant Outcomes'!$D16))+(('Failure Rates'!H22)*((12-PersonMonthsPregnant!$M16)/12)*('NonPregnant Outcomes'!I16))</f>
        <v>224.63587628799999</v>
      </c>
      <c r="J16" s="45">
        <f>((1-'Failure Rates'!I22)*('NonPregnant Outcomes'!J16))+(('Failure Rates'!I22)*(PersonMonthsPregnant!$M16/12)*('Pregnant Outcomes'!$D16))+(('Failure Rates'!I22)*((12-PersonMonthsPregnant!$M16)/12)*('NonPregnant Outcomes'!J16))</f>
        <v>225.2719484536</v>
      </c>
      <c r="K16" s="45">
        <f>((1-'Failure Rates'!J22)*('NonPregnant Outcomes'!K16))+(('Failure Rates'!J22)*(PersonMonthsPregnant!$M16/12)*('Pregnant Outcomes'!$D16))+(('Failure Rates'!J22)*((12-PersonMonthsPregnant!$M16)/12)*('NonPregnant Outcomes'!K16))</f>
        <v>223.9273402048</v>
      </c>
      <c r="L16" s="45">
        <f>((1-'Failure Rates'!K22)*('NonPregnant Outcomes'!L16))+(('Failure Rates'!K22)*(PersonMonthsPregnant!$M16/12)*('Pregnant Outcomes'!$D16))+(('Failure Rates'!K22)*((12-PersonMonthsPregnant!$M16)/12)*('NonPregnant Outcomes'!L16))</f>
        <v>222.4297525744</v>
      </c>
      <c r="M16" s="45">
        <f>((1-'Failure Rates'!L22)*('NonPregnant Outcomes'!M16))+(('Failure Rates'!L22)*(PersonMonthsPregnant!$M16/12)*('Pregnant Outcomes'!$D16))+(('Failure Rates'!L22)*((12-PersonMonthsPregnant!$M16)/12)*('NonPregnant Outcomes'!M16))</f>
        <v>211.59237112</v>
      </c>
      <c r="N16" s="46">
        <f>((1-'Failure Rates'!C22)*('NonPregnant Outcomes'!N16))+(('Failure Rates'!C22)*(PersonMonthsPregnant!$M16/12)*('Pregnant Outcomes'!$E16))+(('Failure Rates'!C22)*((12-PersonMonthsPregnant!$M16)/12)*('NonPregnant Outcomes'!N16))</f>
        <v>30.354972985160003</v>
      </c>
      <c r="O16" s="46">
        <f>((1-'Failure Rates'!D22)*('NonPregnant Outcomes'!O16))+(('Failure Rates'!D22)*(PersonMonthsPregnant!$M16/12)*('Pregnant Outcomes'!$E16))+(('Failure Rates'!D22)*((12-PersonMonthsPregnant!$M16)/12)*('NonPregnant Outcomes'!O16))</f>
        <v>31.273498478312</v>
      </c>
      <c r="P16" s="46">
        <f>((1-'Failure Rates'!E22)*('NonPregnant Outcomes'!P16))+(('Failure Rates'!E22)*(PersonMonthsPregnant!$M16/12)*('Pregnant Outcomes'!$E16))+(('Failure Rates'!E22)*((12-PersonMonthsPregnant!$M16)/12)*('NonPregnant Outcomes'!P16))</f>
        <v>31.273498478312</v>
      </c>
      <c r="Q16" s="46">
        <f>((1-'Failure Rates'!F22)*('NonPregnant Outcomes'!Q16))+(('Failure Rates'!F22)*(PersonMonthsPregnant!$M44/12)*('Pregnant Outcomes'!$E16))+(('Failure Rates'!F22)*((12-PersonMonthsPregnant!$M44)/12)*('NonPregnant Outcomes'!Q16))</f>
        <v>30.278092547483961</v>
      </c>
      <c r="R16" s="46">
        <f>((1-'Failure Rates'!G22)*('NonPregnant Outcomes'!R16))+(('Failure Rates'!G22)*(PersonMonthsPregnant!$M44/12)*('Pregnant Outcomes'!$E16))+(('Failure Rates'!G22)*((12-PersonMonthsPregnant!$M44)/12)*('NonPregnant Outcomes'!R16))</f>
        <v>21.392457662515085</v>
      </c>
      <c r="S16" s="46">
        <f>((1-'Failure Rates'!H22)*('NonPregnant Outcomes'!S16))+(('Failure Rates'!H22)*(PersonMonthsPregnant!$M16/12)*('Pregnant Outcomes'!$E16))+(('Failure Rates'!H22)*((12-PersonMonthsPregnant!$M16)/12)*('NonPregnant Outcomes'!S16))</f>
        <v>31.24798388128</v>
      </c>
      <c r="T16" s="46">
        <f>((1-'Failure Rates'!I22)*('NonPregnant Outcomes'!T16))+(('Failure Rates'!I22)*(PersonMonthsPregnant!$M16/12)*('Pregnant Outcomes'!$E16))+(('Failure Rates'!I22)*((12-PersonMonthsPregnant!$M16)/12)*('NonPregnant Outcomes'!T16))</f>
        <v>30.240157298516003</v>
      </c>
      <c r="U16" s="46">
        <f>((1-'Failure Rates'!J22)*('NonPregnant Outcomes'!U16))+(('Failure Rates'!J22)*(PersonMonthsPregnant!$M16/12)*('Pregnant Outcomes'!$E16))+(('Failure Rates'!J22)*((12-PersonMonthsPregnant!$M16)/12)*('NonPregnant Outcomes'!U16))</f>
        <v>32.370626150688004</v>
      </c>
      <c r="V16" s="46">
        <f>((1-'Failure Rates'!K22)*('NonPregnant Outcomes'!V16))+(('Failure Rates'!K22)*(PersonMonthsPregnant!$M16/12)*('Pregnant Outcomes'!$E16))+(('Failure Rates'!K22)*((12-PersonMonthsPregnant!$M16)/12)*('NonPregnant Outcomes'!V16))</f>
        <v>34.743483674663999</v>
      </c>
      <c r="W16" s="46">
        <f>((1-'Failure Rates'!L22)*('NonPregnant Outcomes'!W16))+(('Failure Rates'!L22)*(PersonMonthsPregnant!$M16/12)*('Pregnant Outcomes'!$E16))+(('Failure Rates'!L22)*((12-PersonMonthsPregnant!$M16)/12)*('NonPregnant Outcomes'!W16))</f>
        <v>51.914807477199993</v>
      </c>
      <c r="X16" s="54">
        <f>((1-'Failure Rates'!C22)*('NonPregnant Outcomes'!X16))+(('Failure Rates'!C22)*(VTEPersonMonthsPregnant!$M16/12)*('Pregnant Outcomes'!$F16))+(('Failure Rates'!C22)*((12-VTEPersonMonthsPregnant!$M16)/12)*('NonPregnant Outcomes'!X16))</f>
        <v>98.732883366666655</v>
      </c>
      <c r="Y16" s="54">
        <f>((1-'Failure Rates'!D22)*('NonPregnant Outcomes'!Y16))+(('Failure Rates'!D22)*(VTEPersonMonthsPregnant!$M16/12)*('Pregnant Outcomes'!$F16))+(('Failure Rates'!D22)*((12-VTEPersonMonthsPregnant!$M16)/12)*('NonPregnant Outcomes'!Y16))</f>
        <v>649.89852090266663</v>
      </c>
      <c r="Z16" s="54">
        <f>((1-'Failure Rates'!E22)*('NonPregnant Outcomes'!Z16))+(('Failure Rates'!E22)*(VTEPersonMonthsPregnant!$M16/12)*('Pregnant Outcomes'!$F16))+(('Failure Rates'!E22)*((12-VTEPersonMonthsPregnant!$M16)/12)*('NonPregnant Outcomes'!Z16))</f>
        <v>118.40964360666666</v>
      </c>
      <c r="AA16" s="54">
        <f>((1-'Failure Rates'!F22)*('NonPregnant Outcomes'!AA16))+(('Failure Rates'!F22)*(VTEPersonMonthsPregnant!$M44/12)*('Pregnant Outcomes'!$F16))+(('Failure Rates'!F22)*((12-VTEPersonMonthsPregnant!$M44)/12)*('NonPregnant Outcomes'!AA16))</f>
        <v>97.084495338666656</v>
      </c>
      <c r="AB16" s="54">
        <f>((1-'Failure Rates'!G22)*('NonPregnant Outcomes'!AB16))+(('Failure Rates'!G22)*(VTEPersonMonthsPregnant!$M44/12)*('Pregnant Outcomes'!$F16))+(('Failure Rates'!G22)*((12-VTEPersonMonthsPregnant!$M44)/12)*('NonPregnant Outcomes'!AB16))</f>
        <v>100.33798135466667</v>
      </c>
      <c r="AC16" s="54">
        <f>((1-'Failure Rates'!H22)*('NonPregnant Outcomes'!AC16))+(('Failure Rates'!H22)*(VTEPersonMonthsPregnant!$M16/12)*('Pregnant Outcomes'!$F16))+(('Failure Rates'!H22)*((12-VTEPersonMonthsPregnant!$M16)/12)*('NonPregnant Outcomes'!AC16))</f>
        <v>275.0366693653333</v>
      </c>
      <c r="AD16" s="54">
        <f>((1-'Failure Rates'!I22)*('NonPregnant Outcomes'!AD16))+(('Failure Rates'!I22)*(VTEPersonMonthsPregnant!$M16/12)*('Pregnant Outcomes'!$F16))+(('Failure Rates'!I22)*((12-VTEPersonMonthsPregnant!$M16)/12)*('NonPregnant Outcomes'!AD16))</f>
        <v>96.273288336666667</v>
      </c>
      <c r="AE16" s="54">
        <f>((1-'Failure Rates'!J22)*('NonPregnant Outcomes'!AE16))+(('Failure Rates'!J22)*(VTEPersonMonthsPregnant!$M16/12)*('Pregnant Outcomes'!$F16))+(('Failure Rates'!J22)*((12-VTEPersonMonthsPregnant!$M16)/12)*('NonPregnant Outcomes'!AE16))</f>
        <v>141.91244056000002</v>
      </c>
      <c r="AF16" s="54">
        <f>((1-'Failure Rates'!K22)*('NonPregnant Outcomes'!AF16))+(('Failure Rates'!K22)*(VTEPersonMonthsPregnant!$M16/12)*('Pregnant Outcomes'!$F16))+(('Failure Rates'!K22)*((12-VTEPersonMonthsPregnant!$M16)/12)*('NonPregnant Outcomes'!AF16))</f>
        <v>192.74407117999999</v>
      </c>
      <c r="AG16" s="54">
        <f>((1-'Failure Rates'!L22)*('NonPregnant Outcomes'!AG16))+(('Failure Rates'!L22)*(VTEPersonMonthsPregnant!$M16/12)*('Pregnant Outcomes'!$F16))+(('Failure Rates'!L22)*((12-VTEPersonMonthsPregnant!$M16)/12)*('NonPregnant Outcomes'!AG16))</f>
        <v>560.59017233333327</v>
      </c>
      <c r="AH16" s="46">
        <f>((1-'Failure Rates'!C22)*('NonPregnant Outcomes'!AH16))+(('Failure Rates'!C22)*(PersonMonthsPregnant!$M16/12)*('Pregnant Outcomes'!$G16))+(('Failure Rates'!C22)*((12-PersonMonthsPregnant!$M16)/12)*('NonPregnant Outcomes'!AH16))</f>
        <v>280</v>
      </c>
      <c r="AI16" s="46">
        <f>((1-'Failure Rates'!D22)*('NonPregnant Outcomes'!AI16))+(('Failure Rates'!D22)*(PersonMonthsPregnant!$M16/12)*('Pregnant Outcomes'!$G16))+(('Failure Rates'!D22)*((12-PersonMonthsPregnant!$M16)/12)*('NonPregnant Outcomes'!AI16))</f>
        <v>280</v>
      </c>
      <c r="AJ16" s="46">
        <f>((1-'Failure Rates'!E22)*('NonPregnant Outcomes'!AJ16))+(('Failure Rates'!E22)*(PersonMonthsPregnant!$M16/12)*('Pregnant Outcomes'!$G16))+(('Failure Rates'!E22)*((12-PersonMonthsPregnant!$M16)/12)*('NonPregnant Outcomes'!AJ16))</f>
        <v>280</v>
      </c>
      <c r="AK16" s="46">
        <f>((1-'Failure Rates'!F22)*('NonPregnant Outcomes'!AK16))+(('Failure Rates'!F22)*(PersonMonthsPregnant!$M44/12)*('Pregnant Outcomes'!$G16))+(('Failure Rates'!F22)*((12-PersonMonthsPregnant!$M44)/12)*('NonPregnant Outcomes'!AK16))</f>
        <v>280</v>
      </c>
      <c r="AL16" s="46">
        <f>((1-'Failure Rates'!G22)*('NonPregnant Outcomes'!AL16))+(('Failure Rates'!G22)*(PersonMonthsPregnant!$M44/12)*('Pregnant Outcomes'!$G16))+(('Failure Rates'!G22)*((12-PersonMonthsPregnant!$M44)/12)*('NonPregnant Outcomes'!AL16))</f>
        <v>280</v>
      </c>
      <c r="AM16" s="46">
        <f>((1-'Failure Rates'!H22)*('NonPregnant Outcomes'!AM16))+(('Failure Rates'!H22)*(PersonMonthsPregnant!$M16/12)*('Pregnant Outcomes'!$G16))+(('Failure Rates'!H22)*((12-PersonMonthsPregnant!$M16)/12)*('NonPregnant Outcomes'!AM16))</f>
        <v>280</v>
      </c>
      <c r="AN16" s="46">
        <f>((1-'Failure Rates'!I22)*('NonPregnant Outcomes'!AN16))+(('Failure Rates'!I22)*(PersonMonthsPregnant!$M16/12)*('Pregnant Outcomes'!$G16))+(('Failure Rates'!I22)*((12-PersonMonthsPregnant!$M16)/12)*('NonPregnant Outcomes'!AN16))</f>
        <v>280</v>
      </c>
      <c r="AO16" s="46">
        <f>((1-'Failure Rates'!J22)*('NonPregnant Outcomes'!AO16))+(('Failure Rates'!J22)*(PersonMonthsPregnant!$M16/12)*('Pregnant Outcomes'!$G16))+(('Failure Rates'!J22)*((12-PersonMonthsPregnant!$M16)/12)*('NonPregnant Outcomes'!AO16))</f>
        <v>280.00000000000006</v>
      </c>
      <c r="AP16" s="46">
        <f>((1-'Failure Rates'!K22)*('NonPregnant Outcomes'!AP16))+(('Failure Rates'!K22)*(PersonMonthsPregnant!$M16/12)*('Pregnant Outcomes'!$G16))+(('Failure Rates'!K22)*((12-PersonMonthsPregnant!$M16)/12)*('NonPregnant Outcomes'!AP16))</f>
        <v>280</v>
      </c>
      <c r="AQ16" s="46">
        <f>((1-'Failure Rates'!L22)*('NonPregnant Outcomes'!AQ16))+(('Failure Rates'!L22)*(PersonMonthsPregnant!$M16/12)*('Pregnant Outcomes'!$G16))+(('Failure Rates'!L22)*((12-PersonMonthsPregnant!$M16)/12)*('NonPregnant Outcomes'!AQ16))</f>
        <v>280</v>
      </c>
      <c r="AR16" s="54">
        <f>'Pregnant Outcomes'!$I16</f>
        <v>48</v>
      </c>
      <c r="AS16" s="54">
        <f>(('Failure Rates'!$D22)*('Pregnant Outcomes'!$H16))</f>
        <v>40.18</v>
      </c>
      <c r="AT16" s="54">
        <f>(('Failure Rates'!$E22)*('Pregnant Outcomes'!$H16))</f>
        <v>40.18</v>
      </c>
      <c r="AU16" s="54">
        <f>(('Failure Rates'!$F22)*('Pregnant Outcomes'!$J16))</f>
        <v>3.6652000000000005</v>
      </c>
      <c r="AV16" s="54">
        <f>(('Failure Rates'!$G22)*('Pregnant Outcomes'!$K16))</f>
        <v>14.660800000000002</v>
      </c>
      <c r="AW16" s="54">
        <f>(('Failure Rates'!$H22)*('Pregnant Outcomes'!$H16))</f>
        <v>39.200000000000003</v>
      </c>
      <c r="AX16" s="54">
        <f>(('Failure Rates'!$I22)*('Pregnant Outcomes'!$H16))</f>
        <v>0.49</v>
      </c>
      <c r="AY16" s="54">
        <f>(('Failure Rates'!$J22)*('Pregnant Outcomes'!$H16))</f>
        <v>82.320000000000007</v>
      </c>
      <c r="AZ16" s="54">
        <f>(('Failure Rates'!$K22)*('Pregnant Outcomes'!$H16))</f>
        <v>173.45999999999998</v>
      </c>
      <c r="BA16" s="54">
        <f>('Failure Rates'!$L22)*('Pregnant Outcomes'!$H16)</f>
        <v>833</v>
      </c>
    </row>
    <row r="17" spans="1:53" x14ac:dyDescent="0.2">
      <c r="A17" t="s">
        <v>66</v>
      </c>
      <c r="B17" t="s">
        <v>6</v>
      </c>
      <c r="C17" t="str">
        <f t="shared" si="0"/>
        <v>A15_19_Htn</v>
      </c>
      <c r="D17" s="45">
        <f>((1-'Failure Rates'!C23)*('NonPregnant Outcomes'!D17))+(('Failure Rates'!C23)*(PersonMonthsPregnant!$M17/12)*('Pregnant Outcomes'!$D17))+(('Failure Rates'!C23)*((12-PersonMonthsPregnant!$M17)/12)*('NonPregnant Outcomes'!D17))</f>
        <v>4.1634758963333329</v>
      </c>
      <c r="E17" s="45">
        <f>((1-'Failure Rates'!D23)*('NonPregnant Outcomes'!E17))+(('Failure Rates'!D23)*(PersonMonthsPregnant!$M17/12)*('Pregnant Outcomes'!$D17))+(('Failure Rates'!D23)*((12-PersonMonthsPregnant!$M17)/12)*('NonPregnant Outcomes'!E17))</f>
        <v>6.5502239828000004</v>
      </c>
      <c r="F17" s="45">
        <f>((1-'Failure Rates'!E23)*('NonPregnant Outcomes'!F17))+(('Failure Rates'!E23)*(PersonMonthsPregnant!$M17/12)*('Pregnant Outcomes'!$D17))+(('Failure Rates'!E23)*((12-PersonMonthsPregnant!$M17)/12)*('NonPregnant Outcomes'!F17))</f>
        <v>6.5502239828000004</v>
      </c>
      <c r="G17" s="45">
        <f>((1-'Failure Rates'!F23)*('NonPregnant Outcomes'!G17))+(('Failure Rates'!F23)*(PersonMonthsPregnant!$M45/12)*('Pregnant Outcomes'!$D17))+(('Failure Rates'!F23)*((12-PersonMonthsPregnant!$M45)/12)*('NonPregnant Outcomes'!G17))</f>
        <v>4.065246054417333</v>
      </c>
      <c r="H17" s="45">
        <f>((1-'Failure Rates'!G23)*('NonPregnant Outcomes'!H17))+(('Failure Rates'!G23)*(PersonMonthsPregnant!$M45/12)*('Pregnant Outcomes'!$D17))+(('Failure Rates'!G23)*((12-PersonMonthsPregnant!$M45)/12)*('NonPregnant Outcomes'!H17))</f>
        <v>4.2609842176693338</v>
      </c>
      <c r="I17" s="45">
        <f>((1-'Failure Rates'!H23)*('NonPregnant Outcomes'!I17))+(('Failure Rates'!H23)*(PersonMonthsPregnant!$M17/12)*('Pregnant Outcomes'!$D17))+(('Failure Rates'!H23)*((12-PersonMonthsPregnant!$M17)/12)*('NonPregnant Outcomes'!I17))</f>
        <v>5.307807170666667</v>
      </c>
      <c r="J17" s="45">
        <f>((1-'Failure Rates'!I23)*('NonPregnant Outcomes'!J17))+(('Failure Rates'!I23)*(PersonMonthsPregnant!$M17/12)*('Pregnant Outcomes'!$D17))+(('Failure Rates'!I23)*((12-PersonMonthsPregnant!$M17)/12)*('NonPregnant Outcomes'!J17))</f>
        <v>4.0163475896333338</v>
      </c>
      <c r="K17" s="45">
        <f>((1-'Failure Rates'!J23)*('NonPregnant Outcomes'!K17))+(('Failure Rates'!J23)*(PersonMonthsPregnant!$M17/12)*('Pregnant Outcomes'!$D17))+(('Failure Rates'!J23)*((12-PersonMonthsPregnant!$M17)/12)*('NonPregnant Outcomes'!K17))</f>
        <v>9.2312286826666661</v>
      </c>
      <c r="L17" s="45">
        <f>((1-'Failure Rates'!K23)*('NonPregnant Outcomes'!L17))+(('Failure Rates'!K23)*(PersonMonthsPregnant!$M17/12)*('Pregnant Outcomes'!$D17))+(('Failure Rates'!K23)*((12-PersonMonthsPregnant!$M17)/12)*('NonPregnant Outcomes'!L17))</f>
        <v>10.865987646000001</v>
      </c>
      <c r="M17" s="45">
        <f>((1-'Failure Rates'!L23)*('NonPregnant Outcomes'!M17))+(('Failure Rates'!L23)*(PersonMonthsPregnant!$M17/12)*('Pregnant Outcomes'!$D17))+(('Failure Rates'!L23)*((12-PersonMonthsPregnant!$M17)/12)*('NonPregnant Outcomes'!M17))</f>
        <v>31.790902376666665</v>
      </c>
      <c r="N17" s="46">
        <f>((1-'Failure Rates'!C23)*('NonPregnant Outcomes'!N17))+(('Failure Rates'!C23)*(PersonMonthsPregnant!$M17/12)*('Pregnant Outcomes'!$E17))+(('Failure Rates'!C23)*((12-PersonMonthsPregnant!$M17)/12)*('NonPregnant Outcomes'!N17))</f>
        <v>4.7081387769583332</v>
      </c>
      <c r="O17" s="46">
        <f>((1-'Failure Rates'!D23)*('NonPregnant Outcomes'!O17))+(('Failure Rates'!D23)*(PersonMonthsPregnant!$M17/12)*('Pregnant Outcomes'!$E17))+(('Failure Rates'!D23)*((12-PersonMonthsPregnant!$M17)/12)*('NonPregnant Outcomes'!O17))</f>
        <v>10.995464920550001</v>
      </c>
      <c r="P17" s="46">
        <f>((1-'Failure Rates'!E23)*('NonPregnant Outcomes'!P17))+(('Failure Rates'!E23)*(PersonMonthsPregnant!$M17/12)*('Pregnant Outcomes'!$E17))+(('Failure Rates'!E23)*((12-PersonMonthsPregnant!$M17)/12)*('NonPregnant Outcomes'!P17))</f>
        <v>10.995464920550001</v>
      </c>
      <c r="Q17" s="46">
        <f>((1-'Failure Rates'!F23)*('NonPregnant Outcomes'!Q17))+(('Failure Rates'!F23)*(PersonMonthsPregnant!$M45/12)*('Pregnant Outcomes'!$E17))+(('Failure Rates'!F23)*((12-PersonMonthsPregnant!$M45)/12)*('NonPregnant Outcomes'!Q17))</f>
        <v>4.4493753755498329</v>
      </c>
      <c r="R17" s="46">
        <f>((1-'Failure Rates'!G23)*('NonPregnant Outcomes'!R17))+(('Failure Rates'!G23)*(PersonMonthsPregnant!$M45/12)*('Pregnant Outcomes'!$E17))+(('Failure Rates'!G23)*((12-PersonMonthsPregnant!$M45)/12)*('NonPregnant Outcomes'!R17))</f>
        <v>3.6866378167211331</v>
      </c>
      <c r="S17" s="46">
        <f>((1-'Failure Rates'!H23)*('NonPregnant Outcomes'!S17))+(('Failure Rates'!H23)*(PersonMonthsPregnant!$M17/12)*('Pregnant Outcomes'!$E17))+(('Failure Rates'!H23)*((12-PersonMonthsPregnant!$M17)/12)*('NonPregnant Outcomes'!S17))</f>
        <v>7.7226102156666663</v>
      </c>
      <c r="T17" s="46">
        <f>((1-'Failure Rates'!I23)*('NonPregnant Outcomes'!T17))+(('Failure Rates'!I23)*(PersonMonthsPregnant!$M17/12)*('Pregnant Outcomes'!$E17))+(('Failure Rates'!I23)*((12-PersonMonthsPregnant!$M17)/12)*('NonPregnant Outcomes'!T17))</f>
        <v>4.3205638776958342</v>
      </c>
      <c r="U17" s="46">
        <f>((1-'Failure Rates'!J23)*('NonPregnant Outcomes'!U17))+(('Failure Rates'!J23)*(PersonMonthsPregnant!$M17/12)*('Pregnant Outcomes'!$E17))+(('Failure Rates'!J23)*((12-PersonMonthsPregnant!$M17)/12)*('NonPregnant Outcomes'!U17))</f>
        <v>18.057940862666666</v>
      </c>
      <c r="V17" s="46">
        <f>((1-'Failure Rates'!K23)*('NonPregnant Outcomes'!V17))+(('Failure Rates'!K23)*(PersonMonthsPregnant!$M17/12)*('Pregnant Outcomes'!$E17))+(('Failure Rates'!K23)*((12-PersonMonthsPregnant!$M17)/12)*('NonPregnant Outcomes'!V17))</f>
        <v>22.364328632249997</v>
      </c>
      <c r="W17" s="46">
        <f>((1-'Failure Rates'!L23)*('NonPregnant Outcomes'!W17))+(('Failure Rates'!L23)*(PersonMonthsPregnant!$M17/12)*('Pregnant Outcomes'!$E17))+(('Failure Rates'!L23)*((12-PersonMonthsPregnant!$M17)/12)*('NonPregnant Outcomes'!W17))</f>
        <v>77.48609208291667</v>
      </c>
      <c r="X17" s="54">
        <f>((1-'Failure Rates'!C23)*('NonPregnant Outcomes'!X17))+(('Failure Rates'!C23)*(VTEPersonMonthsPregnant!$M17/12)*('Pregnant Outcomes'!$F17))+(('Failure Rates'!C23)*((12-VTEPersonMonthsPregnant!$M17)/12)*('NonPregnant Outcomes'!X17))</f>
        <v>27.666998639999996</v>
      </c>
      <c r="Y17" s="54">
        <f>((1-'Failure Rates'!D23)*('NonPregnant Outcomes'!Y17))+(('Failure Rates'!D23)*(VTEPersonMonthsPregnant!$M17/12)*('Pregnant Outcomes'!$F17))+(('Failure Rates'!D23)*((12-VTEPersonMonthsPregnant!$M17)/12)*('NonPregnant Outcomes'!Y17))</f>
        <v>101.94916208400001</v>
      </c>
      <c r="Z17" s="54">
        <f>((1-'Failure Rates'!E23)*('NonPregnant Outcomes'!Z17))+(('Failure Rates'!E23)*(VTEPersonMonthsPregnant!$M17/12)*('Pregnant Outcomes'!$F17))+(('Failure Rates'!E23)*((12-VTEPersonMonthsPregnant!$M17)/12)*('NonPregnant Outcomes'!Z17))</f>
        <v>37.405178784000007</v>
      </c>
      <c r="AA17" s="54">
        <f>((1-'Failure Rates'!F23)*('NonPregnant Outcomes'!AA17))+(('Failure Rates'!F23)*(VTEPersonMonthsPregnant!$M45/12)*('Pregnant Outcomes'!$F17))+(('Failure Rates'!F23)*((12-VTEPersonMonthsPregnant!$M45)/12)*('NonPregnant Outcomes'!AA17))</f>
        <v>27.266171051520001</v>
      </c>
      <c r="AB17" s="54">
        <f>((1-'Failure Rates'!G23)*('NonPregnant Outcomes'!AB17))+(('Failure Rates'!G23)*(VTEPersonMonthsPregnant!$M45/12)*('Pregnant Outcomes'!$F17))+(('Failure Rates'!G23)*((12-VTEPersonMonthsPregnant!$M45)/12)*('NonPregnant Outcomes'!AB17))</f>
        <v>28.064684206079999</v>
      </c>
      <c r="AC17" s="54">
        <f>((1-'Failure Rates'!H23)*('NonPregnant Outcomes'!AC17))+(('Failure Rates'!H23)*(VTEPersonMonthsPregnant!$M17/12)*('Pregnant Outcomes'!$F17))+(('Failure Rates'!H23)*((12-VTEPersonMonthsPregnant!$M17)/12)*('NonPregnant Outcomes'!AC17))</f>
        <v>76.413363912000008</v>
      </c>
      <c r="AD17" s="54">
        <f>((1-'Failure Rates'!I23)*('NonPregnant Outcomes'!AD17))+(('Failure Rates'!I23)*(VTEPersonMonthsPregnant!$M17/12)*('Pregnant Outcomes'!$F17))+(('Failure Rates'!I23)*((12-VTEPersonMonthsPregnant!$M17)/12)*('NonPregnant Outcomes'!AD17))</f>
        <v>27.066699864000004</v>
      </c>
      <c r="AE17" s="54">
        <f>((1-'Failure Rates'!J23)*('NonPregnant Outcomes'!AE17))+(('Failure Rates'!J23)*(VTEPersonMonthsPregnant!$M17/12)*('Pregnant Outcomes'!$F17))+(('Failure Rates'!J23)*((12-VTEPersonMonthsPregnant!$M17)/12)*('NonPregnant Outcomes'!AE17))</f>
        <v>48.343956480000003</v>
      </c>
      <c r="AF17" s="54">
        <f>((1-'Failure Rates'!K23)*('NonPregnant Outcomes'!AF17))+(('Failure Rates'!K23)*(VTEPersonMonthsPregnant!$M17/12)*('Pregnant Outcomes'!$F17))+(('Failure Rates'!K23)*((12-VTEPersonMonthsPregnant!$M17)/12)*('NonPregnant Outcomes'!AF17))</f>
        <v>55.013942880000002</v>
      </c>
      <c r="AG17" s="54">
        <f>((1-'Failure Rates'!L23)*('NonPregnant Outcomes'!AG17))+(('Failure Rates'!L23)*(VTEPersonMonthsPregnant!$M17/12)*('Pregnant Outcomes'!$F17))+(('Failure Rates'!L23)*((12-VTEPersonMonthsPregnant!$M17)/12)*('NonPregnant Outcomes'!AG17))</f>
        <v>140.38976880000001</v>
      </c>
      <c r="AH17" s="46">
        <f>((1-'Failure Rates'!C23)*('NonPregnant Outcomes'!AH17))+(('Failure Rates'!C23)*(PersonMonthsPregnant!$M17/12)*('Pregnant Outcomes'!$G17))+(('Failure Rates'!C23)*((12-PersonMonthsPregnant!$M17)/12)*('NonPregnant Outcomes'!AH17))</f>
        <v>760</v>
      </c>
      <c r="AI17" s="46">
        <f>((1-'Failure Rates'!D23)*('NonPregnant Outcomes'!AI17))+(('Failure Rates'!D23)*(PersonMonthsPregnant!$M17/12)*('Pregnant Outcomes'!$G17))+(('Failure Rates'!D23)*((12-PersonMonthsPregnant!$M17)/12)*('NonPregnant Outcomes'!AI17))</f>
        <v>760</v>
      </c>
      <c r="AJ17" s="46">
        <f>((1-'Failure Rates'!E23)*('NonPregnant Outcomes'!AJ17))+(('Failure Rates'!E23)*(PersonMonthsPregnant!$M17/12)*('Pregnant Outcomes'!$G17))+(('Failure Rates'!E23)*((12-PersonMonthsPregnant!$M17)/12)*('NonPregnant Outcomes'!AJ17))</f>
        <v>760</v>
      </c>
      <c r="AK17" s="46">
        <f>((1-'Failure Rates'!F23)*('NonPregnant Outcomes'!AK17))+(('Failure Rates'!F23)*(PersonMonthsPregnant!$M45/12)*('Pregnant Outcomes'!$G17))+(('Failure Rates'!F23)*((12-PersonMonthsPregnant!$M45)/12)*('NonPregnant Outcomes'!AK17))</f>
        <v>760</v>
      </c>
      <c r="AL17" s="46">
        <f>((1-'Failure Rates'!G23)*('NonPregnant Outcomes'!AL17))+(('Failure Rates'!G23)*(PersonMonthsPregnant!$M45/12)*('Pregnant Outcomes'!$G17))+(('Failure Rates'!G23)*((12-PersonMonthsPregnant!$M45)/12)*('NonPregnant Outcomes'!AL17))</f>
        <v>760</v>
      </c>
      <c r="AM17" s="46">
        <f>((1-'Failure Rates'!H23)*('NonPregnant Outcomes'!AM17))+(('Failure Rates'!H23)*(PersonMonthsPregnant!$M17/12)*('Pregnant Outcomes'!$G17))+(('Failure Rates'!H23)*((12-PersonMonthsPregnant!$M17)/12)*('NonPregnant Outcomes'!AM17))</f>
        <v>760.00000000000011</v>
      </c>
      <c r="AN17" s="46">
        <f>((1-'Failure Rates'!I23)*('NonPregnant Outcomes'!AN17))+(('Failure Rates'!I23)*(PersonMonthsPregnant!$M17/12)*('Pregnant Outcomes'!$G17))+(('Failure Rates'!I23)*((12-PersonMonthsPregnant!$M17)/12)*('NonPregnant Outcomes'!AN17))</f>
        <v>760</v>
      </c>
      <c r="AO17" s="46">
        <f>((1-'Failure Rates'!J23)*('NonPregnant Outcomes'!AO17))+(('Failure Rates'!J23)*(PersonMonthsPregnant!$M17/12)*('Pregnant Outcomes'!$G17))+(('Failure Rates'!J23)*((12-PersonMonthsPregnant!$M17)/12)*('NonPregnant Outcomes'!AO17))</f>
        <v>760</v>
      </c>
      <c r="AP17" s="46">
        <f>((1-'Failure Rates'!K23)*('NonPregnant Outcomes'!AP17))+(('Failure Rates'!K23)*(PersonMonthsPregnant!$M17/12)*('Pregnant Outcomes'!$G17))+(('Failure Rates'!K23)*((12-PersonMonthsPregnant!$M17)/12)*('NonPregnant Outcomes'!AP17))</f>
        <v>760</v>
      </c>
      <c r="AQ17" s="46">
        <f>((1-'Failure Rates'!L23)*('NonPregnant Outcomes'!AQ17))+(('Failure Rates'!L23)*(PersonMonthsPregnant!$M17/12)*('Pregnant Outcomes'!$G17))+(('Failure Rates'!L23)*((12-PersonMonthsPregnant!$M17)/12)*('NonPregnant Outcomes'!AQ17))</f>
        <v>760</v>
      </c>
      <c r="AR17" s="54">
        <f>'Pregnant Outcomes'!$I17</f>
        <v>91</v>
      </c>
      <c r="AS17" s="54">
        <f>(('Failure Rates'!$D23)*('Pregnant Outcomes'!$H17))</f>
        <v>21.84</v>
      </c>
      <c r="AT17" s="54">
        <f>(('Failure Rates'!$E23)*('Pregnant Outcomes'!$H17))</f>
        <v>21.84</v>
      </c>
      <c r="AU17" s="54">
        <f>(('Failure Rates'!$F23)*('Pregnant Outcomes'!$J17))</f>
        <v>1.0472000000000001</v>
      </c>
      <c r="AV17" s="54">
        <f>(('Failure Rates'!$G23)*('Pregnant Outcomes'!$K17))</f>
        <v>4.1888000000000005</v>
      </c>
      <c r="AW17" s="54">
        <f>(('Failure Rates'!$H23)*('Pregnant Outcomes'!$H17))</f>
        <v>11.200000000000001</v>
      </c>
      <c r="AX17" s="54">
        <f>(('Failure Rates'!$I23)*('Pregnant Outcomes'!$H17))</f>
        <v>0.14000000000000001</v>
      </c>
      <c r="AY17" s="54">
        <f>(('Failure Rates'!$J23)*('Pregnant Outcomes'!$H17))</f>
        <v>44.800000000000004</v>
      </c>
      <c r="AZ17" s="54">
        <f>(('Failure Rates'!$K23)*('Pregnant Outcomes'!$H17))</f>
        <v>58.8</v>
      </c>
      <c r="BA17" s="54">
        <f>('Failure Rates'!$L23)*('Pregnant Outcomes'!$H17)</f>
        <v>238</v>
      </c>
    </row>
    <row r="18" spans="1:53" x14ac:dyDescent="0.2">
      <c r="A18" t="s">
        <v>67</v>
      </c>
      <c r="B18" t="s">
        <v>6</v>
      </c>
      <c r="C18" t="str">
        <f t="shared" si="0"/>
        <v>A20_24_Htn</v>
      </c>
      <c r="D18" s="45">
        <f>((1-'Failure Rates'!C24)*('NonPregnant Outcomes'!D18))+(('Failure Rates'!C24)*(PersonMonthsPregnant!$M18/12)*('Pregnant Outcomes'!$D18))+(('Failure Rates'!C24)*((12-PersonMonthsPregnant!$M18)/12)*('NonPregnant Outcomes'!D18))</f>
        <v>9.3647518164000001</v>
      </c>
      <c r="E18" s="45">
        <f>((1-'Failure Rates'!D24)*('NonPregnant Outcomes'!E18))+(('Failure Rates'!D24)*(PersonMonthsPregnant!$M18/12)*('Pregnant Outcomes'!$D18))+(('Failure Rates'!D24)*((12-PersonMonthsPregnant!$M18)/12)*('NonPregnant Outcomes'!E18))</f>
        <v>13.88767433976</v>
      </c>
      <c r="F18" s="45">
        <f>((1-'Failure Rates'!E24)*('NonPregnant Outcomes'!F18))+(('Failure Rates'!E24)*(PersonMonthsPregnant!$M18/12)*('Pregnant Outcomes'!$D18))+(('Failure Rates'!E24)*((12-PersonMonthsPregnant!$M18)/12)*('NonPregnant Outcomes'!F18))</f>
        <v>13.88767433976</v>
      </c>
      <c r="G18" s="45">
        <f>((1-'Failure Rates'!F24)*('NonPregnant Outcomes'!G18))+(('Failure Rates'!F24)*(PersonMonthsPregnant!$M46/12)*('Pregnant Outcomes'!$D18))+(('Failure Rates'!F24)*((12-PersonMonthsPregnant!$M46)/12)*('NonPregnant Outcomes'!G18))</f>
        <v>9.1454960828087994</v>
      </c>
      <c r="H18" s="45">
        <f>((1-'Failure Rates'!G24)*('NonPregnant Outcomes'!H18))+(('Failure Rates'!G24)*(PersonMonthsPregnant!$M46/12)*('Pregnant Outcomes'!$D18))+(('Failure Rates'!G24)*((12-PersonMonthsPregnant!$M46)/12)*('NonPregnant Outcomes'!H18))</f>
        <v>9.5819843312352013</v>
      </c>
      <c r="I18" s="45">
        <f>((1-'Failure Rates'!H24)*('NonPregnant Outcomes'!I18))+(('Failure Rates'!H24)*(PersonMonthsPregnant!$M18/12)*('Pregnant Outcomes'!$D18))+(('Failure Rates'!H24)*((12-PersonMonthsPregnant!$M18)/12)*('NonPregnant Outcomes'!I18))</f>
        <v>11.918014531200001</v>
      </c>
      <c r="J18" s="45">
        <f>((1-'Failure Rates'!I24)*('NonPregnant Outcomes'!J18))+(('Failure Rates'!I24)*(PersonMonthsPregnant!$M18/12)*('Pregnant Outcomes'!$D18))+(('Failure Rates'!I24)*((12-PersonMonthsPregnant!$M18)/12)*('NonPregnant Outcomes'!J18))</f>
        <v>9.0364751816399984</v>
      </c>
      <c r="K18" s="45">
        <f>((1-'Failure Rates'!J24)*('NonPregnant Outcomes'!K18))+(('Failure Rates'!J24)*(PersonMonthsPregnant!$M18/12)*('Pregnant Outcomes'!$D18))+(('Failure Rates'!J24)*((12-PersonMonthsPregnant!$M18)/12)*('NonPregnant Outcomes'!K18))</f>
        <v>19.650753038879998</v>
      </c>
      <c r="L18" s="45">
        <f>((1-'Failure Rates'!K24)*('NonPregnant Outcomes'!L18))+(('Failure Rates'!K24)*(PersonMonthsPregnant!$M18/12)*('Pregnant Outcomes'!$D18))+(('Failure Rates'!K24)*((12-PersonMonthsPregnant!$M18)/12)*('NonPregnant Outcomes'!L18))</f>
        <v>24.3195762888</v>
      </c>
      <c r="M18" s="45">
        <f>((1-'Failure Rates'!L24)*('NonPregnant Outcomes'!M18))+(('Failure Rates'!L24)*(PersonMonthsPregnant!$M18/12)*('Pregnant Outcomes'!$D18))+(('Failure Rates'!L24)*((12-PersonMonthsPregnant!$M18)/12)*('NonPregnant Outcomes'!M18))</f>
        <v>71.007808787999991</v>
      </c>
      <c r="N18" s="46">
        <f>((1-'Failure Rates'!C24)*('NonPregnant Outcomes'!N18))+(('Failure Rates'!C24)*(PersonMonthsPregnant!$M18/12)*('Pregnant Outcomes'!$E18))+(('Failure Rates'!C24)*((12-PersonMonthsPregnant!$M18)/12)*('NonPregnant Outcomes'!N18))</f>
        <v>4.6383476071666658</v>
      </c>
      <c r="O18" s="46">
        <f>((1-'Failure Rates'!D24)*('NonPregnant Outcomes'!O18))+(('Failure Rates'!D24)*(PersonMonthsPregnant!$M18/12)*('Pregnant Outcomes'!$E18))+(('Failure Rates'!D24)*((12-PersonMonthsPregnant!$M18)/12)*('NonPregnant Outcomes'!O18))</f>
        <v>9.1128579360333344</v>
      </c>
      <c r="P18" s="46">
        <f>((1-'Failure Rates'!E24)*('NonPregnant Outcomes'!P18))+(('Failure Rates'!E24)*(PersonMonthsPregnant!$M18/12)*('Pregnant Outcomes'!$E18))+(('Failure Rates'!E24)*((12-PersonMonthsPregnant!$M18)/12)*('NonPregnant Outcomes'!P18))</f>
        <v>9.1128579360333344</v>
      </c>
      <c r="Q18" s="46">
        <f>((1-'Failure Rates'!F24)*('NonPregnant Outcomes'!Q18))+(('Failure Rates'!F24)*(PersonMonthsPregnant!$M46/12)*('Pregnant Outcomes'!$E18))+(('Failure Rates'!F24)*((12-PersonMonthsPregnant!$M46)/12)*('NonPregnant Outcomes'!Q18))</f>
        <v>4.4214387303176661</v>
      </c>
      <c r="R18" s="46">
        <f>((1-'Failure Rates'!G24)*('NonPregnant Outcomes'!R18))+(('Failure Rates'!G24)*(PersonMonthsPregnant!$M46/12)*('Pregnant Outcomes'!$E18))+(('Failure Rates'!G24)*((12-PersonMonthsPregnant!$M46)/12)*('NonPregnant Outcomes'!R18))</f>
        <v>3.5747364337518666</v>
      </c>
      <c r="S18" s="46">
        <f>((1-'Failure Rates'!H24)*('NonPregnant Outcomes'!S18))+(('Failure Rates'!H24)*(PersonMonthsPregnant!$M18/12)*('Pregnant Outcomes'!$E18))+(('Failure Rates'!H24)*((12-PersonMonthsPregnant!$M18)/12)*('NonPregnant Outcomes'!S18))</f>
        <v>7.1642808573333339</v>
      </c>
      <c r="T18" s="46">
        <f>((1-'Failure Rates'!I24)*('NonPregnant Outcomes'!T18))+(('Failure Rates'!I24)*(PersonMonthsPregnant!$M18/12)*('Pregnant Outcomes'!$E18))+(('Failure Rates'!I24)*((12-PersonMonthsPregnant!$M18)/12)*('NonPregnant Outcomes'!T18))</f>
        <v>4.3135847607166671</v>
      </c>
      <c r="U18" s="46">
        <f>((1-'Failure Rates'!J24)*('NonPregnant Outcomes'!U18))+(('Failure Rates'!J24)*(PersonMonthsPregnant!$M18/12)*('Pregnant Outcomes'!$E18))+(('Failure Rates'!J24)*((12-PersonMonthsPregnant!$M18)/12)*('NonPregnant Outcomes'!U18))</f>
        <v>14.814250129266666</v>
      </c>
      <c r="V18" s="46">
        <f>((1-'Failure Rates'!K24)*('NonPregnant Outcomes'!V18))+(('Failure Rates'!K24)*(PersonMonthsPregnant!$M18/12)*('Pregnant Outcomes'!$E18))+(('Failure Rates'!K24)*((12-PersonMonthsPregnant!$M18)/12)*('NonPregnant Outcomes'!V18))</f>
        <v>19.433099501000001</v>
      </c>
      <c r="W18" s="46">
        <f>((1-'Failure Rates'!L24)*('NonPregnant Outcomes'!W18))+(('Failure Rates'!L24)*(PersonMonthsPregnant!$M18/12)*('Pregnant Outcomes'!$E18))+(('Failure Rates'!L24)*((12-PersonMonthsPregnant!$M18)/12)*('NonPregnant Outcomes'!W18))</f>
        <v>65.621593218333331</v>
      </c>
      <c r="X18" s="54">
        <f>((1-'Failure Rates'!C24)*('NonPregnant Outcomes'!X18))+(('Failure Rates'!C24)*(VTEPersonMonthsPregnant!$M18/12)*('Pregnant Outcomes'!$F18))+(('Failure Rates'!C24)*((12-VTEPersonMonthsPregnant!$M18)/12)*('NonPregnant Outcomes'!X18))</f>
        <v>51.634552359999994</v>
      </c>
      <c r="Y18" s="54">
        <f>((1-'Failure Rates'!D24)*('NonPregnant Outcomes'!Y18))+(('Failure Rates'!D24)*(VTEPersonMonthsPregnant!$M18/12)*('Pregnant Outcomes'!$F18))+(('Failure Rates'!D24)*((12-VTEPersonMonthsPregnant!$M18)/12)*('NonPregnant Outcomes'!Y18))</f>
        <v>182.35804572400002</v>
      </c>
      <c r="Z18" s="54">
        <f>((1-'Failure Rates'!E24)*('NonPregnant Outcomes'!Z18))+(('Failure Rates'!E24)*(VTEPersonMonthsPregnant!$M18/12)*('Pregnant Outcomes'!$F18))+(('Failure Rates'!E24)*((12-VTEPersonMonthsPregnant!$M18)/12)*('NonPregnant Outcomes'!Z18))</f>
        <v>59.503001624000007</v>
      </c>
      <c r="AA18" s="54">
        <f>((1-'Failure Rates'!F24)*('NonPregnant Outcomes'!AA18))+(('Failure Rates'!F24)*(VTEPersonMonthsPregnant!$M46/12)*('Pregnant Outcomes'!$F18))+(('Failure Rates'!F24)*((12-VTEPersonMonthsPregnant!$M46)/12)*('NonPregnant Outcomes'!AA18))</f>
        <v>51.253070983120004</v>
      </c>
      <c r="AB18" s="54">
        <f>((1-'Failure Rates'!G24)*('NonPregnant Outcomes'!AB18))+(('Failure Rates'!G24)*(VTEPersonMonthsPregnant!$M46/12)*('Pregnant Outcomes'!$F18))+(('Failure Rates'!G24)*((12-VTEPersonMonthsPregnant!$M46)/12)*('NonPregnant Outcomes'!AB18))</f>
        <v>52.012283932479995</v>
      </c>
      <c r="AC18" s="54">
        <f>((1-'Failure Rates'!H24)*('NonPregnant Outcomes'!AC18))+(('Failure Rates'!H24)*(VTEPersonMonthsPregnant!$M18/12)*('Pregnant Outcomes'!$F18))+(('Failure Rates'!H24)*((12-VTEPersonMonthsPregnant!$M18)/12)*('NonPregnant Outcomes'!AC18))</f>
        <v>139.393982736</v>
      </c>
      <c r="AD18" s="54">
        <f>((1-'Failure Rates'!I24)*('NonPregnant Outcomes'!AD18))+(('Failure Rates'!I24)*(VTEPersonMonthsPregnant!$M18/12)*('Pregnant Outcomes'!$F18))+(('Failure Rates'!I24)*((12-VTEPersonMonthsPregnant!$M18)/12)*('NonPregnant Outcomes'!AD18))</f>
        <v>51.06345523600001</v>
      </c>
      <c r="AE18" s="54">
        <f>((1-'Failure Rates'!J24)*('NonPregnant Outcomes'!AE18))+(('Failure Rates'!J24)*(VTEPersonMonthsPregnant!$M18/12)*('Pregnant Outcomes'!$F18))+(('Failure Rates'!J24)*((12-VTEPersonMonthsPregnant!$M18)/12)*('NonPregnant Outcomes'!AE18))</f>
        <v>69.528928911999998</v>
      </c>
      <c r="AF18" s="54">
        <f>((1-'Failure Rates'!K24)*('NonPregnant Outcomes'!AF18))+(('Failure Rates'!K24)*(VTEPersonMonthsPregnant!$M18/12)*('Pregnant Outcomes'!$F18))+(('Failure Rates'!K24)*((12-VTEPersonMonthsPregnant!$M18)/12)*('NonPregnant Outcomes'!AF18))</f>
        <v>77.651199120000001</v>
      </c>
      <c r="AG18" s="54">
        <f>((1-'Failure Rates'!L24)*('NonPregnant Outcomes'!AG18))+(('Failure Rates'!L24)*(VTEPersonMonthsPregnant!$M18/12)*('Pregnant Outcomes'!$F18))+(('Failure Rates'!L24)*((12-VTEPersonMonthsPregnant!$M18)/12)*('NonPregnant Outcomes'!AG18))</f>
        <v>158.87390120000003</v>
      </c>
      <c r="AH18" s="46">
        <f>((1-'Failure Rates'!C24)*('NonPregnant Outcomes'!AH18))+(('Failure Rates'!C24)*(PersonMonthsPregnant!$M18/12)*('Pregnant Outcomes'!$G18))+(('Failure Rates'!C24)*((12-PersonMonthsPregnant!$M18)/12)*('NonPregnant Outcomes'!AH18))</f>
        <v>1010</v>
      </c>
      <c r="AI18" s="46">
        <f>((1-'Failure Rates'!D24)*('NonPregnant Outcomes'!AI18))+(('Failure Rates'!D24)*(PersonMonthsPregnant!$M18/12)*('Pregnant Outcomes'!$G18))+(('Failure Rates'!D24)*((12-PersonMonthsPregnant!$M18)/12)*('NonPregnant Outcomes'!AI18))</f>
        <v>1010.0000000000001</v>
      </c>
      <c r="AJ18" s="46">
        <f>((1-'Failure Rates'!E24)*('NonPregnant Outcomes'!AJ18))+(('Failure Rates'!E24)*(PersonMonthsPregnant!$M18/12)*('Pregnant Outcomes'!$G18))+(('Failure Rates'!E24)*((12-PersonMonthsPregnant!$M18)/12)*('NonPregnant Outcomes'!AJ18))</f>
        <v>1010.0000000000001</v>
      </c>
      <c r="AK18" s="46">
        <f>((1-'Failure Rates'!F24)*('NonPregnant Outcomes'!AK18))+(('Failure Rates'!F24)*(PersonMonthsPregnant!$M46/12)*('Pregnant Outcomes'!$G18))+(('Failure Rates'!F24)*((12-PersonMonthsPregnant!$M46)/12)*('NonPregnant Outcomes'!AK18))</f>
        <v>1010</v>
      </c>
      <c r="AL18" s="46">
        <f>((1-'Failure Rates'!G24)*('NonPregnant Outcomes'!AL18))+(('Failure Rates'!G24)*(PersonMonthsPregnant!$M46/12)*('Pregnant Outcomes'!$G18))+(('Failure Rates'!G24)*((12-PersonMonthsPregnant!$M46)/12)*('NonPregnant Outcomes'!AL18))</f>
        <v>1009.9999999999999</v>
      </c>
      <c r="AM18" s="46">
        <f>((1-'Failure Rates'!H24)*('NonPregnant Outcomes'!AM18))+(('Failure Rates'!H24)*(PersonMonthsPregnant!$M18/12)*('Pregnant Outcomes'!$G18))+(('Failure Rates'!H24)*((12-PersonMonthsPregnant!$M18)/12)*('NonPregnant Outcomes'!AM18))</f>
        <v>1009.9999999999999</v>
      </c>
      <c r="AN18" s="46">
        <f>((1-'Failure Rates'!I24)*('NonPregnant Outcomes'!AN18))+(('Failure Rates'!I24)*(PersonMonthsPregnant!$M18/12)*('Pregnant Outcomes'!$G18))+(('Failure Rates'!I24)*((12-PersonMonthsPregnant!$M18)/12)*('NonPregnant Outcomes'!AN18))</f>
        <v>1010</v>
      </c>
      <c r="AO18" s="46">
        <f>((1-'Failure Rates'!J24)*('NonPregnant Outcomes'!AO18))+(('Failure Rates'!J24)*(PersonMonthsPregnant!$M18/12)*('Pregnant Outcomes'!$G18))+(('Failure Rates'!J24)*((12-PersonMonthsPregnant!$M18)/12)*('NonPregnant Outcomes'!AO18))</f>
        <v>1010</v>
      </c>
      <c r="AP18" s="46">
        <f>((1-'Failure Rates'!K24)*('NonPregnant Outcomes'!AP18))+(('Failure Rates'!K24)*(PersonMonthsPregnant!$M18/12)*('Pregnant Outcomes'!$G18))+(('Failure Rates'!K24)*((12-PersonMonthsPregnant!$M18)/12)*('NonPregnant Outcomes'!AP18))</f>
        <v>1010.0000000000001</v>
      </c>
      <c r="AQ18" s="46">
        <f>((1-'Failure Rates'!L24)*('NonPregnant Outcomes'!AQ18))+(('Failure Rates'!L24)*(PersonMonthsPregnant!$M18/12)*('Pregnant Outcomes'!$G18))+(('Failure Rates'!L24)*((12-PersonMonthsPregnant!$M18)/12)*('NonPregnant Outcomes'!AQ18))</f>
        <v>1010</v>
      </c>
      <c r="AR18" s="54">
        <f>'Pregnant Outcomes'!$I18</f>
        <v>91</v>
      </c>
      <c r="AS18" s="54">
        <f>(('Failure Rates'!$D24)*('Pregnant Outcomes'!$H18))</f>
        <v>29.48</v>
      </c>
      <c r="AT18" s="54">
        <f>(('Failure Rates'!$E24)*('Pregnant Outcomes'!$H18))</f>
        <v>29.48</v>
      </c>
      <c r="AU18" s="54">
        <f>(('Failure Rates'!$F24)*('Pregnant Outcomes'!$J18))</f>
        <v>1.6456000000000002</v>
      </c>
      <c r="AV18" s="54">
        <f>(('Failure Rates'!$G24)*('Pregnant Outcomes'!$K18))</f>
        <v>6.5824000000000007</v>
      </c>
      <c r="AW18" s="54">
        <f>(('Failure Rates'!$H24)*('Pregnant Outcomes'!$H18))</f>
        <v>17.600000000000001</v>
      </c>
      <c r="AX18" s="54">
        <f>(('Failure Rates'!$I24)*('Pregnant Outcomes'!$H18))</f>
        <v>0.22</v>
      </c>
      <c r="AY18" s="54">
        <f>(('Failure Rates'!$J24)*('Pregnant Outcomes'!$H18))</f>
        <v>64.239999999999995</v>
      </c>
      <c r="AZ18" s="54">
        <f>(('Failure Rates'!$K24)*('Pregnant Outcomes'!$H18))</f>
        <v>92.399999999999991</v>
      </c>
      <c r="BA18" s="54">
        <f>('Failure Rates'!$L24)*('Pregnant Outcomes'!$H18)</f>
        <v>374</v>
      </c>
    </row>
    <row r="19" spans="1:53" x14ac:dyDescent="0.2">
      <c r="A19" t="s">
        <v>29</v>
      </c>
      <c r="B19" t="s">
        <v>6</v>
      </c>
      <c r="C19" t="str">
        <f t="shared" si="0"/>
        <v>A24_29_Htn</v>
      </c>
      <c r="D19" s="45">
        <f>((1-'Failure Rates'!C25)*('NonPregnant Outcomes'!D19))+(('Failure Rates'!C25)*(PersonMonthsPregnant!$M19/12)*('Pregnant Outcomes'!$D19))+(('Failure Rates'!C25)*((12-PersonMonthsPregnant!$M19)/12)*('NonPregnant Outcomes'!D19))</f>
        <v>16.646482987999999</v>
      </c>
      <c r="E19" s="45">
        <f>((1-'Failure Rates'!D25)*('NonPregnant Outcomes'!E19))+(('Failure Rates'!D25)*(PersonMonthsPregnant!$M19/12)*('Pregnant Outcomes'!$D19))+(('Failure Rates'!D25)*((12-PersonMonthsPregnant!$M19)/12)*('NonPregnant Outcomes'!E19))</f>
        <v>29.446846150400003</v>
      </c>
      <c r="F19" s="45">
        <f>((1-'Failure Rates'!E25)*('NonPregnant Outcomes'!F19))+(('Failure Rates'!E25)*(PersonMonthsPregnant!$M19/12)*('Pregnant Outcomes'!$D19))+(('Failure Rates'!E25)*((12-PersonMonthsPregnant!$M19)/12)*('NonPregnant Outcomes'!F19))</f>
        <v>29.446846150400003</v>
      </c>
      <c r="G19" s="45">
        <f>((1-'Failure Rates'!F25)*('NonPregnant Outcomes'!G19))+(('Failure Rates'!F25)*(PersonMonthsPregnant!$M47/12)*('Pregnant Outcomes'!$D19))+(('Failure Rates'!F25)*((12-PersonMonthsPregnant!$M47)/12)*('NonPregnant Outcomes'!G19))</f>
        <v>16.257505547647998</v>
      </c>
      <c r="H19" s="45">
        <f>((1-'Failure Rates'!G25)*('NonPregnant Outcomes'!H19))+(('Failure Rates'!G25)*(PersonMonthsPregnant!$M47/12)*('Pregnant Outcomes'!$D19))+(('Failure Rates'!G25)*((12-PersonMonthsPregnant!$M47)/12)*('NonPregnant Outcomes'!H19))</f>
        <v>17.030022190592</v>
      </c>
      <c r="I19" s="45">
        <f>((1-'Failure Rates'!H25)*('NonPregnant Outcomes'!I19))+(('Failure Rates'!H25)*(PersonMonthsPregnant!$M19/12)*('Pregnant Outcomes'!$D19))+(('Failure Rates'!H25)*((12-PersonMonthsPregnant!$M19)/12)*('NonPregnant Outcomes'!I19))</f>
        <v>21.171863903999999</v>
      </c>
      <c r="J19" s="45">
        <f>((1-'Failure Rates'!I25)*('NonPregnant Outcomes'!J19))+(('Failure Rates'!I25)*(PersonMonthsPregnant!$M19/12)*('Pregnant Outcomes'!$D19))+(('Failure Rates'!I25)*((12-PersonMonthsPregnant!$M19)/12)*('NonPregnant Outcomes'!J19))</f>
        <v>16.064648298800002</v>
      </c>
      <c r="K19" s="45">
        <f>((1-'Failure Rates'!J25)*('NonPregnant Outcomes'!K19))+(('Failure Rates'!J25)*(PersonMonthsPregnant!$M19/12)*('Pregnant Outcomes'!$D19))+(('Failure Rates'!J25)*((12-PersonMonthsPregnant!$M19)/12)*('NonPregnant Outcomes'!K19))</f>
        <v>31.515591712000003</v>
      </c>
      <c r="L19" s="45">
        <f>((1-'Failure Rates'!K25)*('NonPregnant Outcomes'!L19))+(('Failure Rates'!K25)*(PersonMonthsPregnant!$M19/12)*('Pregnant Outcomes'!$D19))+(('Failure Rates'!K25)*((12-PersonMonthsPregnant!$M19)/12)*('NonPregnant Outcomes'!L19))</f>
        <v>41.6007263248</v>
      </c>
      <c r="M19" s="45">
        <f>((1-'Failure Rates'!L25)*('NonPregnant Outcomes'!M19))+(('Failure Rates'!L25)*(PersonMonthsPregnant!$M19/12)*('Pregnant Outcomes'!$D19))+(('Failure Rates'!L25)*((12-PersonMonthsPregnant!$M19)/12)*('NonPregnant Outcomes'!M19))</f>
        <v>125.90210796000001</v>
      </c>
      <c r="N19" s="46">
        <f>((1-'Failure Rates'!C25)*('NonPregnant Outcomes'!N19))+(('Failure Rates'!C25)*(PersonMonthsPregnant!$M19/12)*('Pregnant Outcomes'!$E19))+(('Failure Rates'!C25)*((12-PersonMonthsPregnant!$M19)/12)*('NonPregnant Outcomes'!N19))</f>
        <v>11.473576908424999</v>
      </c>
      <c r="O19" s="46">
        <f>((1-'Failure Rates'!D25)*('NonPregnant Outcomes'!O19))+(('Failure Rates'!D25)*(PersonMonthsPregnant!$M19/12)*('Pregnant Outcomes'!$E19))+(('Failure Rates'!D25)*((12-PersonMonthsPregnant!$M19)/12)*('NonPregnant Outcomes'!O19))</f>
        <v>18.444699695240001</v>
      </c>
      <c r="P19" s="46">
        <f>((1-'Failure Rates'!E25)*('NonPregnant Outcomes'!P19))+(('Failure Rates'!E25)*(PersonMonthsPregnant!$M19/12)*('Pregnant Outcomes'!$E19))+(('Failure Rates'!E25)*((12-PersonMonthsPregnant!$M19)/12)*('NonPregnant Outcomes'!P19))</f>
        <v>18.444699695240001</v>
      </c>
      <c r="Q19" s="46">
        <f>((1-'Failure Rates'!F25)*('NonPregnant Outcomes'!Q19))+(('Failure Rates'!F25)*(PersonMonthsPregnant!$M47/12)*('Pregnant Outcomes'!$E19))+(('Failure Rates'!F25)*((12-PersonMonthsPregnant!$M47)/12)*('NonPregnant Outcomes'!Q19))</f>
        <v>11.261738426688801</v>
      </c>
      <c r="R19" s="46">
        <f>((1-'Failure Rates'!G25)*('NonPregnant Outcomes'!R19))+(('Failure Rates'!G25)*(PersonMonthsPregnant!$M47/12)*('Pregnant Outcomes'!$E19))+(('Failure Rates'!G25)*((12-PersonMonthsPregnant!$M47)/12)*('NonPregnant Outcomes'!R19))</f>
        <v>8.3585387867734386</v>
      </c>
      <c r="S19" s="46">
        <f>((1-'Failure Rates'!H25)*('NonPregnant Outcomes'!S19))+(('Failure Rates'!H25)*(PersonMonthsPregnant!$M19/12)*('Pregnant Outcomes'!$E19))+(('Failure Rates'!H25)*((12-PersonMonthsPregnant!$M19)/12)*('NonPregnant Outcomes'!S19))</f>
        <v>13.938115267399999</v>
      </c>
      <c r="T19" s="46">
        <f>((1-'Failure Rates'!I25)*('NonPregnant Outcomes'!T19))+(('Failure Rates'!I25)*(PersonMonthsPregnant!$M19/12)*('Pregnant Outcomes'!$E19))+(('Failure Rates'!I25)*((12-PersonMonthsPregnant!$M19)/12)*('NonPregnant Outcomes'!T19))</f>
        <v>11.1567076908425</v>
      </c>
      <c r="U19" s="46">
        <f>((1-'Failure Rates'!J25)*('NonPregnant Outcomes'!U19))+(('Failure Rates'!J25)*(PersonMonthsPregnant!$M19/12)*('Pregnant Outcomes'!$E19))+(('Failure Rates'!J25)*((12-PersonMonthsPregnant!$M19)/12)*('NonPregnant Outcomes'!U19))</f>
        <v>19.571345802200003</v>
      </c>
      <c r="V19" s="46">
        <f>((1-'Failure Rates'!K25)*('NonPregnant Outcomes'!V19))+(('Failure Rates'!K25)*(PersonMonthsPregnant!$M19/12)*('Pregnant Outcomes'!$E19))+(('Failure Rates'!K25)*((12-PersonMonthsPregnant!$M19)/12)*('NonPregnant Outcomes'!V19))</f>
        <v>25.063745573630005</v>
      </c>
      <c r="W19" s="46">
        <f>((1-'Failure Rates'!L25)*('NonPregnant Outcomes'!W19))+(('Failure Rates'!L25)*(PersonMonthsPregnant!$M19/12)*('Pregnant Outcomes'!$E19))+(('Failure Rates'!L25)*((12-PersonMonthsPregnant!$M19)/12)*('NonPregnant Outcomes'!W19))</f>
        <v>70.974574432250023</v>
      </c>
      <c r="X19" s="54">
        <f>((1-'Failure Rates'!C25)*('NonPregnant Outcomes'!X19))+(('Failure Rates'!C25)*(VTEPersonMonthsPregnant!$M19/12)*('Pregnant Outcomes'!$F19))+(('Failure Rates'!C25)*((12-VTEPersonMonthsPregnant!$M19)/12)*('NonPregnant Outcomes'!X19))</f>
        <v>72.635397510000004</v>
      </c>
      <c r="Y19" s="54">
        <f>((1-'Failure Rates'!D25)*('NonPregnant Outcomes'!Y19))+(('Failure Rates'!D25)*(VTEPersonMonthsPregnant!$M19/12)*('Pregnant Outcomes'!$F19))+(('Failure Rates'!D25)*((12-VTEPersonMonthsPregnant!$M19)/12)*('NonPregnant Outcomes'!Y19))</f>
        <v>254.809757808</v>
      </c>
      <c r="Z19" s="54">
        <f>((1-'Failure Rates'!E25)*('NonPregnant Outcomes'!Z19))+(('Failure Rates'!E25)*(VTEPersonMonthsPregnant!$M19/12)*('Pregnant Outcomes'!$F19))+(('Failure Rates'!E25)*((12-VTEPersonMonthsPregnant!$M19)/12)*('NonPregnant Outcomes'!Z19))</f>
        <v>85.216268208000002</v>
      </c>
      <c r="AA19" s="54">
        <f>((1-'Failure Rates'!F25)*('NonPregnant Outcomes'!AA19))+(('Failure Rates'!F25)*(VTEPersonMonthsPregnant!$M47/12)*('Pregnant Outcomes'!$F19))+(('Failure Rates'!F25)*((12-VTEPersonMonthsPregnant!$M47)/12)*('NonPregnant Outcomes'!AA19))</f>
        <v>72.253021398960001</v>
      </c>
      <c r="AB19" s="54">
        <f>((1-'Failure Rates'!G25)*('NonPregnant Outcomes'!AB19))+(('Failure Rates'!G25)*(VTEPersonMonthsPregnant!$M47/12)*('Pregnant Outcomes'!$F19))+(('Failure Rates'!G25)*((12-VTEPersonMonthsPregnant!$M47)/12)*('NonPregnant Outcomes'!AB19))</f>
        <v>73.012085595840006</v>
      </c>
      <c r="AC19" s="54">
        <f>((1-'Failure Rates'!H25)*('NonPregnant Outcomes'!AC19))+(('Failure Rates'!H25)*(VTEPersonMonthsPregnant!$M19/12)*('Pregnant Outcomes'!$F19))+(('Failure Rates'!H25)*((12-VTEPersonMonthsPregnant!$M19)/12)*('NonPregnant Outcomes'!AC19))</f>
        <v>194.64950740799998</v>
      </c>
      <c r="AD19" s="54">
        <f>((1-'Failure Rates'!I25)*('NonPregnant Outcomes'!AD19))+(('Failure Rates'!I25)*(VTEPersonMonthsPregnant!$M19/12)*('Pregnant Outcomes'!$F19))+(('Failure Rates'!I25)*((12-VTEPersonMonthsPregnant!$M19)/12)*('NonPregnant Outcomes'!AD19))</f>
        <v>72.063539751000008</v>
      </c>
      <c r="AE19" s="54">
        <f>((1-'Failure Rates'!J25)*('NonPregnant Outcomes'!AE19))+(('Failure Rates'!J25)*(VTEPersonMonthsPregnant!$M19/12)*('Pregnant Outcomes'!$F19))+(('Failure Rates'!J25)*((12-VTEPersonMonthsPregnant!$M19)/12)*('NonPregnant Outcomes'!AE19))</f>
        <v>87.249540240000002</v>
      </c>
      <c r="AF19" s="54">
        <f>((1-'Failure Rates'!K25)*('NonPregnant Outcomes'!AF19))+(('Failure Rates'!K25)*(VTEPersonMonthsPregnant!$M19/12)*('Pregnant Outcomes'!$F19))+(('Failure Rates'!K25)*((12-VTEPersonMonthsPregnant!$M19)/12)*('NonPregnant Outcomes'!AF19))</f>
        <v>97.161741396000011</v>
      </c>
      <c r="AG19" s="54">
        <f>((1-'Failure Rates'!L25)*('NonPregnant Outcomes'!AG19))+(('Failure Rates'!L25)*(VTEPersonMonthsPregnant!$M19/12)*('Pregnant Outcomes'!$F19))+(('Failure Rates'!L25)*((12-VTEPersonMonthsPregnant!$M19)/12)*('NonPregnant Outcomes'!AG19))</f>
        <v>180.01757670000006</v>
      </c>
      <c r="AH19" s="46">
        <f>((1-'Failure Rates'!C25)*('NonPregnant Outcomes'!AH19))+(('Failure Rates'!C25)*(PersonMonthsPregnant!$M19/12)*('Pregnant Outcomes'!$G19))+(('Failure Rates'!C25)*((12-PersonMonthsPregnant!$M19)/12)*('NonPregnant Outcomes'!AH19))</f>
        <v>1010.0000000000001</v>
      </c>
      <c r="AI19" s="46">
        <f>((1-'Failure Rates'!D25)*('NonPregnant Outcomes'!AI19))+(('Failure Rates'!D25)*(PersonMonthsPregnant!$M19/12)*('Pregnant Outcomes'!$G19))+(('Failure Rates'!D25)*((12-PersonMonthsPregnant!$M19)/12)*('NonPregnant Outcomes'!AI19))</f>
        <v>1010</v>
      </c>
      <c r="AJ19" s="46">
        <f>((1-'Failure Rates'!E25)*('NonPregnant Outcomes'!AJ19))+(('Failure Rates'!E25)*(PersonMonthsPregnant!$M19/12)*('Pregnant Outcomes'!$G19))+(('Failure Rates'!E25)*((12-PersonMonthsPregnant!$M19)/12)*('NonPregnant Outcomes'!AJ19))</f>
        <v>1010</v>
      </c>
      <c r="AK19" s="46">
        <f>((1-'Failure Rates'!F25)*('NonPregnant Outcomes'!AK19))+(('Failure Rates'!F25)*(PersonMonthsPregnant!$M47/12)*('Pregnant Outcomes'!$G19))+(('Failure Rates'!F25)*((12-PersonMonthsPregnant!$M47)/12)*('NonPregnant Outcomes'!AK19))</f>
        <v>1010</v>
      </c>
      <c r="AL19" s="46">
        <f>((1-'Failure Rates'!G25)*('NonPregnant Outcomes'!AL19))+(('Failure Rates'!G25)*(PersonMonthsPregnant!$M47/12)*('Pregnant Outcomes'!$G19))+(('Failure Rates'!G25)*((12-PersonMonthsPregnant!$M47)/12)*('NonPregnant Outcomes'!AL19))</f>
        <v>1010</v>
      </c>
      <c r="AM19" s="46">
        <f>((1-'Failure Rates'!H25)*('NonPregnant Outcomes'!AM19))+(('Failure Rates'!H25)*(PersonMonthsPregnant!$M19/12)*('Pregnant Outcomes'!$G19))+(('Failure Rates'!H25)*((12-PersonMonthsPregnant!$M19)/12)*('NonPregnant Outcomes'!AM19))</f>
        <v>1009.9999999999999</v>
      </c>
      <c r="AN19" s="46">
        <f>((1-'Failure Rates'!I25)*('NonPregnant Outcomes'!AN19))+(('Failure Rates'!I25)*(PersonMonthsPregnant!$M19/12)*('Pregnant Outcomes'!$G19))+(('Failure Rates'!I25)*((12-PersonMonthsPregnant!$M19)/12)*('NonPregnant Outcomes'!AN19))</f>
        <v>1010</v>
      </c>
      <c r="AO19" s="46">
        <f>((1-'Failure Rates'!J25)*('NonPregnant Outcomes'!AO19))+(('Failure Rates'!J25)*(PersonMonthsPregnant!$M19/12)*('Pregnant Outcomes'!$G19))+(('Failure Rates'!J25)*((12-PersonMonthsPregnant!$M19)/12)*('NonPregnant Outcomes'!AO19))</f>
        <v>1010</v>
      </c>
      <c r="AP19" s="46">
        <f>((1-'Failure Rates'!K25)*('NonPregnant Outcomes'!AP19))+(('Failure Rates'!K25)*(PersonMonthsPregnant!$M19/12)*('Pregnant Outcomes'!$G19))+(('Failure Rates'!K25)*((12-PersonMonthsPregnant!$M19)/12)*('NonPregnant Outcomes'!AP19))</f>
        <v>1010.0000000000001</v>
      </c>
      <c r="AQ19" s="46">
        <f>((1-'Failure Rates'!L25)*('NonPregnant Outcomes'!AQ19))+(('Failure Rates'!L25)*(PersonMonthsPregnant!$M19/12)*('Pregnant Outcomes'!$G19))+(('Failure Rates'!L25)*((12-PersonMonthsPregnant!$M19)/12)*('NonPregnant Outcomes'!AQ19))</f>
        <v>1010</v>
      </c>
      <c r="AR19" s="54">
        <f>'Pregnant Outcomes'!$I19</f>
        <v>91</v>
      </c>
      <c r="AS19" s="54">
        <f>(('Failure Rates'!$D25)*('Pregnant Outcomes'!$H19))</f>
        <v>55.12</v>
      </c>
      <c r="AT19" s="54">
        <f>(('Failure Rates'!$E25)*('Pregnant Outcomes'!$H19))</f>
        <v>55.12</v>
      </c>
      <c r="AU19" s="54">
        <f>(('Failure Rates'!$F25)*('Pregnant Outcomes'!$J19))</f>
        <v>1.9822000000000002</v>
      </c>
      <c r="AV19" s="54">
        <f>(('Failure Rates'!$G25)*('Pregnant Outcomes'!$K19))</f>
        <v>7.9288000000000007</v>
      </c>
      <c r="AW19" s="54">
        <f>(('Failure Rates'!$H25)*('Pregnant Outcomes'!$H19))</f>
        <v>21.2</v>
      </c>
      <c r="AX19" s="54">
        <f>(('Failure Rates'!$I25)*('Pregnant Outcomes'!$H19))</f>
        <v>0.26500000000000001</v>
      </c>
      <c r="AY19" s="54">
        <f>(('Failure Rates'!$J25)*('Pregnant Outcomes'!$H19))</f>
        <v>63.599999999999994</v>
      </c>
      <c r="AZ19" s="54">
        <f>(('Failure Rates'!$K25)*('Pregnant Outcomes'!$H19))</f>
        <v>104.94000000000001</v>
      </c>
      <c r="BA19" s="54">
        <f>('Failure Rates'!$L25)*('Pregnant Outcomes'!$H19)</f>
        <v>450.5</v>
      </c>
    </row>
    <row r="20" spans="1:53" x14ac:dyDescent="0.2">
      <c r="A20" t="s">
        <v>68</v>
      </c>
      <c r="B20" t="s">
        <v>6</v>
      </c>
      <c r="C20" t="str">
        <f t="shared" si="0"/>
        <v>A30_34_Htn</v>
      </c>
      <c r="D20" s="45">
        <f>((1-'Failure Rates'!C26)*('NonPregnant Outcomes'!D20))+(('Failure Rates'!C26)*(PersonMonthsPregnant!$M20/12)*('Pregnant Outcomes'!$D20))+(('Failure Rates'!C26)*((12-PersonMonthsPregnant!$M20)/12)*('NonPregnant Outcomes'!D20))</f>
        <v>37.400423223600001</v>
      </c>
      <c r="E20" s="45">
        <f>((1-'Failure Rates'!D26)*('NonPregnant Outcomes'!E20))+(('Failure Rates'!D26)*(PersonMonthsPregnant!$M20/12)*('Pregnant Outcomes'!$D20))+(('Failure Rates'!D26)*((12-PersonMonthsPregnant!$M20)/12)*('NonPregnant Outcomes'!E20))</f>
        <v>47.483470433519997</v>
      </c>
      <c r="F20" s="45">
        <f>((1-'Failure Rates'!E26)*('NonPregnant Outcomes'!F20))+(('Failure Rates'!E26)*(PersonMonthsPregnant!$M20/12)*('Pregnant Outcomes'!$D20))+(('Failure Rates'!E26)*((12-PersonMonthsPregnant!$M20)/12)*('NonPregnant Outcomes'!F20))</f>
        <v>47.483470433519997</v>
      </c>
      <c r="G20" s="45">
        <f>((1-'Failure Rates'!F26)*('NonPregnant Outcomes'!G20))+(('Failure Rates'!F26)*(PersonMonthsPregnant!$M48/12)*('Pregnant Outcomes'!$D20))+(('Failure Rates'!F26)*((12-PersonMonthsPregnant!$M48)/12)*('NonPregnant Outcomes'!G20))</f>
        <v>36.556983088300797</v>
      </c>
      <c r="H20" s="45">
        <f>((1-'Failure Rates'!G26)*('NonPregnant Outcomes'!H20))+(('Failure Rates'!G26)*(PersonMonthsPregnant!$M48/12)*('Pregnant Outcomes'!$D20))+(('Failure Rates'!G26)*((12-PersonMonthsPregnant!$M48)/12)*('NonPregnant Outcomes'!H20))</f>
        <v>38.227932353203208</v>
      </c>
      <c r="I20" s="45">
        <f>((1-'Failure Rates'!H26)*('NonPregnant Outcomes'!I20))+(('Failure Rates'!H26)*(PersonMonthsPregnant!$M20/12)*('Pregnant Outcomes'!$D20))+(('Failure Rates'!H26)*((12-PersonMonthsPregnant!$M20)/12)*('NonPregnant Outcomes'!I20))</f>
        <v>47.203385788799999</v>
      </c>
      <c r="J20" s="45">
        <f>((1-'Failure Rates'!I26)*('NonPregnant Outcomes'!J20))+(('Failure Rates'!I26)*(PersonMonthsPregnant!$M20/12)*('Pregnant Outcomes'!$D20))+(('Failure Rates'!I26)*((12-PersonMonthsPregnant!$M20)/12)*('NonPregnant Outcomes'!J20))</f>
        <v>36.140042322360003</v>
      </c>
      <c r="K20" s="45">
        <f>((1-'Failure Rates'!J26)*('NonPregnant Outcomes'!K20))+(('Failure Rates'!J26)*(PersonMonthsPregnant!$M20/12)*('Pregnant Outcomes'!$D20))+(('Failure Rates'!J26)*((12-PersonMonthsPregnant!$M20)/12)*('NonPregnant Outcomes'!K20))</f>
        <v>59.527110156480006</v>
      </c>
      <c r="L20" s="45">
        <f>((1-'Failure Rates'!K26)*('NonPregnant Outcomes'!L20))+(('Failure Rates'!K26)*(PersonMonthsPregnant!$M20/12)*('Pregnant Outcomes'!$D20))+(('Failure Rates'!K26)*((12-PersonMonthsPregnant!$M20)/12)*('NonPregnant Outcomes'!L20))</f>
        <v>85.574982115440022</v>
      </c>
      <c r="M20" s="45">
        <f>((1-'Failure Rates'!L26)*('NonPregnant Outcomes'!M20))+(('Failure Rates'!L26)*(PersonMonthsPregnant!$M20/12)*('Pregnant Outcomes'!$D20))+(('Failure Rates'!L26)*((12-PersonMonthsPregnant!$M20)/12)*('NonPregnant Outcomes'!M20))</f>
        <v>274.07194801200001</v>
      </c>
      <c r="N20" s="46">
        <f>((1-'Failure Rates'!C26)*('NonPregnant Outcomes'!N20))+(('Failure Rates'!C26)*(PersonMonthsPregnant!$M20/12)*('Pregnant Outcomes'!$E20))+(('Failure Rates'!C26)*((12-PersonMonthsPregnant!$M20)/12)*('NonPregnant Outcomes'!N20))</f>
        <v>11.596269446862498</v>
      </c>
      <c r="O20" s="46">
        <f>((1-'Failure Rates'!D26)*('NonPregnant Outcomes'!O20))+(('Failure Rates'!D26)*(PersonMonthsPregnant!$M20/12)*('Pregnant Outcomes'!$E20))+(('Failure Rates'!D26)*((12-PersonMonthsPregnant!$M20)/12)*('NonPregnant Outcomes'!O20))</f>
        <v>15.0146094642725</v>
      </c>
      <c r="P20" s="46">
        <f>((1-'Failure Rates'!E26)*('NonPregnant Outcomes'!P20))+(('Failure Rates'!E26)*(PersonMonthsPregnant!$M20/12)*('Pregnant Outcomes'!$E20))+(('Failure Rates'!E26)*((12-PersonMonthsPregnant!$M20)/12)*('NonPregnant Outcomes'!P20))</f>
        <v>15.0146094642725</v>
      </c>
      <c r="Q20" s="46">
        <f>((1-'Failure Rates'!F26)*('NonPregnant Outcomes'!Q20))+(('Failure Rates'!F26)*(PersonMonthsPregnant!$M48/12)*('Pregnant Outcomes'!$E20))+(('Failure Rates'!F26)*((12-PersonMonthsPregnant!$M48)/12)*('NonPregnant Outcomes'!Q20))</f>
        <v>11.310327597463399</v>
      </c>
      <c r="R20" s="46">
        <f>((1-'Failure Rates'!G26)*('NonPregnant Outcomes'!R20))+(('Failure Rates'!G26)*(PersonMonthsPregnant!$M48/12)*('Pregnant Outcomes'!$E20))+(('Failure Rates'!G26)*((12-PersonMonthsPregnant!$M48)/12)*('NonPregnant Outcomes'!R20))</f>
        <v>8.5527009895359196</v>
      </c>
      <c r="S20" s="46">
        <f>((1-'Failure Rates'!H26)*('NonPregnant Outcomes'!S20))+(('Failure Rates'!H26)*(PersonMonthsPregnant!$M20/12)*('Pregnant Outcomes'!$E20))+(('Failure Rates'!H26)*((12-PersonMonthsPregnant!$M20)/12)*('NonPregnant Outcomes'!S20))</f>
        <v>14.919655574899998</v>
      </c>
      <c r="T20" s="46">
        <f>((1-'Failure Rates'!I26)*('NonPregnant Outcomes'!T20))+(('Failure Rates'!I26)*(PersonMonthsPregnant!$M20/12)*('Pregnant Outcomes'!$E20))+(('Failure Rates'!I26)*((12-PersonMonthsPregnant!$M20)/12)*('NonPregnant Outcomes'!T20))</f>
        <v>11.16897694468625</v>
      </c>
      <c r="U20" s="46">
        <f>((1-'Failure Rates'!J26)*('NonPregnant Outcomes'!U20))+(('Failure Rates'!J26)*(PersonMonthsPregnant!$M20/12)*('Pregnant Outcomes'!$E20))+(('Failure Rates'!J26)*((12-PersonMonthsPregnant!$M20)/12)*('NonPregnant Outcomes'!U20))</f>
        <v>19.097626707289997</v>
      </c>
      <c r="V20" s="46">
        <f>((1-'Failure Rates'!K26)*('NonPregnant Outcomes'!V20))+(('Failure Rates'!K26)*(PersonMonthsPregnant!$M20/12)*('Pregnant Outcomes'!$E20))+(('Failure Rates'!K26)*((12-PersonMonthsPregnant!$M20)/12)*('NonPregnant Outcomes'!V20))</f>
        <v>27.928338418932498</v>
      </c>
      <c r="W20" s="46">
        <f>((1-'Failure Rates'!L26)*('NonPregnant Outcomes'!W20))+(('Failure Rates'!L26)*(PersonMonthsPregnant!$M20/12)*('Pregnant Outcomes'!$E20))+(('Failure Rates'!L26)*((12-PersonMonthsPregnant!$M20)/12)*('NonPregnant Outcomes'!W20))</f>
        <v>91.832305966625</v>
      </c>
      <c r="X20" s="54">
        <f>((1-'Failure Rates'!C26)*('NonPregnant Outcomes'!X20))+(('Failure Rates'!C26)*(VTEPersonMonthsPregnant!$M20/12)*('Pregnant Outcomes'!$F20))+(('Failure Rates'!C26)*((12-VTEPersonMonthsPregnant!$M20)/12)*('NonPregnant Outcomes'!X20))</f>
        <v>75.646390490000002</v>
      </c>
      <c r="Y20" s="54">
        <f>((1-'Failure Rates'!D26)*('NonPregnant Outcomes'!Y20))+(('Failure Rates'!D26)*(VTEPersonMonthsPregnant!$M20/12)*('Pregnant Outcomes'!$F20))+(('Failure Rates'!D26)*((12-VTEPersonMonthsPregnant!$M20)/12)*('NonPregnant Outcomes'!Y20))</f>
        <v>263.59640295550003</v>
      </c>
      <c r="Z20" s="54">
        <f>((1-'Failure Rates'!E26)*('NonPregnant Outcomes'!Z20))+(('Failure Rates'!E26)*(VTEPersonMonthsPregnant!$M20/12)*('Pregnant Outcomes'!$F20))+(('Failure Rates'!E26)*((12-VTEPersonMonthsPregnant!$M20)/12)*('NonPregnant Outcomes'!Z20))</f>
        <v>80.300402018</v>
      </c>
      <c r="AA20" s="54">
        <f>((1-'Failure Rates'!F26)*('NonPregnant Outcomes'!AA20))+(('Failure Rates'!F26)*(VTEPersonMonthsPregnant!$M48/12)*('Pregnant Outcomes'!$F20))+(('Failure Rates'!F26)*((12-VTEPersonMonthsPregnant!$M48)/12)*('NonPregnant Outcomes'!AA20))</f>
        <v>75.256987634720005</v>
      </c>
      <c r="AB20" s="54">
        <f>((1-'Failure Rates'!G26)*('NonPregnant Outcomes'!AB20))+(('Failure Rates'!G26)*(VTEPersonMonthsPregnant!$M48/12)*('Pregnant Outcomes'!$F20))+(('Failure Rates'!G26)*((12-VTEPersonMonthsPregnant!$M48)/12)*('NonPregnant Outcomes'!AB20))</f>
        <v>76.027950538880006</v>
      </c>
      <c r="AC20" s="54">
        <f>((1-'Failure Rates'!H26)*('NonPregnant Outcomes'!AC20))+(('Failure Rates'!H26)*(VTEPersonMonthsPregnant!$M20/12)*('Pregnant Outcomes'!$F20))+(('Failure Rates'!H26)*((12-VTEPersonMonthsPregnant!$M20)/12)*('NonPregnant Outcomes'!AC20))</f>
        <v>202.68134696999999</v>
      </c>
      <c r="AD20" s="54">
        <f>((1-'Failure Rates'!I26)*('NonPregnant Outcomes'!AD20))+(('Failure Rates'!I26)*(VTEPersonMonthsPregnant!$M20/12)*('Pregnant Outcomes'!$F20))+(('Failure Rates'!I26)*((12-VTEPersonMonthsPregnant!$M20)/12)*('NonPregnant Outcomes'!AD20))</f>
        <v>75.064639048999993</v>
      </c>
      <c r="AE20" s="54">
        <f>((1-'Failure Rates'!J26)*('NonPregnant Outcomes'!AE20))+(('Failure Rates'!J26)*(VTEPersonMonthsPregnant!$M20/12)*('Pregnant Outcomes'!$F20))+(('Failure Rates'!J26)*((12-VTEPersonMonthsPregnant!$M20)/12)*('NonPregnant Outcomes'!AE20))</f>
        <v>85.859360232</v>
      </c>
      <c r="AF20" s="54">
        <f>((1-'Failure Rates'!K26)*('NonPregnant Outcomes'!AF20))+(('Failure Rates'!K26)*(VTEPersonMonthsPregnant!$M20/12)*('Pregnant Outcomes'!$F20))+(('Failure Rates'!K26)*((12-VTEPersonMonthsPregnant!$M20)/12)*('NonPregnant Outcomes'!AF20))</f>
        <v>97.882223345999989</v>
      </c>
      <c r="AG20" s="54">
        <f>((1-'Failure Rates'!L26)*('NonPregnant Outcomes'!AG20))+(('Failure Rates'!L26)*(VTEPersonMonthsPregnant!$M20/12)*('Pregnant Outcomes'!$F20))+(('Failure Rates'!L26)*((12-VTEPersonMonthsPregnant!$M20)/12)*('NonPregnant Outcomes'!AG20))</f>
        <v>184.88638330000001</v>
      </c>
      <c r="AH20" s="46">
        <f>((1-'Failure Rates'!C26)*('NonPregnant Outcomes'!AH20))+(('Failure Rates'!C26)*(PersonMonthsPregnant!$M20/12)*('Pregnant Outcomes'!$G20))+(('Failure Rates'!C26)*((12-PersonMonthsPregnant!$M20)/12)*('NonPregnant Outcomes'!AH20))</f>
        <v>430</v>
      </c>
      <c r="AI20" s="46">
        <f>((1-'Failure Rates'!D26)*('NonPregnant Outcomes'!AI20))+(('Failure Rates'!D26)*(PersonMonthsPregnant!$M20/12)*('Pregnant Outcomes'!$G20))+(('Failure Rates'!D26)*((12-PersonMonthsPregnant!$M20)/12)*('NonPregnant Outcomes'!AI20))</f>
        <v>430</v>
      </c>
      <c r="AJ20" s="46">
        <f>((1-'Failure Rates'!E26)*('NonPregnant Outcomes'!AJ20))+(('Failure Rates'!E26)*(PersonMonthsPregnant!$M20/12)*('Pregnant Outcomes'!$G20))+(('Failure Rates'!E26)*((12-PersonMonthsPregnant!$M20)/12)*('NonPregnant Outcomes'!AJ20))</f>
        <v>430</v>
      </c>
      <c r="AK20" s="46">
        <f>((1-'Failure Rates'!F26)*('NonPregnant Outcomes'!AK20))+(('Failure Rates'!F26)*(PersonMonthsPregnant!$M48/12)*('Pregnant Outcomes'!$G20))+(('Failure Rates'!F26)*((12-PersonMonthsPregnant!$M48)/12)*('NonPregnant Outcomes'!AK20))</f>
        <v>430</v>
      </c>
      <c r="AL20" s="46">
        <f>((1-'Failure Rates'!G26)*('NonPregnant Outcomes'!AL20))+(('Failure Rates'!G26)*(PersonMonthsPregnant!$M48/12)*('Pregnant Outcomes'!$G20))+(('Failure Rates'!G26)*((12-PersonMonthsPregnant!$M48)/12)*('NonPregnant Outcomes'!AL20))</f>
        <v>430</v>
      </c>
      <c r="AM20" s="46">
        <f>((1-'Failure Rates'!H26)*('NonPregnant Outcomes'!AM20))+(('Failure Rates'!H26)*(PersonMonthsPregnant!$M20/12)*('Pregnant Outcomes'!$G20))+(('Failure Rates'!H26)*((12-PersonMonthsPregnant!$M20)/12)*('NonPregnant Outcomes'!AM20))</f>
        <v>430</v>
      </c>
      <c r="AN20" s="46">
        <f>((1-'Failure Rates'!I26)*('NonPregnant Outcomes'!AN20))+(('Failure Rates'!I26)*(PersonMonthsPregnant!$M20/12)*('Pregnant Outcomes'!$G20))+(('Failure Rates'!I26)*((12-PersonMonthsPregnant!$M20)/12)*('NonPregnant Outcomes'!AN20))</f>
        <v>430</v>
      </c>
      <c r="AO20" s="46">
        <f>((1-'Failure Rates'!J26)*('NonPregnant Outcomes'!AO20))+(('Failure Rates'!J26)*(PersonMonthsPregnant!$M20/12)*('Pregnant Outcomes'!$G20))+(('Failure Rates'!J26)*((12-PersonMonthsPregnant!$M20)/12)*('NonPregnant Outcomes'!AO20))</f>
        <v>430</v>
      </c>
      <c r="AP20" s="46">
        <f>((1-'Failure Rates'!K26)*('NonPregnant Outcomes'!AP20))+(('Failure Rates'!K26)*(PersonMonthsPregnant!$M20/12)*('Pregnant Outcomes'!$G20))+(('Failure Rates'!K26)*((12-PersonMonthsPregnant!$M20)/12)*('NonPregnant Outcomes'!AP20))</f>
        <v>430</v>
      </c>
      <c r="AQ20" s="46">
        <f>((1-'Failure Rates'!L26)*('NonPregnant Outcomes'!AQ20))+(('Failure Rates'!L26)*(PersonMonthsPregnant!$M20/12)*('Pregnant Outcomes'!$G20))+(('Failure Rates'!L26)*((12-PersonMonthsPregnant!$M20)/12)*('NonPregnant Outcomes'!AQ20))</f>
        <v>430</v>
      </c>
      <c r="AR20" s="54">
        <f>'Pregnant Outcomes'!$I20</f>
        <v>48</v>
      </c>
      <c r="AS20" s="54">
        <f>(('Failure Rates'!$D26)*('Pregnant Outcomes'!$H20))</f>
        <v>30.34</v>
      </c>
      <c r="AT20" s="54">
        <f>(('Failure Rates'!$E26)*('Pregnant Outcomes'!$H20))</f>
        <v>30.34</v>
      </c>
      <c r="AU20" s="54">
        <f>(('Failure Rates'!$F26)*('Pregnant Outcomes'!$J20))</f>
        <v>2.7676000000000003</v>
      </c>
      <c r="AV20" s="54">
        <f>(('Failure Rates'!$G26)*('Pregnant Outcomes'!$K20))</f>
        <v>11.070400000000001</v>
      </c>
      <c r="AW20" s="54">
        <f>(('Failure Rates'!$H26)*('Pregnant Outcomes'!$H20))</f>
        <v>29.6</v>
      </c>
      <c r="AX20" s="54">
        <f>(('Failure Rates'!$I26)*('Pregnant Outcomes'!$H20))</f>
        <v>0.37</v>
      </c>
      <c r="AY20" s="54">
        <f>(('Failure Rates'!$J26)*('Pregnant Outcomes'!$H20))</f>
        <v>62.160000000000004</v>
      </c>
      <c r="AZ20" s="54">
        <f>(('Failure Rates'!$K26)*('Pregnant Outcomes'!$H20))</f>
        <v>130.97999999999999</v>
      </c>
      <c r="BA20" s="54">
        <f>('Failure Rates'!$L26)*('Pregnant Outcomes'!$H20)</f>
        <v>629</v>
      </c>
    </row>
    <row r="21" spans="1:53" x14ac:dyDescent="0.2">
      <c r="A21" t="s">
        <v>69</v>
      </c>
      <c r="B21" t="s">
        <v>6</v>
      </c>
      <c r="C21" t="str">
        <f t="shared" si="0"/>
        <v>A35_39_Htn</v>
      </c>
      <c r="D21" s="45">
        <f>((1-'Failure Rates'!C27)*('NonPregnant Outcomes'!D21))+(('Failure Rates'!C27)*(PersonMonthsPregnant!$M21/12)*('Pregnant Outcomes'!$D21))+(('Failure Rates'!C27)*((12-PersonMonthsPregnant!$M21)/12)*('NonPregnant Outcomes'!D21))</f>
        <v>90.728663352333328</v>
      </c>
      <c r="E21" s="45">
        <f>((1-'Failure Rates'!D27)*('NonPregnant Outcomes'!E21))+(('Failure Rates'!D27)*(PersonMonthsPregnant!$M21/12)*('Pregnant Outcomes'!$D21))+(('Failure Rates'!D27)*((12-PersonMonthsPregnant!$M21)/12)*('NonPregnant Outcomes'!E21))</f>
        <v>110.37503948913334</v>
      </c>
      <c r="F21" s="45">
        <f>((1-'Failure Rates'!E27)*('NonPregnant Outcomes'!F21))+(('Failure Rates'!E27)*(PersonMonthsPregnant!$M21/12)*('Pregnant Outcomes'!$D21))+(('Failure Rates'!E27)*((12-PersonMonthsPregnant!$M21)/12)*('NonPregnant Outcomes'!F21))</f>
        <v>110.37503948913334</v>
      </c>
      <c r="G21" s="45">
        <f>((1-'Failure Rates'!F27)*('NonPregnant Outcomes'!G21))+(('Failure Rates'!F27)*(PersonMonthsPregnant!$M49/12)*('Pregnant Outcomes'!$D21))+(('Failure Rates'!F27)*((12-PersonMonthsPregnant!$M49)/12)*('NonPregnant Outcomes'!G21))</f>
        <v>89.083457987373336</v>
      </c>
      <c r="H21" s="45">
        <f>((1-'Failure Rates'!G27)*('NonPregnant Outcomes'!H21))+(('Failure Rates'!G27)*(PersonMonthsPregnant!$M49/12)*('Pregnant Outcomes'!$D21))+(('Failure Rates'!G27)*((12-PersonMonthsPregnant!$M49)/12)*('NonPregnant Outcomes'!H21))</f>
        <v>92.33383194949333</v>
      </c>
      <c r="I21" s="45">
        <f>((1-'Failure Rates'!H27)*('NonPregnant Outcomes'!I21))+(('Failure Rates'!H27)*(PersonMonthsPregnant!$M21/12)*('Pregnant Outcomes'!$D21))+(('Failure Rates'!H27)*((12-PersonMonthsPregnant!$M21)/12)*('NonPregnant Outcomes'!I21))</f>
        <v>109.82930681866665</v>
      </c>
      <c r="J21" s="45">
        <f>((1-'Failure Rates'!I27)*('NonPregnant Outcomes'!J21))+(('Failure Rates'!I27)*(PersonMonthsPregnant!$M21/12)*('Pregnant Outcomes'!$D21))+(('Failure Rates'!I27)*((12-PersonMonthsPregnant!$M21)/12)*('NonPregnant Outcomes'!J21))</f>
        <v>88.272866335233331</v>
      </c>
      <c r="K21" s="45">
        <f>((1-'Failure Rates'!J27)*('NonPregnant Outcomes'!K21))+(('Failure Rates'!J27)*(PersonMonthsPregnant!$M21/12)*('Pregnant Outcomes'!$D21))+(('Failure Rates'!J27)*((12-PersonMonthsPregnant!$M21)/12)*('NonPregnant Outcomes'!K21))</f>
        <v>133.84154431920001</v>
      </c>
      <c r="L21" s="45">
        <f>((1-'Failure Rates'!K27)*('NonPregnant Outcomes'!L21))+(('Failure Rates'!K27)*(PersonMonthsPregnant!$M21/12)*('Pregnant Outcomes'!$D21))+(('Failure Rates'!K27)*((12-PersonMonthsPregnant!$M21)/12)*('NonPregnant Outcomes'!L21))</f>
        <v>184.59468267259999</v>
      </c>
      <c r="M21" s="45">
        <f>((1-'Failure Rates'!L27)*('NonPregnant Outcomes'!M21))+(('Failure Rates'!L27)*(PersonMonthsPregnant!$M21/12)*('Pregnant Outcomes'!$D21))+(('Failure Rates'!L27)*((12-PersonMonthsPregnant!$M21)/12)*('NonPregnant Outcomes'!M21))</f>
        <v>551.87276989666668</v>
      </c>
      <c r="N21" s="46">
        <f>((1-'Failure Rates'!C27)*('NonPregnant Outcomes'!N21))+(('Failure Rates'!C27)*(PersonMonthsPregnant!$M21/12)*('Pregnant Outcomes'!$E21))+(('Failure Rates'!C27)*((12-PersonMonthsPregnant!$M21)/12)*('NonPregnant Outcomes'!N21))</f>
        <v>35.461447219675001</v>
      </c>
      <c r="O21" s="46">
        <f>((1-'Failure Rates'!D27)*('NonPregnant Outcomes'!O21))+(('Failure Rates'!D27)*(PersonMonthsPregnant!$M21/12)*('Pregnant Outcomes'!$E21))+(('Failure Rates'!D27)*((12-PersonMonthsPregnant!$M21)/12)*('NonPregnant Outcomes'!O21))</f>
        <v>40.328267201334995</v>
      </c>
      <c r="P21" s="46">
        <f>((1-'Failure Rates'!E27)*('NonPregnant Outcomes'!P21))+(('Failure Rates'!E27)*(PersonMonthsPregnant!$M21/12)*('Pregnant Outcomes'!$E21))+(('Failure Rates'!E27)*((12-PersonMonthsPregnant!$M21)/12)*('NonPregnant Outcomes'!P21))</f>
        <v>40.328267201334995</v>
      </c>
      <c r="Q21" s="46">
        <f>((1-'Failure Rates'!F27)*('NonPregnant Outcomes'!Q21))+(('Failure Rates'!F27)*(PersonMonthsPregnant!$M49/12)*('Pregnant Outcomes'!$E21))+(('Failure Rates'!F27)*((12-PersonMonthsPregnant!$M49)/12)*('NonPregnant Outcomes'!Q21))</f>
        <v>35.053895298222997</v>
      </c>
      <c r="R21" s="46">
        <f>((1-'Failure Rates'!G27)*('NonPregnant Outcomes'!R21))+(('Failure Rates'!G27)*(PersonMonthsPregnant!$M49/12)*('Pregnant Outcomes'!$E21))+(('Failure Rates'!G27)*((12-PersonMonthsPregnant!$M49)/12)*('NonPregnant Outcomes'!R21))</f>
        <v>25.458483316792396</v>
      </c>
      <c r="S21" s="46">
        <f>((1-'Failure Rates'!H27)*('NonPregnant Outcomes'!S21))+(('Failure Rates'!H27)*(PersonMonthsPregnant!$M21/12)*('Pregnant Outcomes'!$E21))+(('Failure Rates'!H27)*((12-PersonMonthsPregnant!$M21)/12)*('NonPregnant Outcomes'!S21))</f>
        <v>40.193077757399998</v>
      </c>
      <c r="T21" s="46">
        <f>((1-'Failure Rates'!I27)*('NonPregnant Outcomes'!T21))+(('Failure Rates'!I27)*(PersonMonthsPregnant!$M21/12)*('Pregnant Outcomes'!$E21))+(('Failure Rates'!I27)*((12-PersonMonthsPregnant!$M21)/12)*('NonPregnant Outcomes'!T21))</f>
        <v>34.853094721967501</v>
      </c>
      <c r="U21" s="46">
        <f>((1-'Failure Rates'!J27)*('NonPregnant Outcomes'!U21))+(('Failure Rates'!J27)*(PersonMonthsPregnant!$M21/12)*('Pregnant Outcomes'!$E21))+(('Failure Rates'!J27)*((12-PersonMonthsPregnant!$M21)/12)*('NonPregnant Outcomes'!U21))</f>
        <v>46.141413290540001</v>
      </c>
      <c r="V21" s="46">
        <f>((1-'Failure Rates'!K27)*('NonPregnant Outcomes'!V21))+(('Failure Rates'!K27)*(PersonMonthsPregnant!$M21/12)*('Pregnant Outcomes'!$E21))+(('Failure Rates'!K27)*((12-PersonMonthsPregnant!$M21)/12)*('NonPregnant Outcomes'!V21))</f>
        <v>58.714031576494989</v>
      </c>
      <c r="W21" s="46">
        <f>((1-'Failure Rates'!L27)*('NonPregnant Outcomes'!W21))+(('Failure Rates'!L27)*(PersonMonthsPregnant!$M21/12)*('Pregnant Outcomes'!$E21))+(('Failure Rates'!L27)*((12-PersonMonthsPregnant!$M21)/12)*('NonPregnant Outcomes'!W21))</f>
        <v>149.69652734475</v>
      </c>
      <c r="X21" s="54">
        <f>((1-'Failure Rates'!C27)*('NonPregnant Outcomes'!X21))+(('Failure Rates'!C27)*(VTEPersonMonthsPregnant!$M21/12)*('Pregnant Outcomes'!$F21))+(('Failure Rates'!C27)*((12-VTEPersonMonthsPregnant!$M21)/12)*('NonPregnant Outcomes'!X21))</f>
        <v>74.759025236666659</v>
      </c>
      <c r="Y21" s="54">
        <f>((1-'Failure Rates'!D27)*('NonPregnant Outcomes'!Y21))+(('Failure Rates'!D27)*(VTEPersonMonthsPregnant!$M21/12)*('Pregnant Outcomes'!$F21))+(('Failure Rates'!D27)*((12-VTEPersonMonthsPregnant!$M21)/12)*('NonPregnant Outcomes'!Y21))</f>
        <v>261.50247725733334</v>
      </c>
      <c r="Z21" s="54">
        <f>((1-'Failure Rates'!E27)*('NonPregnant Outcomes'!Z21))+(('Failure Rates'!E27)*(VTEPersonMonthsPregnant!$M21/12)*('Pregnant Outcomes'!$F21))+(('Failure Rates'!E27)*((12-VTEPersonMonthsPregnant!$M21)/12)*('NonPregnant Outcomes'!Z21))</f>
        <v>80.224006940666655</v>
      </c>
      <c r="AA21" s="54">
        <f>((1-'Failure Rates'!F27)*('NonPregnant Outcomes'!AA21))+(('Failure Rates'!F27)*(VTEPersonMonthsPregnant!$M49/12)*('Pregnant Outcomes'!$F21))+(('Failure Rates'!F27)*((12-VTEPersonMonthsPregnant!$M49)/12)*('NonPregnant Outcomes'!AA21))</f>
        <v>74.30120543786667</v>
      </c>
      <c r="AB21" s="54">
        <f>((1-'Failure Rates'!G27)*('NonPregnant Outcomes'!AB21))+(('Failure Rates'!G27)*(VTEPersonMonthsPregnant!$M49/12)*('Pregnant Outcomes'!$F21))+(('Failure Rates'!G27)*((12-VTEPersonMonthsPregnant!$M49)/12)*('NonPregnant Outcomes'!AB21))</f>
        <v>75.204821751466667</v>
      </c>
      <c r="AC21" s="54">
        <f>((1-'Failure Rates'!H27)*('NonPregnant Outcomes'!AC21))+(('Failure Rates'!H27)*(VTEPersonMonthsPregnant!$M21/12)*('Pregnant Outcomes'!$F21))+(('Failure Rates'!H27)*((12-VTEPersonMonthsPregnant!$M21)/12)*('NonPregnant Outcomes'!AC21))</f>
        <v>201.22685376799998</v>
      </c>
      <c r="AD21" s="54">
        <f>((1-'Failure Rates'!I27)*('NonPregnant Outcomes'!AD21))+(('Failure Rates'!I27)*(VTEPersonMonthsPregnant!$M21/12)*('Pregnant Outcomes'!$F21))+(('Failure Rates'!I27)*((12-VTEPersonMonthsPregnant!$M21)/12)*('NonPregnant Outcomes'!AD21))</f>
        <v>74.075902523666684</v>
      </c>
      <c r="AE21" s="54">
        <f>((1-'Failure Rates'!J27)*('NonPregnant Outcomes'!AE21))+(('Failure Rates'!J27)*(VTEPersonMonthsPregnant!$M21/12)*('Pregnant Outcomes'!$F21))+(('Failure Rates'!J27)*((12-VTEPersonMonthsPregnant!$M21)/12)*('NonPregnant Outcomes'!AE21))</f>
        <v>86.751623976000019</v>
      </c>
      <c r="AF21" s="54">
        <f>((1-'Failure Rates'!K27)*('NonPregnant Outcomes'!AF21))+(('Failure Rates'!K27)*(VTEPersonMonthsPregnant!$M21/12)*('Pregnant Outcomes'!$F21))+(('Failure Rates'!K27)*((12-VTEPersonMonthsPregnant!$M21)/12)*('NonPregnant Outcomes'!AF21))</f>
        <v>100.86949337799999</v>
      </c>
      <c r="AG21" s="54">
        <f>((1-'Failure Rates'!L27)*('NonPregnant Outcomes'!AG21))+(('Failure Rates'!L27)*(VTEPersonMonthsPregnant!$M21/12)*('Pregnant Outcomes'!$F21))+(('Failure Rates'!L27)*((12-VTEPersonMonthsPregnant!$M21)/12)*('NonPregnant Outcomes'!AG21))</f>
        <v>203.03429023333334</v>
      </c>
      <c r="AH21" s="46">
        <f>((1-'Failure Rates'!C27)*('NonPregnant Outcomes'!AH21))+(('Failure Rates'!C27)*(PersonMonthsPregnant!$M21/12)*('Pregnant Outcomes'!$G21))+(('Failure Rates'!C27)*((12-PersonMonthsPregnant!$M21)/12)*('NonPregnant Outcomes'!AH21))</f>
        <v>440.00000000000006</v>
      </c>
      <c r="AI21" s="46">
        <f>((1-'Failure Rates'!D27)*('NonPregnant Outcomes'!AI21))+(('Failure Rates'!D27)*(PersonMonthsPregnant!$M21/12)*('Pregnant Outcomes'!$G21))+(('Failure Rates'!D27)*((12-PersonMonthsPregnant!$M21)/12)*('NonPregnant Outcomes'!AI21))</f>
        <v>440.00000000000006</v>
      </c>
      <c r="AJ21" s="46">
        <f>((1-'Failure Rates'!E27)*('NonPregnant Outcomes'!AJ21))+(('Failure Rates'!E27)*(PersonMonthsPregnant!$M21/12)*('Pregnant Outcomes'!$G21))+(('Failure Rates'!E27)*((12-PersonMonthsPregnant!$M21)/12)*('NonPregnant Outcomes'!AJ21))</f>
        <v>440.00000000000006</v>
      </c>
      <c r="AK21" s="46">
        <f>((1-'Failure Rates'!F27)*('NonPregnant Outcomes'!AK21))+(('Failure Rates'!F27)*(PersonMonthsPregnant!$M49/12)*('Pregnant Outcomes'!$G21))+(('Failure Rates'!F27)*((12-PersonMonthsPregnant!$M49)/12)*('NonPregnant Outcomes'!AK21))</f>
        <v>440.00000000000006</v>
      </c>
      <c r="AL21" s="46">
        <f>((1-'Failure Rates'!G27)*('NonPregnant Outcomes'!AL21))+(('Failure Rates'!G27)*(PersonMonthsPregnant!$M49/12)*('Pregnant Outcomes'!$G21))+(('Failure Rates'!G27)*((12-PersonMonthsPregnant!$M49)/12)*('NonPregnant Outcomes'!AL21))</f>
        <v>440.00000000000006</v>
      </c>
      <c r="AM21" s="46">
        <f>((1-'Failure Rates'!H27)*('NonPregnant Outcomes'!AM21))+(('Failure Rates'!H27)*(PersonMonthsPregnant!$M21/12)*('Pregnant Outcomes'!$G21))+(('Failure Rates'!H27)*((12-PersonMonthsPregnant!$M21)/12)*('NonPregnant Outcomes'!AM21))</f>
        <v>440.00000000000006</v>
      </c>
      <c r="AN21" s="46">
        <f>((1-'Failure Rates'!I27)*('NonPregnant Outcomes'!AN21))+(('Failure Rates'!I27)*(PersonMonthsPregnant!$M21/12)*('Pregnant Outcomes'!$G21))+(('Failure Rates'!I27)*((12-PersonMonthsPregnant!$M21)/12)*('NonPregnant Outcomes'!AN21))</f>
        <v>440.00000000000011</v>
      </c>
      <c r="AO21" s="46">
        <f>((1-'Failure Rates'!J27)*('NonPregnant Outcomes'!AO21))+(('Failure Rates'!J27)*(PersonMonthsPregnant!$M21/12)*('Pregnant Outcomes'!$G21))+(('Failure Rates'!J27)*((12-PersonMonthsPregnant!$M21)/12)*('NonPregnant Outcomes'!AO21))</f>
        <v>440.00000000000011</v>
      </c>
      <c r="AP21" s="46">
        <f>((1-'Failure Rates'!K27)*('NonPregnant Outcomes'!AP21))+(('Failure Rates'!K27)*(PersonMonthsPregnant!$M21/12)*('Pregnant Outcomes'!$G21))+(('Failure Rates'!K27)*((12-PersonMonthsPregnant!$M21)/12)*('NonPregnant Outcomes'!AP21))</f>
        <v>440</v>
      </c>
      <c r="AQ21" s="46">
        <f>((1-'Failure Rates'!L27)*('NonPregnant Outcomes'!AQ21))+(('Failure Rates'!L27)*(PersonMonthsPregnant!$M21/12)*('Pregnant Outcomes'!$G21))+(('Failure Rates'!L27)*((12-PersonMonthsPregnant!$M21)/12)*('NonPregnant Outcomes'!AQ21))</f>
        <v>440.00000000000011</v>
      </c>
      <c r="AR21" s="54">
        <f>'Pregnant Outcomes'!$I21</f>
        <v>48</v>
      </c>
      <c r="AS21" s="54">
        <f>(('Failure Rates'!$D27)*('Pregnant Outcomes'!$H21))</f>
        <v>40.590000000000003</v>
      </c>
      <c r="AT21" s="54">
        <f>(('Failure Rates'!$E27)*('Pregnant Outcomes'!$H21))</f>
        <v>40.590000000000003</v>
      </c>
      <c r="AU21" s="54">
        <f>(('Failure Rates'!$F27)*('Pregnant Outcomes'!$J21))</f>
        <v>3.7026000000000003</v>
      </c>
      <c r="AV21" s="54">
        <f>(('Failure Rates'!$G27)*('Pregnant Outcomes'!$K21))</f>
        <v>14.810400000000001</v>
      </c>
      <c r="AW21" s="54">
        <f>(('Failure Rates'!$H27)*('Pregnant Outcomes'!$H21))</f>
        <v>39.6</v>
      </c>
      <c r="AX21" s="54">
        <f>(('Failure Rates'!$I27)*('Pregnant Outcomes'!$H21))</f>
        <v>0.495</v>
      </c>
      <c r="AY21" s="54">
        <f>(('Failure Rates'!$J27)*('Pregnant Outcomes'!$H21))</f>
        <v>83.160000000000011</v>
      </c>
      <c r="AZ21" s="54">
        <f>(('Failure Rates'!$K27)*('Pregnant Outcomes'!$H21))</f>
        <v>175.23</v>
      </c>
      <c r="BA21" s="54">
        <f>('Failure Rates'!$L27)*('Pregnant Outcomes'!$H21)</f>
        <v>841.5</v>
      </c>
    </row>
    <row r="22" spans="1:53" x14ac:dyDescent="0.2">
      <c r="A22" t="s">
        <v>70</v>
      </c>
      <c r="B22" t="s">
        <v>6</v>
      </c>
      <c r="C22" t="str">
        <f t="shared" si="0"/>
        <v>A40_44_Htn</v>
      </c>
      <c r="D22" s="45">
        <f>((1-'Failure Rates'!C28)*('NonPregnant Outcomes'!D22))+(('Failure Rates'!C28)*(PersonMonthsPregnant!$M22/12)*('Pregnant Outcomes'!$D22))+(('Failure Rates'!C28)*((12-PersonMonthsPregnant!$M22)/12)*('NonPregnant Outcomes'!D22))</f>
        <v>204.21353255280002</v>
      </c>
      <c r="E22" s="45">
        <f>((1-'Failure Rates'!D28)*('NonPregnant Outcomes'!E22))+(('Failure Rates'!D28)*(PersonMonthsPregnant!$M22/12)*('Pregnant Outcomes'!$D22))+(('Failure Rates'!D28)*((12-PersonMonthsPregnant!$M22)/12)*('NonPregnant Outcomes'!E22))</f>
        <v>234.55096693295999</v>
      </c>
      <c r="F22" s="45">
        <f>((1-'Failure Rates'!E28)*('NonPregnant Outcomes'!F22))+(('Failure Rates'!E28)*(PersonMonthsPregnant!$M22/12)*('Pregnant Outcomes'!$D22))+(('Failure Rates'!E28)*((12-PersonMonthsPregnant!$M22)/12)*('NonPregnant Outcomes'!F22))</f>
        <v>234.55096693295999</v>
      </c>
      <c r="G22" s="45">
        <f>((1-'Failure Rates'!F28)*('NonPregnant Outcomes'!G22))+(('Failure Rates'!F28)*(PersonMonthsPregnant!$M50/12)*('Pregnant Outcomes'!$D22))+(('Failure Rates'!F28)*((12-PersonMonthsPregnant!$M50)/12)*('NonPregnant Outcomes'!G22))</f>
        <v>201.67429412065678</v>
      </c>
      <c r="H22" s="45">
        <f>((1-'Failure Rates'!G28)*('NonPregnant Outcomes'!H22))+(('Failure Rates'!G28)*(PersonMonthsPregnant!$M50/12)*('Pregnant Outcomes'!$D22))+(('Failure Rates'!G28)*((12-PersonMonthsPregnant!$M50)/12)*('NonPregnant Outcomes'!H22))</f>
        <v>206.69717648262721</v>
      </c>
      <c r="I22" s="45">
        <f>((1-'Failure Rates'!H28)*('NonPregnant Outcomes'!I22))+(('Failure Rates'!H28)*(PersonMonthsPregnant!$M22/12)*('Pregnant Outcomes'!$D22))+(('Failure Rates'!H28)*((12-PersonMonthsPregnant!$M22)/12)*('NonPregnant Outcomes'!I22))</f>
        <v>233.7082604224</v>
      </c>
      <c r="J22" s="45">
        <f>((1-'Failure Rates'!I28)*('NonPregnant Outcomes'!J22))+(('Failure Rates'!I28)*(PersonMonthsPregnant!$M22/12)*('Pregnant Outcomes'!$D22))+(('Failure Rates'!I28)*((12-PersonMonthsPregnant!$M22)/12)*('NonPregnant Outcomes'!J22))</f>
        <v>200.42135325528002</v>
      </c>
      <c r="K22" s="45">
        <f>((1-'Failure Rates'!J28)*('NonPregnant Outcomes'!K22))+(('Failure Rates'!J28)*(PersonMonthsPregnant!$M22/12)*('Pregnant Outcomes'!$D22))+(('Failure Rates'!J28)*((12-PersonMonthsPregnant!$M22)/12)*('NonPregnant Outcomes'!K22))</f>
        <v>270.78734688704003</v>
      </c>
      <c r="L22" s="45">
        <f>((1-'Failure Rates'!K28)*('NonPregnant Outcomes'!L22))+(('Failure Rates'!K28)*(PersonMonthsPregnant!$M22/12)*('Pregnant Outcomes'!$D22))+(('Failure Rates'!K28)*((12-PersonMonthsPregnant!$M22)/12)*('NonPregnant Outcomes'!L22))</f>
        <v>349.15905236911993</v>
      </c>
      <c r="M22" s="45">
        <f>((1-'Failure Rates'!L28)*('NonPregnant Outcomes'!M22))+(('Failure Rates'!L28)*(PersonMonthsPregnant!$M22/12)*('Pregnant Outcomes'!$D22))+(('Failure Rates'!L28)*((12-PersonMonthsPregnant!$M22)/12)*('NonPregnant Outcomes'!M22))</f>
        <v>916.300533976</v>
      </c>
      <c r="N22" s="46">
        <f>((1-'Failure Rates'!C28)*('NonPregnant Outcomes'!N22))+(('Failure Rates'!C28)*(PersonMonthsPregnant!$M22/12)*('Pregnant Outcomes'!$E22))+(('Failure Rates'!C28)*((12-PersonMonthsPregnant!$M22)/12)*('NonPregnant Outcomes'!N22))</f>
        <v>35.8803420407</v>
      </c>
      <c r="O22" s="46">
        <f>((1-'Failure Rates'!D28)*('NonPregnant Outcomes'!O22))+(('Failure Rates'!D28)*(PersonMonthsPregnant!$M22/12)*('Pregnant Outcomes'!$E22))+(('Failure Rates'!D28)*((12-PersonMonthsPregnant!$M22)/12)*('NonPregnant Outcomes'!O22))</f>
        <v>43.763204733739997</v>
      </c>
      <c r="P22" s="46">
        <f>((1-'Failure Rates'!E28)*('NonPregnant Outcomes'!P22))+(('Failure Rates'!E28)*(PersonMonthsPregnant!$M22/12)*('Pregnant Outcomes'!$E22))+(('Failure Rates'!E28)*((12-PersonMonthsPregnant!$M22)/12)*('NonPregnant Outcomes'!P22))</f>
        <v>43.763204733739997</v>
      </c>
      <c r="Q22" s="46">
        <f>((1-'Failure Rates'!F28)*('NonPregnant Outcomes'!Q22))+(('Failure Rates'!F28)*(PersonMonthsPregnant!$M50/12)*('Pregnant Outcomes'!$E22))+(('Failure Rates'!F28)*((12-PersonMonthsPregnant!$M50)/12)*('NonPregnant Outcomes'!Q22))</f>
        <v>35.220547687141696</v>
      </c>
      <c r="R22" s="46">
        <f>((1-'Failure Rates'!G28)*('NonPregnant Outcomes'!R22))+(('Failure Rates'!G28)*(PersonMonthsPregnant!$M50/12)*('Pregnant Outcomes'!$E22))+(('Failure Rates'!G28)*((12-PersonMonthsPregnant!$M50)/12)*('NonPregnant Outcomes'!R22))</f>
        <v>26.125148554312755</v>
      </c>
      <c r="S22" s="46">
        <f>((1-'Failure Rates'!H28)*('NonPregnant Outcomes'!S22))+(('Failure Rates'!H28)*(PersonMonthsPregnant!$M22/12)*('Pregnant Outcomes'!$E22))+(('Failure Rates'!H28)*((12-PersonMonthsPregnant!$M22)/12)*('NonPregnant Outcomes'!S22))</f>
        <v>43.544236325599996</v>
      </c>
      <c r="T22" s="46">
        <f>((1-'Failure Rates'!I28)*('NonPregnant Outcomes'!T22))+(('Failure Rates'!I28)*(PersonMonthsPregnant!$M22/12)*('Pregnant Outcomes'!$E22))+(('Failure Rates'!I28)*((12-PersonMonthsPregnant!$M22)/12)*('NonPregnant Outcomes'!T22))</f>
        <v>34.894984204069999</v>
      </c>
      <c r="U22" s="46">
        <f>((1-'Failure Rates'!J28)*('NonPregnant Outcomes'!U22))+(('Failure Rates'!J28)*(PersonMonthsPregnant!$M22/12)*('Pregnant Outcomes'!$E22))+(('Failure Rates'!J28)*((12-PersonMonthsPregnant!$M22)/12)*('NonPregnant Outcomes'!U22))</f>
        <v>53.178846283760002</v>
      </c>
      <c r="V22" s="46">
        <f>((1-'Failure Rates'!K28)*('NonPregnant Outcomes'!V22))+(('Failure Rates'!K28)*(PersonMonthsPregnant!$M22/12)*('Pregnant Outcomes'!$E22))+(('Failure Rates'!K28)*((12-PersonMonthsPregnant!$M22)/12)*('NonPregnant Outcomes'!V22))</f>
        <v>73.54290824077998</v>
      </c>
      <c r="W22" s="46">
        <f>((1-'Failure Rates'!L28)*('NonPregnant Outcomes'!W22))+(('Failure Rates'!L28)*(PersonMonthsPregnant!$M22/12)*('Pregnant Outcomes'!$E22))+(('Failure Rates'!L28)*((12-PersonMonthsPregnant!$M22)/12)*('NonPregnant Outcomes'!W22))</f>
        <v>220.90864691899998</v>
      </c>
      <c r="X22" s="54">
        <f>((1-'Failure Rates'!C28)*('NonPregnant Outcomes'!X22))+(('Failure Rates'!C28)*(VTEPersonMonthsPregnant!$M22/12)*('Pregnant Outcomes'!$F22))+(('Failure Rates'!C28)*((12-VTEPersonMonthsPregnant!$M22)/12)*('NonPregnant Outcomes'!X22))</f>
        <v>85.008272050000002</v>
      </c>
      <c r="Y22" s="54">
        <f>((1-'Failure Rates'!D28)*('NonPregnant Outcomes'!Y22))+(('Failure Rates'!D28)*(VTEPersonMonthsPregnant!$M22/12)*('Pregnant Outcomes'!$F22))+(('Failure Rates'!D28)*((12-VTEPersonMonthsPregnant!$M22)/12)*('NonPregnant Outcomes'!Y22))</f>
        <v>298.04339170999998</v>
      </c>
      <c r="Z22" s="54">
        <f>((1-'Failure Rates'!E28)*('NonPregnant Outcomes'!Z22))+(('Failure Rates'!E28)*(VTEPersonMonthsPregnant!$M22/12)*('Pregnant Outcomes'!$F22))+(('Failure Rates'!E28)*((12-VTEPersonMonthsPregnant!$M22)/12)*('NonPregnant Outcomes'!Z22))</f>
        <v>92.267830809999992</v>
      </c>
      <c r="AA22" s="54">
        <f>((1-'Failure Rates'!F28)*('NonPregnant Outcomes'!AA22))+(('Failure Rates'!F28)*(VTEPersonMonthsPregnant!$M50/12)*('Pregnant Outcomes'!$F22))+(('Failure Rates'!F28)*((12-VTEPersonMonthsPregnant!$M50)/12)*('NonPregnant Outcomes'!AA22))</f>
        <v>84.400114527999989</v>
      </c>
      <c r="AB22" s="54">
        <f>((1-'Failure Rates'!G28)*('NonPregnant Outcomes'!AB22))+(('Failure Rates'!G28)*(VTEPersonMonthsPregnant!$M50/12)*('Pregnant Outcomes'!$F22))+(('Failure Rates'!G28)*((12-VTEPersonMonthsPregnant!$M50)/12)*('NonPregnant Outcomes'!AB22))</f>
        <v>85.600458112000013</v>
      </c>
      <c r="AC22" s="54">
        <f>((1-'Failure Rates'!H28)*('NonPregnant Outcomes'!AC22))+(('Failure Rates'!H28)*(VTEPersonMonthsPregnant!$M22/12)*('Pregnant Outcomes'!$F22))+(('Failure Rates'!H28)*((12-VTEPersonMonthsPregnant!$M22)/12)*('NonPregnant Outcomes'!AC22))</f>
        <v>229.59307852800001</v>
      </c>
      <c r="AD22" s="54">
        <f>((1-'Failure Rates'!I28)*('NonPregnant Outcomes'!AD22))+(('Failure Rates'!I28)*(VTEPersonMonthsPregnant!$M22/12)*('Pregnant Outcomes'!$F22))+(('Failure Rates'!I28)*((12-VTEPersonMonthsPregnant!$M22)/12)*('NonPregnant Outcomes'!AD22))</f>
        <v>84.100827205000002</v>
      </c>
      <c r="AE22" s="54">
        <f>((1-'Failure Rates'!J28)*('NonPregnant Outcomes'!AE22))+(('Failure Rates'!J28)*(VTEPersonMonthsPregnant!$M22/12)*('Pregnant Outcomes'!$F22))+(('Failure Rates'!J28)*((12-VTEPersonMonthsPregnant!$M22)/12)*('NonPregnant Outcomes'!AE22))</f>
        <v>100.93897043999999</v>
      </c>
      <c r="AF22" s="54">
        <f>((1-'Failure Rates'!K28)*('NonPregnant Outcomes'!AF22))+(('Failure Rates'!K28)*(VTEPersonMonthsPregnant!$M22/12)*('Pregnant Outcomes'!$F22))+(('Failure Rates'!K28)*((12-VTEPersonMonthsPregnant!$M22)/12)*('NonPregnant Outcomes'!AF22))</f>
        <v>119.69283056999998</v>
      </c>
      <c r="AG22" s="54">
        <f>((1-'Failure Rates'!L28)*('NonPregnant Outcomes'!AG22))+(('Failure Rates'!L28)*(VTEPersonMonthsPregnant!$M22/12)*('Pregnant Outcomes'!$F22))+(('Failure Rates'!L28)*((12-VTEPersonMonthsPregnant!$M22)/12)*('NonPregnant Outcomes'!AG22))</f>
        <v>255.40624849999998</v>
      </c>
      <c r="AH22" s="46">
        <f>((1-'Failure Rates'!C28)*('NonPregnant Outcomes'!AH22))+(('Failure Rates'!C28)*(PersonMonthsPregnant!$M22/12)*('Pregnant Outcomes'!$G22))+(('Failure Rates'!C28)*((12-PersonMonthsPregnant!$M22)/12)*('NonPregnant Outcomes'!AH22))</f>
        <v>280</v>
      </c>
      <c r="AI22" s="46">
        <f>((1-'Failure Rates'!D28)*('NonPregnant Outcomes'!AI22))+(('Failure Rates'!D28)*(PersonMonthsPregnant!$M22/12)*('Pregnant Outcomes'!$G22))+(('Failure Rates'!D28)*((12-PersonMonthsPregnant!$M22)/12)*('NonPregnant Outcomes'!AI22))</f>
        <v>280</v>
      </c>
      <c r="AJ22" s="46">
        <f>((1-'Failure Rates'!E28)*('NonPregnant Outcomes'!AJ22))+(('Failure Rates'!E28)*(PersonMonthsPregnant!$M22/12)*('Pregnant Outcomes'!$G22))+(('Failure Rates'!E28)*((12-PersonMonthsPregnant!$M22)/12)*('NonPregnant Outcomes'!AJ22))</f>
        <v>280</v>
      </c>
      <c r="AK22" s="46">
        <f>((1-'Failure Rates'!F28)*('NonPregnant Outcomes'!AK22))+(('Failure Rates'!F28)*(PersonMonthsPregnant!$M50/12)*('Pregnant Outcomes'!$G22))+(('Failure Rates'!F28)*((12-PersonMonthsPregnant!$M50)/12)*('NonPregnant Outcomes'!AK22))</f>
        <v>280</v>
      </c>
      <c r="AL22" s="46">
        <f>((1-'Failure Rates'!G28)*('NonPregnant Outcomes'!AL22))+(('Failure Rates'!G28)*(PersonMonthsPregnant!$M50/12)*('Pregnant Outcomes'!$G22))+(('Failure Rates'!G28)*((12-PersonMonthsPregnant!$M50)/12)*('NonPregnant Outcomes'!AL22))</f>
        <v>280</v>
      </c>
      <c r="AM22" s="46">
        <f>((1-'Failure Rates'!H28)*('NonPregnant Outcomes'!AM22))+(('Failure Rates'!H28)*(PersonMonthsPregnant!$M22/12)*('Pregnant Outcomes'!$G22))+(('Failure Rates'!H28)*((12-PersonMonthsPregnant!$M22)/12)*('NonPregnant Outcomes'!AM22))</f>
        <v>280</v>
      </c>
      <c r="AN22" s="46">
        <f>((1-'Failure Rates'!I28)*('NonPregnant Outcomes'!AN22))+(('Failure Rates'!I28)*(PersonMonthsPregnant!$M22/12)*('Pregnant Outcomes'!$G22))+(('Failure Rates'!I28)*((12-PersonMonthsPregnant!$M22)/12)*('NonPregnant Outcomes'!AN22))</f>
        <v>280</v>
      </c>
      <c r="AO22" s="46">
        <f>((1-'Failure Rates'!J28)*('NonPregnant Outcomes'!AO22))+(('Failure Rates'!J28)*(PersonMonthsPregnant!$M22/12)*('Pregnant Outcomes'!$G22))+(('Failure Rates'!J28)*((12-PersonMonthsPregnant!$M22)/12)*('NonPregnant Outcomes'!AO22))</f>
        <v>280.00000000000006</v>
      </c>
      <c r="AP22" s="46">
        <f>((1-'Failure Rates'!K28)*('NonPregnant Outcomes'!AP22))+(('Failure Rates'!K28)*(PersonMonthsPregnant!$M22/12)*('Pregnant Outcomes'!$G22))+(('Failure Rates'!K28)*((12-PersonMonthsPregnant!$M22)/12)*('NonPregnant Outcomes'!AP22))</f>
        <v>280</v>
      </c>
      <c r="AQ22" s="46">
        <f>((1-'Failure Rates'!L28)*('NonPregnant Outcomes'!AQ22))+(('Failure Rates'!L28)*(PersonMonthsPregnant!$M22/12)*('Pregnant Outcomes'!$G22))+(('Failure Rates'!L28)*((12-PersonMonthsPregnant!$M22)/12)*('NonPregnant Outcomes'!AQ22))</f>
        <v>280</v>
      </c>
      <c r="AR22" s="54">
        <f>'Pregnant Outcomes'!$I22</f>
        <v>48</v>
      </c>
      <c r="AS22" s="54">
        <f>(('Failure Rates'!$D28)*('Pregnant Outcomes'!$H22))</f>
        <v>40.18</v>
      </c>
      <c r="AT22" s="54">
        <f>(('Failure Rates'!$E28)*('Pregnant Outcomes'!$H22))</f>
        <v>40.18</v>
      </c>
      <c r="AU22" s="54">
        <f>(('Failure Rates'!$F28)*('Pregnant Outcomes'!$J22))</f>
        <v>3.6652000000000005</v>
      </c>
      <c r="AV22" s="54">
        <f>(('Failure Rates'!$G28)*('Pregnant Outcomes'!$K22))</f>
        <v>14.660800000000002</v>
      </c>
      <c r="AW22" s="54">
        <f>(('Failure Rates'!$H28)*('Pregnant Outcomes'!$H22))</f>
        <v>39.200000000000003</v>
      </c>
      <c r="AX22" s="54">
        <f>(('Failure Rates'!$I28)*('Pregnant Outcomes'!$H22))</f>
        <v>0.49</v>
      </c>
      <c r="AY22" s="54">
        <f>(('Failure Rates'!$J28)*('Pregnant Outcomes'!$H22))</f>
        <v>82.320000000000007</v>
      </c>
      <c r="AZ22" s="54">
        <f>(('Failure Rates'!$K28)*('Pregnant Outcomes'!$H22))</f>
        <v>173.45999999999998</v>
      </c>
      <c r="BA22" s="54">
        <f>('Failure Rates'!$L28)*('Pregnant Outcomes'!$H22)</f>
        <v>833</v>
      </c>
    </row>
    <row r="23" spans="1:53" x14ac:dyDescent="0.2">
      <c r="A23" t="s">
        <v>71</v>
      </c>
      <c r="B23" t="s">
        <v>6</v>
      </c>
      <c r="C23" t="str">
        <f t="shared" si="0"/>
        <v>A45_49_Htn</v>
      </c>
      <c r="D23" s="45">
        <f>((1-'Failure Rates'!C29)*('NonPregnant Outcomes'!D23))+(('Failure Rates'!C29)*(PersonMonthsPregnant!$M23/12)*('Pregnant Outcomes'!$D23))+(('Failure Rates'!C29)*((12-PersonMonthsPregnant!$M23)/12)*('NonPregnant Outcomes'!D23))</f>
        <v>355.89180935280001</v>
      </c>
      <c r="E23" s="45">
        <f>((1-'Failure Rates'!D29)*('NonPregnant Outcomes'!E23))+(('Failure Rates'!D29)*(PersonMonthsPregnant!$M23/12)*('Pregnant Outcomes'!$D23))+(('Failure Rates'!D29)*((12-PersonMonthsPregnant!$M23)/12)*('NonPregnant Outcomes'!E23))</f>
        <v>383.91283669296001</v>
      </c>
      <c r="F23" s="45">
        <f>((1-'Failure Rates'!E29)*('NonPregnant Outcomes'!F23))+(('Failure Rates'!E29)*(PersonMonthsPregnant!$M23/12)*('Pregnant Outcomes'!$D23))+(('Failure Rates'!E29)*((12-PersonMonthsPregnant!$M23)/12)*('NonPregnant Outcomes'!F23))</f>
        <v>383.91283669296001</v>
      </c>
      <c r="G23" s="45">
        <f>((1-'Failure Rates'!F29)*('NonPregnant Outcomes'!G23))+(('Failure Rates'!F29)*(PersonMonthsPregnant!$M51/12)*('Pregnant Outcomes'!$D23))+(('Failure Rates'!F29)*((12-PersonMonthsPregnant!$M51)/12)*('NonPregnant Outcomes'!G23))</f>
        <v>353.54645382145679</v>
      </c>
      <c r="H23" s="45">
        <f>((1-'Failure Rates'!G29)*('NonPregnant Outcomes'!H23))+(('Failure Rates'!G29)*(PersonMonthsPregnant!$M51/12)*('Pregnant Outcomes'!$D23))+(('Failure Rates'!G29)*((12-PersonMonthsPregnant!$M51)/12)*('NonPregnant Outcomes'!H23))</f>
        <v>358.18581528582718</v>
      </c>
      <c r="I23" s="45">
        <f>((1-'Failure Rates'!H29)*('NonPregnant Outcomes'!I23))+(('Failure Rates'!H29)*(PersonMonthsPregnant!$M23/12)*('Pregnant Outcomes'!$D23))+(('Failure Rates'!H29)*((12-PersonMonthsPregnant!$M23)/12)*('NonPregnant Outcomes'!I23))</f>
        <v>383.13447482239997</v>
      </c>
      <c r="J23" s="45">
        <f>((1-'Failure Rates'!I29)*('NonPregnant Outcomes'!J23))+(('Failure Rates'!I29)*(PersonMonthsPregnant!$M23/12)*('Pregnant Outcomes'!$D23))+(('Failure Rates'!I29)*((12-PersonMonthsPregnant!$M23)/12)*('NonPregnant Outcomes'!J23))</f>
        <v>352.38918093528002</v>
      </c>
      <c r="K23" s="45">
        <f>((1-'Failure Rates'!J29)*('NonPregnant Outcomes'!K23))+(('Failure Rates'!J29)*(PersonMonthsPregnant!$M23/12)*('Pregnant Outcomes'!$D23))+(('Failure Rates'!J29)*((12-PersonMonthsPregnant!$M23)/12)*('NonPregnant Outcomes'!K23))</f>
        <v>417.38239712704001</v>
      </c>
      <c r="L23" s="45">
        <f>((1-'Failure Rates'!K29)*('NonPregnant Outcomes'!L23))+(('Failure Rates'!K29)*(PersonMonthsPregnant!$M23/12)*('Pregnant Outcomes'!$D23))+(('Failure Rates'!K29)*((12-PersonMonthsPregnant!$M23)/12)*('NonPregnant Outcomes'!L23))</f>
        <v>489.77005108911993</v>
      </c>
      <c r="M23" s="45">
        <f>((1-'Failure Rates'!L29)*('NonPregnant Outcomes'!M23))+(('Failure Rates'!L29)*(PersonMonthsPregnant!$M23/12)*('Pregnant Outcomes'!$D23))+(('Failure Rates'!L29)*((12-PersonMonthsPregnant!$M23)/12)*('NonPregnant Outcomes'!M23))</f>
        <v>1013.607589976</v>
      </c>
      <c r="N23" s="46">
        <f>((1-'Failure Rates'!C29)*('NonPregnant Outcomes'!N23))+(('Failure Rates'!C29)*(PersonMonthsPregnant!$M23/12)*('Pregnant Outcomes'!$E23))+(('Failure Rates'!C29)*((12-PersonMonthsPregnant!$M23)/12)*('NonPregnant Outcomes'!N23))</f>
        <v>35.8803420407</v>
      </c>
      <c r="O23" s="46">
        <f>((1-'Failure Rates'!D29)*('NonPregnant Outcomes'!O23))+(('Failure Rates'!D29)*(PersonMonthsPregnant!$M23/12)*('Pregnant Outcomes'!$E23))+(('Failure Rates'!D29)*((12-PersonMonthsPregnant!$M23)/12)*('NonPregnant Outcomes'!O23))</f>
        <v>43.763204733739997</v>
      </c>
      <c r="P23" s="46">
        <f>((1-'Failure Rates'!E29)*('NonPregnant Outcomes'!P23))+(('Failure Rates'!E29)*(PersonMonthsPregnant!$M23/12)*('Pregnant Outcomes'!$E23))+(('Failure Rates'!E29)*((12-PersonMonthsPregnant!$M23)/12)*('NonPregnant Outcomes'!P23))</f>
        <v>43.763204733739997</v>
      </c>
      <c r="Q23" s="46">
        <f>((1-'Failure Rates'!F29)*('NonPregnant Outcomes'!Q23))+(('Failure Rates'!F29)*(PersonMonthsPregnant!$M51/12)*('Pregnant Outcomes'!$E23))+(('Failure Rates'!F29)*((12-PersonMonthsPregnant!$M51)/12)*('NonPregnant Outcomes'!Q23))</f>
        <v>35.220547687141696</v>
      </c>
      <c r="R23" s="46">
        <f>((1-'Failure Rates'!G29)*('NonPregnant Outcomes'!R23))+(('Failure Rates'!G29)*(PersonMonthsPregnant!$M51/12)*('Pregnant Outcomes'!$E23))+(('Failure Rates'!G29)*((12-PersonMonthsPregnant!$M51)/12)*('NonPregnant Outcomes'!R23))</f>
        <v>26.125148554312755</v>
      </c>
      <c r="S23" s="46">
        <f>((1-'Failure Rates'!H29)*('NonPregnant Outcomes'!S23))+(('Failure Rates'!H29)*(PersonMonthsPregnant!$M23/12)*('Pregnant Outcomes'!$E23))+(('Failure Rates'!H29)*((12-PersonMonthsPregnant!$M23)/12)*('NonPregnant Outcomes'!S23))</f>
        <v>43.544236325599996</v>
      </c>
      <c r="T23" s="46">
        <f>((1-'Failure Rates'!I29)*('NonPregnant Outcomes'!T23))+(('Failure Rates'!I29)*(PersonMonthsPregnant!$M23/12)*('Pregnant Outcomes'!$E23))+(('Failure Rates'!I29)*((12-PersonMonthsPregnant!$M23)/12)*('NonPregnant Outcomes'!T23))</f>
        <v>34.894984204069999</v>
      </c>
      <c r="U23" s="46">
        <f>((1-'Failure Rates'!J29)*('NonPregnant Outcomes'!U23))+(('Failure Rates'!J29)*(PersonMonthsPregnant!$M23/12)*('Pregnant Outcomes'!$E23))+(('Failure Rates'!J29)*((12-PersonMonthsPregnant!$M23)/12)*('NonPregnant Outcomes'!U23))</f>
        <v>53.178846283760002</v>
      </c>
      <c r="V23" s="46">
        <f>((1-'Failure Rates'!K29)*('NonPregnant Outcomes'!V23))+(('Failure Rates'!K29)*(PersonMonthsPregnant!$M23/12)*('Pregnant Outcomes'!$E23))+(('Failure Rates'!K29)*((12-PersonMonthsPregnant!$M23)/12)*('NonPregnant Outcomes'!V23))</f>
        <v>73.54290824077998</v>
      </c>
      <c r="W23" s="46">
        <f>((1-'Failure Rates'!L29)*('NonPregnant Outcomes'!W23))+(('Failure Rates'!L29)*(PersonMonthsPregnant!$M23/12)*('Pregnant Outcomes'!$E23))+(('Failure Rates'!L29)*((12-PersonMonthsPregnant!$M23)/12)*('NonPregnant Outcomes'!W23))</f>
        <v>220.90864691899998</v>
      </c>
      <c r="X23" s="54">
        <f>((1-'Failure Rates'!C29)*('NonPregnant Outcomes'!X23))+(('Failure Rates'!C29)*(VTEPersonMonthsPregnant!$M23/12)*('Pregnant Outcomes'!$F23))+(('Failure Rates'!C29)*((12-VTEPersonMonthsPregnant!$M23)/12)*('NonPregnant Outcomes'!X23))</f>
        <v>96.978833449999996</v>
      </c>
      <c r="Y23" s="54">
        <f>((1-'Failure Rates'!D29)*('NonPregnant Outcomes'!Y23))+(('Failure Rates'!D29)*(VTEPersonMonthsPregnant!$M23/12)*('Pregnant Outcomes'!$F23))+(('Failure Rates'!D29)*((12-VTEPersonMonthsPregnant!$M23)/12)*('NonPregnant Outcomes'!Y23))</f>
        <v>339.19850388999998</v>
      </c>
      <c r="Z23" s="54">
        <f>((1-'Failure Rates'!E29)*('NonPregnant Outcomes'!Z23))+(('Failure Rates'!E29)*(VTEPersonMonthsPregnant!$M23/12)*('Pregnant Outcomes'!$F23))+(('Failure Rates'!E29)*((12-VTEPersonMonthsPregnant!$M23)/12)*('NonPregnant Outcomes'!Z23))</f>
        <v>104.02643429</v>
      </c>
      <c r="AA23" s="54">
        <f>((1-'Failure Rates'!F29)*('NonPregnant Outcomes'!AA23))+(('Failure Rates'!F29)*(VTEPersonMonthsPregnant!$M51/12)*('Pregnant Outcomes'!$F23))+(('Failure Rates'!F29)*((12-VTEPersonMonthsPregnant!$M51)/12)*('NonPregnant Outcomes'!AA23))</f>
        <v>96.388432351999995</v>
      </c>
      <c r="AB23" s="54">
        <f>((1-'Failure Rates'!G29)*('NonPregnant Outcomes'!AB23))+(('Failure Rates'!G29)*(VTEPersonMonthsPregnant!$M51/12)*('Pregnant Outcomes'!$F23))+(('Failure Rates'!G29)*((12-VTEPersonMonthsPregnant!$M51)/12)*('NonPregnant Outcomes'!AB23))</f>
        <v>97.553729408000009</v>
      </c>
      <c r="AC23" s="54">
        <f>((1-'Failure Rates'!H29)*('NonPregnant Outcomes'!AC23))+(('Failure Rates'!H29)*(VTEPersonMonthsPregnant!$M23/12)*('Pregnant Outcomes'!$F23))+(('Failure Rates'!H29)*((12-VTEPersonMonthsPregnant!$M23)/12)*('NonPregnant Outcomes'!AC23))</f>
        <v>261.00427003200002</v>
      </c>
      <c r="AD23" s="54">
        <f>((1-'Failure Rates'!I29)*('NonPregnant Outcomes'!AD23))+(('Failure Rates'!I29)*(VTEPersonMonthsPregnant!$M23/12)*('Pregnant Outcomes'!$F23))+(('Failure Rates'!I29)*((12-VTEPersonMonthsPregnant!$M23)/12)*('NonPregnant Outcomes'!AD23))</f>
        <v>96.097883345</v>
      </c>
      <c r="AE23" s="54">
        <f>((1-'Failure Rates'!J29)*('NonPregnant Outcomes'!AE23))+(('Failure Rates'!J29)*(VTEPersonMonthsPregnant!$M23/12)*('Pregnant Outcomes'!$F23))+(('Failure Rates'!J29)*((12-VTEPersonMonthsPregnant!$M23)/12)*('NonPregnant Outcomes'!AE23))</f>
        <v>112.44440196000001</v>
      </c>
      <c r="AF23" s="54">
        <f>((1-'Failure Rates'!K29)*('NonPregnant Outcomes'!AF23))+(('Failure Rates'!K29)*(VTEPersonMonthsPregnant!$M23/12)*('Pregnant Outcomes'!$F23))+(('Failure Rates'!K29)*((12-VTEPersonMonthsPregnant!$M23)/12)*('NonPregnant Outcomes'!AF23))</f>
        <v>130.65070413000001</v>
      </c>
      <c r="AG23" s="54">
        <f>((1-'Failure Rates'!L29)*('NonPregnant Outcomes'!AG23))+(('Failure Rates'!L29)*(VTEPersonMonthsPregnant!$M23/12)*('Pregnant Outcomes'!$F23))+(('Failure Rates'!L29)*((12-VTEPersonMonthsPregnant!$M23)/12)*('NonPregnant Outcomes'!AG23))</f>
        <v>262.40168649999998</v>
      </c>
      <c r="AH23" s="46">
        <f>((1-'Failure Rates'!C29)*('NonPregnant Outcomes'!AH23))+(('Failure Rates'!C29)*(PersonMonthsPregnant!$M23/12)*('Pregnant Outcomes'!$G23))+(('Failure Rates'!C29)*((12-PersonMonthsPregnant!$M23)/12)*('NonPregnant Outcomes'!AH23))</f>
        <v>280</v>
      </c>
      <c r="AI23" s="46">
        <f>((1-'Failure Rates'!D29)*('NonPregnant Outcomes'!AI23))+(('Failure Rates'!D29)*(PersonMonthsPregnant!$M23/12)*('Pregnant Outcomes'!$G23))+(('Failure Rates'!D29)*((12-PersonMonthsPregnant!$M23)/12)*('NonPregnant Outcomes'!AI23))</f>
        <v>280</v>
      </c>
      <c r="AJ23" s="46">
        <f>((1-'Failure Rates'!E29)*('NonPregnant Outcomes'!AJ23))+(('Failure Rates'!E29)*(PersonMonthsPregnant!$M23/12)*('Pregnant Outcomes'!$G23))+(('Failure Rates'!E29)*((12-PersonMonthsPregnant!$M23)/12)*('NonPregnant Outcomes'!AJ23))</f>
        <v>280</v>
      </c>
      <c r="AK23" s="46">
        <f>((1-'Failure Rates'!F29)*('NonPregnant Outcomes'!AK23))+(('Failure Rates'!F29)*(PersonMonthsPregnant!$M51/12)*('Pregnant Outcomes'!$G23))+(('Failure Rates'!F29)*((12-PersonMonthsPregnant!$M51)/12)*('NonPregnant Outcomes'!AK23))</f>
        <v>280</v>
      </c>
      <c r="AL23" s="46">
        <f>((1-'Failure Rates'!G29)*('NonPregnant Outcomes'!AL23))+(('Failure Rates'!G29)*(PersonMonthsPregnant!$M51/12)*('Pregnant Outcomes'!$G23))+(('Failure Rates'!G29)*((12-PersonMonthsPregnant!$M51)/12)*('NonPregnant Outcomes'!AL23))</f>
        <v>280</v>
      </c>
      <c r="AM23" s="46">
        <f>((1-'Failure Rates'!H29)*('NonPregnant Outcomes'!AM23))+(('Failure Rates'!H29)*(PersonMonthsPregnant!$M23/12)*('Pregnant Outcomes'!$G23))+(('Failure Rates'!H29)*((12-PersonMonthsPregnant!$M23)/12)*('NonPregnant Outcomes'!AM23))</f>
        <v>280</v>
      </c>
      <c r="AN23" s="46">
        <f>((1-'Failure Rates'!I29)*('NonPregnant Outcomes'!AN23))+(('Failure Rates'!I29)*(PersonMonthsPregnant!$M23/12)*('Pregnant Outcomes'!$G23))+(('Failure Rates'!I29)*((12-PersonMonthsPregnant!$M23)/12)*('NonPregnant Outcomes'!AN23))</f>
        <v>280</v>
      </c>
      <c r="AO23" s="46">
        <f>((1-'Failure Rates'!J29)*('NonPregnant Outcomes'!AO23))+(('Failure Rates'!J29)*(PersonMonthsPregnant!$M23/12)*('Pregnant Outcomes'!$G23))+(('Failure Rates'!J29)*((12-PersonMonthsPregnant!$M23)/12)*('NonPregnant Outcomes'!AO23))</f>
        <v>280.00000000000006</v>
      </c>
      <c r="AP23" s="46">
        <f>((1-'Failure Rates'!K29)*('NonPregnant Outcomes'!AP23))+(('Failure Rates'!K29)*(PersonMonthsPregnant!$M23/12)*('Pregnant Outcomes'!$G23))+(('Failure Rates'!K29)*((12-PersonMonthsPregnant!$M23)/12)*('NonPregnant Outcomes'!AP23))</f>
        <v>280</v>
      </c>
      <c r="AQ23" s="46">
        <f>((1-'Failure Rates'!L29)*('NonPregnant Outcomes'!AQ23))+(('Failure Rates'!L29)*(PersonMonthsPregnant!$M23/12)*('Pregnant Outcomes'!$G23))+(('Failure Rates'!L29)*((12-PersonMonthsPregnant!$M23)/12)*('NonPregnant Outcomes'!AQ23))</f>
        <v>280</v>
      </c>
      <c r="AR23" s="54">
        <f>'Pregnant Outcomes'!$I23</f>
        <v>48</v>
      </c>
      <c r="AS23" s="54">
        <f>(('Failure Rates'!$D29)*('Pregnant Outcomes'!$H23))</f>
        <v>40.18</v>
      </c>
      <c r="AT23" s="54">
        <f>(('Failure Rates'!$E29)*('Pregnant Outcomes'!$H23))</f>
        <v>40.18</v>
      </c>
      <c r="AU23" s="54">
        <f>(('Failure Rates'!$F29)*('Pregnant Outcomes'!$J23))</f>
        <v>3.6652000000000005</v>
      </c>
      <c r="AV23" s="54">
        <f>(('Failure Rates'!$G29)*('Pregnant Outcomes'!$K23))</f>
        <v>14.660800000000002</v>
      </c>
      <c r="AW23" s="54">
        <f>(('Failure Rates'!$H29)*('Pregnant Outcomes'!$H23))</f>
        <v>39.200000000000003</v>
      </c>
      <c r="AX23" s="54">
        <f>(('Failure Rates'!$I29)*('Pregnant Outcomes'!$H23))</f>
        <v>0.49</v>
      </c>
      <c r="AY23" s="54">
        <f>(('Failure Rates'!$J29)*('Pregnant Outcomes'!$H23))</f>
        <v>82.320000000000007</v>
      </c>
      <c r="AZ23" s="54">
        <f>(('Failure Rates'!$K29)*('Pregnant Outcomes'!$H23))</f>
        <v>173.45999999999998</v>
      </c>
      <c r="BA23" s="54">
        <f>('Failure Rates'!$L29)*('Pregnant Outcomes'!$H23)</f>
        <v>833</v>
      </c>
    </row>
    <row r="24" spans="1:53" x14ac:dyDescent="0.2">
      <c r="A24" t="s">
        <v>66</v>
      </c>
      <c r="B24" t="s">
        <v>7</v>
      </c>
      <c r="C24" t="str">
        <f t="shared" si="0"/>
        <v>A15_19_Smoker</v>
      </c>
      <c r="D24" s="45">
        <f>((1-'Failure Rates'!C30)*('NonPregnant Outcomes'!D24))+(('Failure Rates'!C30)*(PersonMonthsPregnant!$M24/12)*('Pregnant Outcomes'!$D24))+(('Failure Rates'!C30)*((12-PersonMonthsPregnant!$M24)/12)*('NonPregnant Outcomes'!D24))</f>
        <v>4.480592139533333</v>
      </c>
      <c r="E24" s="45">
        <f>((1-'Failure Rates'!D30)*('NonPregnant Outcomes'!E24))+(('Failure Rates'!D30)*(PersonMonthsPregnant!$M24/12)*('Pregnant Outcomes'!$D24))+(('Failure Rates'!D30)*((12-PersonMonthsPregnant!$M24)/12)*('NonPregnant Outcomes'!E24))</f>
        <v>5.6572373767200013</v>
      </c>
      <c r="F24" s="45">
        <f>((1-'Failure Rates'!E30)*('NonPregnant Outcomes'!F24))+(('Failure Rates'!E30)*(PersonMonthsPregnant!$M24/12)*('Pregnant Outcomes'!$D24))+(('Failure Rates'!E30)*((12-PersonMonthsPregnant!$M24)/12)*('NonPregnant Outcomes'!F24))</f>
        <v>5.6572373767200013</v>
      </c>
      <c r="G24" s="45">
        <f>((1-'Failure Rates'!F30)*('NonPregnant Outcomes'!G24))+(('Failure Rates'!F30)*(PersonMonthsPregnant!$M52/12)*('Pregnant Outcomes'!$D24))+(('Failure Rates'!F30)*((12-PersonMonthsPregnant!$M52)/12)*('NonPregnant Outcomes'!G24))</f>
        <v>4.4302151067239741</v>
      </c>
      <c r="H24" s="45">
        <f>((1-'Failure Rates'!G30)*('NonPregnant Outcomes'!H24))+(('Failure Rates'!G30)*(PersonMonthsPregnant!$M52/12)*('Pregnant Outcomes'!$D24))+(('Failure Rates'!G30)*((12-PersonMonthsPregnant!$M52)/12)*('NonPregnant Outcomes'!H24))</f>
        <v>4.5208604268958936</v>
      </c>
      <c r="I24" s="45">
        <f>((1-'Failure Rates'!H30)*('NonPregnant Outcomes'!I24))+(('Failure Rates'!H30)*(PersonMonthsPregnant!$M24/12)*('Pregnant Outcomes'!$D24))+(('Failure Rates'!H30)*((12-PersonMonthsPregnant!$M24)/12)*('NonPregnant Outcomes'!I24))</f>
        <v>5.044737116266667</v>
      </c>
      <c r="J24" s="45">
        <f>((1-'Failure Rates'!I30)*('NonPregnant Outcomes'!J24))+(('Failure Rates'!I30)*(PersonMonthsPregnant!$M24/12)*('Pregnant Outcomes'!$D24))+(('Failure Rates'!I30)*((12-PersonMonthsPregnant!$M24)/12)*('NonPregnant Outcomes'!J24))</f>
        <v>4.4080592139533339</v>
      </c>
      <c r="K24" s="45">
        <f>((1-'Failure Rates'!J30)*('NonPregnant Outcomes'!K24))+(('Failure Rates'!J30)*(PersonMonthsPregnant!$M24/12)*('Pregnant Outcomes'!$D24))+(('Failure Rates'!J30)*((12-PersonMonthsPregnant!$M24)/12)*('NonPregnant Outcomes'!K24))</f>
        <v>6.9789484650666678</v>
      </c>
      <c r="L24" s="45">
        <f>((1-'Failure Rates'!K30)*('NonPregnant Outcomes'!L24))+(('Failure Rates'!K30)*(PersonMonthsPregnant!$M24/12)*('Pregnant Outcomes'!$D24))+(('Failure Rates'!K30)*((12-PersonMonthsPregnant!$M24)/12)*('NonPregnant Outcomes'!L24))</f>
        <v>7.7848698604000006</v>
      </c>
      <c r="M24" s="45">
        <f>((1-'Failure Rates'!L30)*('NonPregnant Outcomes'!M24))+(('Failure Rates'!L30)*(PersonMonthsPregnant!$M24/12)*('Pregnant Outcomes'!$D24))+(('Failure Rates'!L30)*((12-PersonMonthsPregnant!$M24)/12)*('NonPregnant Outcomes'!M24))</f>
        <v>18.100663720666667</v>
      </c>
      <c r="N24" s="46">
        <f>((1-'Failure Rates'!C30)*('NonPregnant Outcomes'!N24))+(('Failure Rates'!C30)*(PersonMonthsPregnant!$M24/12)*('Pregnant Outcomes'!$E24))+(('Failure Rates'!C30)*((12-PersonMonthsPregnant!$M24)/12)*('NonPregnant Outcomes'!N24))</f>
        <v>5.5220197652074994</v>
      </c>
      <c r="O24" s="46">
        <f>((1-'Failure Rates'!D30)*('NonPregnant Outcomes'!O24))+(('Failure Rates'!D30)*(PersonMonthsPregnant!$M24/12)*('Pregnant Outcomes'!$E24))+(('Failure Rates'!D30)*((12-PersonMonthsPregnant!$M24)/12)*('NonPregnant Outcomes'!O24))</f>
        <v>7.3254083372370014</v>
      </c>
      <c r="P24" s="46">
        <f>((1-'Failure Rates'!E30)*('NonPregnant Outcomes'!P24))+(('Failure Rates'!E30)*(PersonMonthsPregnant!$M24/12)*('Pregnant Outcomes'!$E24))+(('Failure Rates'!E30)*((12-PersonMonthsPregnant!$M24)/12)*('NonPregnant Outcomes'!P24))</f>
        <v>7.3254083372370014</v>
      </c>
      <c r="Q24" s="46">
        <f>((1-'Failure Rates'!F30)*('NonPregnant Outcomes'!Q24))+(('Failure Rates'!F30)*(PersonMonthsPregnant!$M52/12)*('Pregnant Outcomes'!$E24))+(('Failure Rates'!F30)*((12-PersonMonthsPregnant!$M52)/12)*('NonPregnant Outcomes'!Q24))</f>
        <v>5.4448092667582184</v>
      </c>
      <c r="R24" s="46">
        <f>((1-'Failure Rates'!G30)*('NonPregnant Outcomes'!R24))+(('Failure Rates'!G30)*(PersonMonthsPregnant!$M52/12)*('Pregnant Outcomes'!$E24))+(('Failure Rates'!G30)*((12-PersonMonthsPregnant!$M52)/12)*('NonPregnant Outcomes'!R24))</f>
        <v>3.969937346244957</v>
      </c>
      <c r="S24" s="46">
        <f>((1-'Failure Rates'!H30)*('NonPregnant Outcomes'!S24))+(('Failure Rates'!H30)*(PersonMonthsPregnant!$M24/12)*('Pregnant Outcomes'!$E24))+(('Failure Rates'!H30)*((12-PersonMonthsPregnant!$M24)/12)*('NonPregnant Outcomes'!S24))</f>
        <v>6.3866581216600009</v>
      </c>
      <c r="T24" s="46">
        <f>((1-'Failure Rates'!I30)*('NonPregnant Outcomes'!T24))+(('Failure Rates'!I30)*(PersonMonthsPregnant!$M24/12)*('Pregnant Outcomes'!$E24))+(('Failure Rates'!I30)*((12-PersonMonthsPregnant!$M24)/12)*('NonPregnant Outcomes'!T24))</f>
        <v>5.4108519765207497</v>
      </c>
      <c r="U24" s="46">
        <f>((1-'Failure Rates'!J30)*('NonPregnant Outcomes'!U24))+(('Failure Rates'!J30)*(PersonMonthsPregnant!$M24/12)*('Pregnant Outcomes'!$E24))+(('Failure Rates'!J30)*((12-PersonMonthsPregnant!$M24)/12)*('NonPregnant Outcomes'!U24))</f>
        <v>9.351132486640001</v>
      </c>
      <c r="V24" s="46">
        <f>((1-'Failure Rates'!K30)*('NonPregnant Outcomes'!V24))+(('Failure Rates'!K30)*(PersonMonthsPregnant!$M24/12)*('Pregnant Outcomes'!$E24))+(('Failure Rates'!K30)*((12-PersonMonthsPregnant!$M24)/12)*('NonPregnant Outcomes'!V24))</f>
        <v>10.586330138715002</v>
      </c>
      <c r="W24" s="46">
        <f>((1-'Failure Rates'!L30)*('NonPregnant Outcomes'!W24))+(('Failure Rates'!L30)*(PersonMonthsPregnant!$M24/12)*('Pregnant Outcomes'!$E24))+(('Failure Rates'!L30)*((12-PersonMonthsPregnant!$M24)/12)*('NonPregnant Outcomes'!W24))</f>
        <v>26.396860085274998</v>
      </c>
      <c r="X24" s="54">
        <f>((1-'Failure Rates'!C30)*('NonPregnant Outcomes'!X24))+(('Failure Rates'!C30)*(VTEPersonMonthsPregnant!$M24/12)*('Pregnant Outcomes'!$F24))+(('Failure Rates'!C30)*((12-VTEPersonMonthsPregnant!$M24)/12)*('NonPregnant Outcomes'!X24))</f>
        <v>27.620819593999997</v>
      </c>
      <c r="Y24" s="54">
        <f>((1-'Failure Rates'!D30)*('NonPregnant Outcomes'!Y24))+(('Failure Rates'!D30)*(VTEPersonMonthsPregnant!$M24/12)*('Pregnant Outcomes'!$F24))+(('Failure Rates'!D30)*((12-VTEPersonMonthsPregnant!$M24)/12)*('NonPregnant Outcomes'!Y24))</f>
        <v>209.72485867200001</v>
      </c>
      <c r="Z24" s="54">
        <f>((1-'Failure Rates'!E30)*('NonPregnant Outcomes'!Z24))+(('Failure Rates'!E30)*(VTEPersonMonthsPregnant!$M24/12)*('Pregnant Outcomes'!$F24))+(('Failure Rates'!E30)*((12-VTEPersonMonthsPregnant!$M24)/12)*('NonPregnant Outcomes'!Z24))</f>
        <v>36.684785666400003</v>
      </c>
      <c r="AA24" s="54">
        <f>((1-'Failure Rates'!F30)*('NonPregnant Outcomes'!AA24))+(('Failure Rates'!F30)*(VTEPersonMonthsPregnant!$M52/12)*('Pregnant Outcomes'!$F24))+(('Failure Rates'!F30)*((12-VTEPersonMonthsPregnant!$M52)/12)*('NonPregnant Outcomes'!AA24))</f>
        <v>27.2316973113968</v>
      </c>
      <c r="AB24" s="54">
        <f>((1-'Failure Rates'!G30)*('NonPregnant Outcomes'!AB24))+(('Failure Rates'!G30)*(VTEPersonMonthsPregnant!$M52/12)*('Pregnant Outcomes'!$F24))+(('Failure Rates'!G30)*((12-VTEPersonMonthsPregnant!$M52)/12)*('NonPregnant Outcomes'!AB24))</f>
        <v>27.926789245587198</v>
      </c>
      <c r="AC24" s="54">
        <f>((1-'Failure Rates'!H30)*('NonPregnant Outcomes'!AC24))+(('Failure Rates'!H30)*(VTEPersonMonthsPregnant!$M24/12)*('Pregnant Outcomes'!$F24))+(('Failure Rates'!H30)*((12-VTEPersonMonthsPregnant!$M24)/12)*('NonPregnant Outcomes'!AC24))</f>
        <v>76.051881812800005</v>
      </c>
      <c r="AD24" s="54">
        <f>((1-'Failure Rates'!I30)*('NonPregnant Outcomes'!AD24))+(('Failure Rates'!I30)*(VTEPersonMonthsPregnant!$M24/12)*('Pregnant Outcomes'!$F24))+(('Failure Rates'!I30)*((12-VTEPersonMonthsPregnant!$M24)/12)*('NonPregnant Outcomes'!AD24))</f>
        <v>27.062081959400004</v>
      </c>
      <c r="AE24" s="54">
        <f>((1-'Failure Rates'!J30)*('NonPregnant Outcomes'!AE24))+(('Failure Rates'!J30)*(VTEPersonMonthsPregnant!$M24/12)*('Pregnant Outcomes'!$F24))+(('Failure Rates'!J30)*((12-VTEPersonMonthsPregnant!$M24)/12)*('NonPregnant Outcomes'!AE24))</f>
        <v>46.86622700800001</v>
      </c>
      <c r="AF24" s="54">
        <f>((1-'Failure Rates'!K30)*('NonPregnant Outcomes'!AF24))+(('Failure Rates'!K30)*(VTEPersonMonthsPregnant!$M24/12)*('Pregnant Outcomes'!$F24))+(('Failure Rates'!K30)*((12-VTEPersonMonthsPregnant!$M24)/12)*('NonPregnant Outcomes'!AF24))</f>
        <v>53.074422947999999</v>
      </c>
      <c r="AG24" s="54">
        <f>((1-'Failure Rates'!L30)*('NonPregnant Outcomes'!AG24))+(('Failure Rates'!L30)*(VTEPersonMonthsPregnant!$M24/12)*('Pregnant Outcomes'!$F24))+(('Failure Rates'!L30)*((12-VTEPersonMonthsPregnant!$M24)/12)*('NonPregnant Outcomes'!AG24))</f>
        <v>132.53933097999999</v>
      </c>
      <c r="AH24" s="46">
        <f>((1-'Failure Rates'!C30)*('NonPregnant Outcomes'!AH24))+(('Failure Rates'!C30)*(PersonMonthsPregnant!$M24/12)*('Pregnant Outcomes'!$G24))+(('Failure Rates'!C30)*((12-PersonMonthsPregnant!$M24)/12)*('NonPregnant Outcomes'!AH24))</f>
        <v>760</v>
      </c>
      <c r="AI24" s="46">
        <f>((1-'Failure Rates'!D30)*('NonPregnant Outcomes'!AI24))+(('Failure Rates'!D30)*(PersonMonthsPregnant!$M24/12)*('Pregnant Outcomes'!$G24))+(('Failure Rates'!D30)*((12-PersonMonthsPregnant!$M24)/12)*('NonPregnant Outcomes'!AI24))</f>
        <v>760</v>
      </c>
      <c r="AJ24" s="46">
        <f>((1-'Failure Rates'!E30)*('NonPregnant Outcomes'!AJ24))+(('Failure Rates'!E30)*(PersonMonthsPregnant!$M24/12)*('Pregnant Outcomes'!$G24))+(('Failure Rates'!E30)*((12-PersonMonthsPregnant!$M24)/12)*('NonPregnant Outcomes'!AJ24))</f>
        <v>760</v>
      </c>
      <c r="AK24" s="46">
        <f>((1-'Failure Rates'!F30)*('NonPregnant Outcomes'!AK24))+(('Failure Rates'!F30)*(PersonMonthsPregnant!$M52/12)*('Pregnant Outcomes'!$G24))+(('Failure Rates'!F30)*((12-PersonMonthsPregnant!$M52)/12)*('NonPregnant Outcomes'!AK24))</f>
        <v>760</v>
      </c>
      <c r="AL24" s="46">
        <f>((1-'Failure Rates'!G30)*('NonPregnant Outcomes'!AL24))+(('Failure Rates'!G30)*(PersonMonthsPregnant!$M52/12)*('Pregnant Outcomes'!$G24))+(('Failure Rates'!G30)*((12-PersonMonthsPregnant!$M52)/12)*('NonPregnant Outcomes'!AL24))</f>
        <v>760</v>
      </c>
      <c r="AM24" s="46">
        <f>((1-'Failure Rates'!H30)*('NonPregnant Outcomes'!AM24))+(('Failure Rates'!H30)*(PersonMonthsPregnant!$M24/12)*('Pregnant Outcomes'!$G24))+(('Failure Rates'!H30)*((12-PersonMonthsPregnant!$M24)/12)*('NonPregnant Outcomes'!AM24))</f>
        <v>760</v>
      </c>
      <c r="AN24" s="46">
        <f>((1-'Failure Rates'!I30)*('NonPregnant Outcomes'!AN24))+(('Failure Rates'!I30)*(PersonMonthsPregnant!$M24/12)*('Pregnant Outcomes'!$G24))+(('Failure Rates'!I30)*((12-PersonMonthsPregnant!$M24)/12)*('NonPregnant Outcomes'!AN24))</f>
        <v>760</v>
      </c>
      <c r="AO24" s="46">
        <f>((1-'Failure Rates'!J30)*('NonPregnant Outcomes'!AO24))+(('Failure Rates'!J30)*(PersonMonthsPregnant!$M24/12)*('Pregnant Outcomes'!$G24))+(('Failure Rates'!J30)*((12-PersonMonthsPregnant!$M24)/12)*('NonPregnant Outcomes'!AO24))</f>
        <v>760</v>
      </c>
      <c r="AP24" s="46">
        <f>((1-'Failure Rates'!K30)*('NonPregnant Outcomes'!AP24))+(('Failure Rates'!K30)*(PersonMonthsPregnant!$M24/12)*('Pregnant Outcomes'!$G24))+(('Failure Rates'!K30)*((12-PersonMonthsPregnant!$M24)/12)*('NonPregnant Outcomes'!AP24))</f>
        <v>759.99999999999989</v>
      </c>
      <c r="AQ24" s="46">
        <f>((1-'Failure Rates'!L30)*('NonPregnant Outcomes'!AQ24))+(('Failure Rates'!L30)*(PersonMonthsPregnant!$M24/12)*('Pregnant Outcomes'!$G24))+(('Failure Rates'!L30)*((12-PersonMonthsPregnant!$M24)/12)*('NonPregnant Outcomes'!AQ24))</f>
        <v>760</v>
      </c>
      <c r="AR24" s="54">
        <f>'Pregnant Outcomes'!$I24</f>
        <v>354.9</v>
      </c>
      <c r="AS24" s="54">
        <f>(('Failure Rates'!$D30)*('Pregnant Outcomes'!$H24))</f>
        <v>85.176000000000002</v>
      </c>
      <c r="AT24" s="54">
        <f>(('Failure Rates'!$E30)*('Pregnant Outcomes'!$H24))</f>
        <v>85.176000000000002</v>
      </c>
      <c r="AU24" s="54">
        <f>(('Failure Rates'!$F30)*('Pregnant Outcomes'!$J24))</f>
        <v>4.0840800000000002</v>
      </c>
      <c r="AV24" s="54">
        <f>(('Failure Rates'!$G30)*('Pregnant Outcomes'!$K24))</f>
        <v>16.336320000000001</v>
      </c>
      <c r="AW24" s="54">
        <f>(('Failure Rates'!$H30)*('Pregnant Outcomes'!$H24))</f>
        <v>43.68</v>
      </c>
      <c r="AX24" s="54">
        <f>(('Failure Rates'!$I30)*('Pregnant Outcomes'!$H24))</f>
        <v>0.54600000000000004</v>
      </c>
      <c r="AY24" s="54">
        <f>(('Failure Rates'!$J30)*('Pregnant Outcomes'!$H24))</f>
        <v>174.72</v>
      </c>
      <c r="AZ24" s="54">
        <f>(('Failure Rates'!$K30)*('Pregnant Outcomes'!$H24))</f>
        <v>229.32</v>
      </c>
      <c r="BA24" s="54">
        <f>('Failure Rates'!$L30)*('Pregnant Outcomes'!$H24)</f>
        <v>928.19999999999993</v>
      </c>
    </row>
    <row r="25" spans="1:53" x14ac:dyDescent="0.2">
      <c r="A25" t="s">
        <v>67</v>
      </c>
      <c r="B25" t="s">
        <v>7</v>
      </c>
      <c r="C25" t="str">
        <f t="shared" si="0"/>
        <v>A20_24_Smoker</v>
      </c>
      <c r="D25" s="45">
        <f>((1-'Failure Rates'!C31)*('NonPregnant Outcomes'!D25))+(('Failure Rates'!C31)*(PersonMonthsPregnant!$M25/12)*('Pregnant Outcomes'!$D25))+(('Failure Rates'!C31)*((12-PersonMonthsPregnant!$M25)/12)*('NonPregnant Outcomes'!D25))</f>
        <v>10.079753485706666</v>
      </c>
      <c r="E25" s="45">
        <f>((1-'Failure Rates'!D31)*('NonPregnant Outcomes'!E25))+(('Failure Rates'!D31)*(PersonMonthsPregnant!$M25/12)*('Pregnant Outcomes'!$D25))+(('Failure Rates'!D31)*((12-PersonMonthsPregnant!$M25)/12)*('NonPregnant Outcomes'!E25))</f>
        <v>12.308696708469334</v>
      </c>
      <c r="F25" s="45">
        <f>((1-'Failure Rates'!E31)*('NonPregnant Outcomes'!F25))+(('Failure Rates'!E31)*(PersonMonthsPregnant!$M25/12)*('Pregnant Outcomes'!$D25))+(('Failure Rates'!E31)*((12-PersonMonthsPregnant!$M25)/12)*('NonPregnant Outcomes'!F25))</f>
        <v>12.308696708469334</v>
      </c>
      <c r="G25" s="45">
        <f>((1-'Failure Rates'!F31)*('NonPregnant Outcomes'!G25))+(('Failure Rates'!F31)*(PersonMonthsPregnant!$M53/12)*('Pregnant Outcomes'!$D25))+(('Failure Rates'!F31)*((12-PersonMonthsPregnant!$M53)/12)*('NonPregnant Outcomes'!G25))</f>
        <v>9.9662234727067958</v>
      </c>
      <c r="H25" s="45">
        <f>((1-'Failure Rates'!G31)*('NonPregnant Outcomes'!H25))+(('Failure Rates'!G31)*(PersonMonthsPregnant!$M53/12)*('Pregnant Outcomes'!$D25))+(('Failure Rates'!G31)*((12-PersonMonthsPregnant!$M53)/12)*('NonPregnant Outcomes'!H25))</f>
        <v>10.164893890827178</v>
      </c>
      <c r="I25" s="45">
        <f>((1-'Failure Rates'!H31)*('NonPregnant Outcomes'!I25))+(('Failure Rates'!H31)*(PersonMonthsPregnant!$M25/12)*('Pregnant Outcomes'!$D25))+(('Failure Rates'!H31)*((12-PersonMonthsPregnant!$M25)/12)*('NonPregnant Outcomes'!I25))</f>
        <v>11.338027885653334</v>
      </c>
      <c r="J25" s="45">
        <f>((1-'Failure Rates'!I31)*('NonPregnant Outcomes'!J25))+(('Failure Rates'!I31)*(PersonMonthsPregnant!$M25/12)*('Pregnant Outcomes'!$D25))+(('Failure Rates'!I31)*((12-PersonMonthsPregnant!$M25)/12)*('NonPregnant Outcomes'!J25))</f>
        <v>9.9179753485706676</v>
      </c>
      <c r="K25" s="45">
        <f>((1-'Failure Rates'!J31)*('NonPregnant Outcomes'!K25))+(('Failure Rates'!J31)*(PersonMonthsPregnant!$M25/12)*('Pregnant Outcomes'!$D25))+(('Failure Rates'!J31)*((12-PersonMonthsPregnant!$M25)/12)*('NonPregnant Outcomes'!K25))</f>
        <v>15.148801782634669</v>
      </c>
      <c r="L25" s="45">
        <f>((1-'Failure Rates'!K31)*('NonPregnant Outcomes'!L25))+(('Failure Rates'!K31)*(PersonMonthsPregnant!$M25/12)*('Pregnant Outcomes'!$D25))+(('Failure Rates'!K31)*((12-PersonMonthsPregnant!$M25)/12)*('NonPregnant Outcomes'!L25))</f>
        <v>17.449646399679999</v>
      </c>
      <c r="M25" s="45">
        <f>((1-'Failure Rates'!L31)*('NonPregnant Outcomes'!M25))+(('Failure Rates'!L31)*(PersonMonthsPregnant!$M25/12)*('Pregnant Outcomes'!$D25))+(('Failure Rates'!L31)*((12-PersonMonthsPregnant!$M25)/12)*('NonPregnant Outcomes'!M25))</f>
        <v>40.458092570133331</v>
      </c>
      <c r="N25" s="46">
        <f>((1-'Failure Rates'!C31)*('NonPregnant Outcomes'!N25))+(('Failure Rates'!C31)*(PersonMonthsPregnant!$M25/12)*('Pregnant Outcomes'!$E25))+(('Failure Rates'!C31)*((12-PersonMonthsPregnant!$M25)/12)*('NonPregnant Outcomes'!N25))</f>
        <v>5.5005465978216659</v>
      </c>
      <c r="O25" s="46">
        <f>((1-'Failure Rates'!D31)*('NonPregnant Outcomes'!O25))+(('Failure Rates'!D31)*(PersonMonthsPregnant!$M25/12)*('Pregnant Outcomes'!$E25))+(('Failure Rates'!D31)*((12-PersonMonthsPregnant!$M25)/12)*('NonPregnant Outcomes'!O25))</f>
        <v>6.7659244108103342</v>
      </c>
      <c r="P25" s="46">
        <f>((1-'Failure Rates'!E31)*('NonPregnant Outcomes'!P25))+(('Failure Rates'!E31)*(PersonMonthsPregnant!$M25/12)*('Pregnant Outcomes'!$E25))+(('Failure Rates'!E31)*((12-PersonMonthsPregnant!$M25)/12)*('NonPregnant Outcomes'!P25))</f>
        <v>6.7659244108103342</v>
      </c>
      <c r="Q25" s="46">
        <f>((1-'Failure Rates'!F31)*('NonPregnant Outcomes'!Q25))+(('Failure Rates'!F31)*(PersonMonthsPregnant!$M53/12)*('Pregnant Outcomes'!$E25))+(('Failure Rates'!F31)*((12-PersonMonthsPregnant!$M53)/12)*('NonPregnant Outcomes'!Q25))</f>
        <v>5.4360952658670127</v>
      </c>
      <c r="R25" s="46">
        <f>((1-'Failure Rates'!G31)*('NonPregnant Outcomes'!R25))+(('Failure Rates'!G31)*(PersonMonthsPregnant!$M53/12)*('Pregnant Outcomes'!$E25))+(('Failure Rates'!G31)*((12-PersonMonthsPregnant!$M53)/12)*('NonPregnant Outcomes'!R25))</f>
        <v>3.9347953097092518</v>
      </c>
      <c r="S25" s="46">
        <f>((1-'Failure Rates'!H31)*('NonPregnant Outcomes'!S25))+(('Failure Rates'!H31)*(PersonMonthsPregnant!$M25/12)*('Pregnant Outcomes'!$E25))+(('Failure Rates'!H31)*((12-PersonMonthsPregnant!$M25)/12)*('NonPregnant Outcomes'!S25))</f>
        <v>6.2148727825733339</v>
      </c>
      <c r="T25" s="46">
        <f>((1-'Failure Rates'!I31)*('NonPregnant Outcomes'!T25))+(('Failure Rates'!I31)*(PersonMonthsPregnant!$M25/12)*('Pregnant Outcomes'!$E25))+(('Failure Rates'!I31)*((12-PersonMonthsPregnant!$M25)/12)*('NonPregnant Outcomes'!T25))</f>
        <v>5.4087046597821669</v>
      </c>
      <c r="U25" s="46">
        <f>((1-'Failure Rates'!J31)*('NonPregnant Outcomes'!U25))+(('Failure Rates'!J31)*(PersonMonthsPregnant!$M25/12)*('Pregnant Outcomes'!$E25))+(('Failure Rates'!J31)*((12-PersonMonthsPregnant!$M25)/12)*('NonPregnant Outcomes'!U25))</f>
        <v>8.3782606563926674</v>
      </c>
      <c r="V25" s="46">
        <f>((1-'Failure Rates'!K31)*('NonPregnant Outcomes'!V25))+(('Failure Rates'!K31)*(PersonMonthsPregnant!$M25/12)*('Pregnant Outcomes'!$E25))+(('Failure Rates'!K31)*((12-PersonMonthsPregnant!$M25)/12)*('NonPregnant Outcomes'!V25))</f>
        <v>9.6844571085100011</v>
      </c>
      <c r="W25" s="46">
        <f>((1-'Failure Rates'!L31)*('NonPregnant Outcomes'!W25))+(('Failure Rates'!L31)*(PersonMonthsPregnant!$M25/12)*('Pregnant Outcomes'!$E25))+(('Failure Rates'!L31)*((12-PersonMonthsPregnant!$M25)/12)*('NonPregnant Outcomes'!W25))</f>
        <v>22.746421629683333</v>
      </c>
      <c r="X25" s="54">
        <f>((1-'Failure Rates'!C31)*('NonPregnant Outcomes'!X25))+(('Failure Rates'!C31)*(VTEPersonMonthsPregnant!$M25/12)*('Pregnant Outcomes'!$F25))+(('Failure Rates'!C31)*((12-VTEPersonMonthsPregnant!$M25)/12)*('NonPregnant Outcomes'!X25))</f>
        <v>51.585769770666666</v>
      </c>
      <c r="Y25" s="54">
        <f>((1-'Failure Rates'!D31)*('NonPregnant Outcomes'!Y25))+(('Failure Rates'!D31)*(VTEPersonMonthsPregnant!$M25/12)*('Pregnant Outcomes'!$F25))+(('Failure Rates'!D31)*((12-VTEPersonMonthsPregnant!$M25)/12)*('NonPregnant Outcomes'!Y25))</f>
        <v>388.22343758073339</v>
      </c>
      <c r="Z25" s="54">
        <f>((1-'Failure Rates'!E31)*('NonPregnant Outcomes'!Z25))+(('Failure Rates'!E31)*(VTEPersonMonthsPregnant!$M25/12)*('Pregnant Outcomes'!$F25))+(('Failure Rates'!E31)*((12-VTEPersonMonthsPregnant!$M25)/12)*('NonPregnant Outcomes'!Z25))</f>
        <v>58.849314926933339</v>
      </c>
      <c r="AA25" s="54">
        <f>((1-'Failure Rates'!F31)*('NonPregnant Outcomes'!AA25))+(('Failure Rates'!F31)*(VTEPersonMonthsPregnant!$M53/12)*('Pregnant Outcomes'!$F25))+(('Failure Rates'!F31)*((12-VTEPersonMonthsPregnant!$M53)/12)*('NonPregnant Outcomes'!AA25))</f>
        <v>51.214583692919469</v>
      </c>
      <c r="AB25" s="54">
        <f>((1-'Failure Rates'!G31)*('NonPregnant Outcomes'!AB25))+(('Failure Rates'!G31)*(VTEPersonMonthsPregnant!$M53/12)*('Pregnant Outcomes'!$F25))+(('Failure Rates'!G31)*((12-VTEPersonMonthsPregnant!$M53)/12)*('NonPregnant Outcomes'!AB25))</f>
        <v>51.858334771677868</v>
      </c>
      <c r="AC25" s="54">
        <f>((1-'Failure Rates'!H31)*('NonPregnant Outcomes'!AC25))+(('Failure Rates'!H31)*(VTEPersonMonthsPregnant!$M25/12)*('Pregnant Outcomes'!$F25))+(('Failure Rates'!H31)*((12-VTEPersonMonthsPregnant!$M25)/12)*('NonPregnant Outcomes'!AC25))</f>
        <v>139.02196657093333</v>
      </c>
      <c r="AD25" s="54">
        <f>((1-'Failure Rates'!I31)*('NonPregnant Outcomes'!AD25))+(('Failure Rates'!I31)*(VTEPersonMonthsPregnant!$M25/12)*('Pregnant Outcomes'!$F25))+(('Failure Rates'!I31)*((12-VTEPersonMonthsPregnant!$M25)/12)*('NonPregnant Outcomes'!AD25))</f>
        <v>51.058576977066672</v>
      </c>
      <c r="AE25" s="54">
        <f>((1-'Failure Rates'!J31)*('NonPregnant Outcomes'!AE25))+(('Failure Rates'!J31)*(VTEPersonMonthsPregnant!$M25/12)*('Pregnant Outcomes'!$F25))+(('Failure Rates'!J31)*((12-VTEPersonMonthsPregnant!$M25)/12)*('NonPregnant Outcomes'!AE25))</f>
        <v>68.104477303466666</v>
      </c>
      <c r="AF25" s="54">
        <f>((1-'Failure Rates'!K31)*('NonPregnant Outcomes'!AF25))+(('Failure Rates'!K31)*(VTEPersonMonthsPregnant!$M25/12)*('Pregnant Outcomes'!$F25))+(('Failure Rates'!K31)*((12-VTEPersonMonthsPregnant!$M25)/12)*('NonPregnant Outcomes'!AF25))</f>
        <v>75.602330367999997</v>
      </c>
      <c r="AG25" s="54">
        <f>((1-'Failure Rates'!L31)*('NonPregnant Outcomes'!AG25))+(('Failure Rates'!L31)*(VTEPersonMonthsPregnant!$M25/12)*('Pregnant Outcomes'!$F25))+(('Failure Rates'!L31)*((12-VTEPersonMonthsPregnant!$M25)/12)*('NonPregnant Outcomes'!AG25))</f>
        <v>150.5808610133333</v>
      </c>
      <c r="AH25" s="46">
        <f>((1-'Failure Rates'!C31)*('NonPregnant Outcomes'!AH25))+(('Failure Rates'!C31)*(PersonMonthsPregnant!$M25/12)*('Pregnant Outcomes'!$G25))+(('Failure Rates'!C31)*((12-PersonMonthsPregnant!$M25)/12)*('NonPregnant Outcomes'!AH25))</f>
        <v>1010.0000000000001</v>
      </c>
      <c r="AI25" s="46">
        <f>((1-'Failure Rates'!D31)*('NonPregnant Outcomes'!AI25))+(('Failure Rates'!D31)*(PersonMonthsPregnant!$M25/12)*('Pregnant Outcomes'!$G25))+(('Failure Rates'!D31)*((12-PersonMonthsPregnant!$M25)/12)*('NonPregnant Outcomes'!AI25))</f>
        <v>1010.0000000000001</v>
      </c>
      <c r="AJ25" s="46">
        <f>((1-'Failure Rates'!E31)*('NonPregnant Outcomes'!AJ25))+(('Failure Rates'!E31)*(PersonMonthsPregnant!$M25/12)*('Pregnant Outcomes'!$G25))+(('Failure Rates'!E31)*((12-PersonMonthsPregnant!$M25)/12)*('NonPregnant Outcomes'!AJ25))</f>
        <v>1010.0000000000001</v>
      </c>
      <c r="AK25" s="46">
        <f>((1-'Failure Rates'!F31)*('NonPregnant Outcomes'!AK25))+(('Failure Rates'!F31)*(PersonMonthsPregnant!$M53/12)*('Pregnant Outcomes'!$G25))+(('Failure Rates'!F31)*((12-PersonMonthsPregnant!$M53)/12)*('NonPregnant Outcomes'!AK25))</f>
        <v>1010.0000000000001</v>
      </c>
      <c r="AL25" s="46">
        <f>((1-'Failure Rates'!G31)*('NonPregnant Outcomes'!AL25))+(('Failure Rates'!G31)*(PersonMonthsPregnant!$M53/12)*('Pregnant Outcomes'!$G25))+(('Failure Rates'!G31)*((12-PersonMonthsPregnant!$M53)/12)*('NonPregnant Outcomes'!AL25))</f>
        <v>1010</v>
      </c>
      <c r="AM25" s="46">
        <f>((1-'Failure Rates'!H31)*('NonPregnant Outcomes'!AM25))+(('Failure Rates'!H31)*(PersonMonthsPregnant!$M25/12)*('Pregnant Outcomes'!$G25))+(('Failure Rates'!H31)*((12-PersonMonthsPregnant!$M25)/12)*('NonPregnant Outcomes'!AM25))</f>
        <v>1009.9999999999999</v>
      </c>
      <c r="AN25" s="46">
        <f>((1-'Failure Rates'!I31)*('NonPregnant Outcomes'!AN25))+(('Failure Rates'!I31)*(PersonMonthsPregnant!$M25/12)*('Pregnant Outcomes'!$G25))+(('Failure Rates'!I31)*((12-PersonMonthsPregnant!$M25)/12)*('NonPregnant Outcomes'!AN25))</f>
        <v>1010</v>
      </c>
      <c r="AO25" s="46">
        <f>((1-'Failure Rates'!J31)*('NonPregnant Outcomes'!AO25))+(('Failure Rates'!J31)*(PersonMonthsPregnant!$M25/12)*('Pregnant Outcomes'!$G25))+(('Failure Rates'!J31)*((12-PersonMonthsPregnant!$M25)/12)*('NonPregnant Outcomes'!AO25))</f>
        <v>1010</v>
      </c>
      <c r="AP25" s="46">
        <f>((1-'Failure Rates'!K31)*('NonPregnant Outcomes'!AP25))+(('Failure Rates'!K31)*(PersonMonthsPregnant!$M25/12)*('Pregnant Outcomes'!$G25))+(('Failure Rates'!K31)*((12-PersonMonthsPregnant!$M25)/12)*('NonPregnant Outcomes'!AP25))</f>
        <v>1010.0000000000001</v>
      </c>
      <c r="AQ25" s="46">
        <f>((1-'Failure Rates'!L31)*('NonPregnant Outcomes'!AQ25))+(('Failure Rates'!L31)*(PersonMonthsPregnant!$M25/12)*('Pregnant Outcomes'!$G25))+(('Failure Rates'!L31)*((12-PersonMonthsPregnant!$M25)/12)*('NonPregnant Outcomes'!AQ25))</f>
        <v>1010.0000000000001</v>
      </c>
      <c r="AR25" s="54">
        <f>'Pregnant Outcomes'!$I25</f>
        <v>354.9</v>
      </c>
      <c r="AS25" s="54">
        <f>(('Failure Rates'!$D31)*('Pregnant Outcomes'!$H25))</f>
        <v>114.97200000000001</v>
      </c>
      <c r="AT25" s="54">
        <f>(('Failure Rates'!$E31)*('Pregnant Outcomes'!$H25))</f>
        <v>114.97200000000001</v>
      </c>
      <c r="AU25" s="54">
        <f>(('Failure Rates'!$F31)*('Pregnant Outcomes'!$J25))</f>
        <v>6.41784</v>
      </c>
      <c r="AV25" s="54">
        <f>(('Failure Rates'!$G31)*('Pregnant Outcomes'!$K25))</f>
        <v>25.67136</v>
      </c>
      <c r="AW25" s="54">
        <f>(('Failure Rates'!$H31)*('Pregnant Outcomes'!$H25))</f>
        <v>68.64</v>
      </c>
      <c r="AX25" s="54">
        <f>(('Failure Rates'!$I31)*('Pregnant Outcomes'!$H25))</f>
        <v>0.85799999999999998</v>
      </c>
      <c r="AY25" s="54">
        <f>(('Failure Rates'!$J31)*('Pregnant Outcomes'!$H25))</f>
        <v>250.53599999999997</v>
      </c>
      <c r="AZ25" s="54">
        <f>(('Failure Rates'!$K31)*('Pregnant Outcomes'!$H25))</f>
        <v>360.36</v>
      </c>
      <c r="BA25" s="54">
        <f>('Failure Rates'!$L31)*('Pregnant Outcomes'!$H25)</f>
        <v>1458.6</v>
      </c>
    </row>
    <row r="26" spans="1:53" x14ac:dyDescent="0.2">
      <c r="A26" t="s">
        <v>29</v>
      </c>
      <c r="B26" t="s">
        <v>7</v>
      </c>
      <c r="C26" t="str">
        <f t="shared" si="0"/>
        <v>A24_29_Smoker</v>
      </c>
      <c r="D26" s="45">
        <f>((1-'Failure Rates'!C32)*('NonPregnant Outcomes'!D26))+(('Failure Rates'!C32)*(PersonMonthsPregnant!$M26/12)*('Pregnant Outcomes'!$D26))+(('Failure Rates'!C32)*((12-PersonMonthsPregnant!$M26)/12)*('NonPregnant Outcomes'!D26))</f>
        <v>17.916570638400003</v>
      </c>
      <c r="E26" s="45">
        <f>((1-'Failure Rates'!D32)*('NonPregnant Outcomes'!E26))+(('Failure Rates'!D32)*(PersonMonthsPregnant!$M26/12)*('Pregnant Outcomes'!$D26))+(('Failure Rates'!D32)*((12-PersonMonthsPregnant!$M26)/12)*('NonPregnant Outcomes'!E26))</f>
        <v>24.184669278720005</v>
      </c>
      <c r="F26" s="45">
        <f>((1-'Failure Rates'!E32)*('NonPregnant Outcomes'!F26))+(('Failure Rates'!E32)*(PersonMonthsPregnant!$M26/12)*('Pregnant Outcomes'!$D26))+(('Failure Rates'!E32)*((12-PersonMonthsPregnant!$M26)/12)*('NonPregnant Outcomes'!F26))</f>
        <v>24.184669278720005</v>
      </c>
      <c r="G26" s="45">
        <f>((1-'Failure Rates'!F32)*('NonPregnant Outcomes'!G26))+(('Failure Rates'!F32)*(PersonMonthsPregnant!$M54/12)*('Pregnant Outcomes'!$D26))+(('Failure Rates'!F32)*((12-PersonMonthsPregnant!$M54)/12)*('NonPregnant Outcomes'!G26))</f>
        <v>17.71138994817408</v>
      </c>
      <c r="H26" s="45">
        <f>((1-'Failure Rates'!G32)*('NonPregnant Outcomes'!H26))+(('Failure Rates'!G32)*(PersonMonthsPregnant!$M54/12)*('Pregnant Outcomes'!$D26))+(('Failure Rates'!G32)*((12-PersonMonthsPregnant!$M54)/12)*('NonPregnant Outcomes'!H26))</f>
        <v>18.045559792696324</v>
      </c>
      <c r="I26" s="45">
        <f>((1-'Failure Rates'!H32)*('NonPregnant Outcomes'!I26))+(('Failure Rates'!H32)*(PersonMonthsPregnant!$M26/12)*('Pregnant Outcomes'!$D26))+(('Failure Rates'!H32)*((12-PersonMonthsPregnant!$M26)/12)*('NonPregnant Outcomes'!I26))</f>
        <v>20.132565107200001</v>
      </c>
      <c r="J26" s="45">
        <f>((1-'Failure Rates'!I32)*('NonPregnant Outcomes'!J26))+(('Failure Rates'!I32)*(PersonMonthsPregnant!$M26/12)*('Pregnant Outcomes'!$D26))+(('Failure Rates'!I32)*((12-PersonMonthsPregnant!$M26)/12)*('NonPregnant Outcomes'!J26))</f>
        <v>17.631657063839999</v>
      </c>
      <c r="K26" s="45">
        <f>((1-'Failure Rates'!J32)*('NonPregnant Outcomes'!K26))+(('Failure Rates'!J32)*(PersonMonthsPregnant!$M26/12)*('Pregnant Outcomes'!$D26))+(('Failure Rates'!J32)*((12-PersonMonthsPregnant!$M26)/12)*('NonPregnant Outcomes'!K26))</f>
        <v>25.197695321600001</v>
      </c>
      <c r="L26" s="45">
        <f>((1-'Failure Rates'!K32)*('NonPregnant Outcomes'!L26))+(('Failure Rates'!K32)*(PersonMonthsPregnant!$M26/12)*('Pregnant Outcomes'!$D26))+(('Failure Rates'!K32)*((12-PersonMonthsPregnant!$M26)/12)*('NonPregnant Outcomes'!L26))</f>
        <v>30.136197280640005</v>
      </c>
      <c r="M26" s="45">
        <f>((1-'Failure Rates'!L32)*('NonPregnant Outcomes'!M26))+(('Failure Rates'!L32)*(PersonMonthsPregnant!$M26/12)*('Pregnant Outcomes'!$D26))+(('Failure Rates'!L32)*((12-PersonMonthsPregnant!$M26)/12)*('NonPregnant Outcomes'!M26))</f>
        <v>71.417008527999997</v>
      </c>
      <c r="N26" s="46">
        <f>((1-'Failure Rates'!C32)*('NonPregnant Outcomes'!N26))+(('Failure Rates'!C32)*(PersonMonthsPregnant!$M26/12)*('Pregnant Outcomes'!$E26))+(('Failure Rates'!C32)*((12-PersonMonthsPregnant!$M26)/12)*('NonPregnant Outcomes'!N26))</f>
        <v>14.119645958161003</v>
      </c>
      <c r="O26" s="46">
        <f>((1-'Failure Rates'!D32)*('NonPregnant Outcomes'!O26))+(('Failure Rates'!D32)*(PersonMonthsPregnant!$M26/12)*('Pregnant Outcomes'!$E26))+(('Failure Rates'!D32)*((12-PersonMonthsPregnant!$M26)/12)*('NonPregnant Outcomes'!O26))</f>
        <v>15.773855929748802</v>
      </c>
      <c r="P26" s="46">
        <f>((1-'Failure Rates'!E32)*('NonPregnant Outcomes'!P26))+(('Failure Rates'!E32)*(PersonMonthsPregnant!$M26/12)*('Pregnant Outcomes'!$E26))+(('Failure Rates'!E32)*((12-PersonMonthsPregnant!$M26)/12)*('NonPregnant Outcomes'!P26))</f>
        <v>15.773855929748802</v>
      </c>
      <c r="Q26" s="46">
        <f>((1-'Failure Rates'!F32)*('NonPregnant Outcomes'!Q26))+(('Failure Rates'!F32)*(PersonMonthsPregnant!$M54/12)*('Pregnant Outcomes'!$E26))+(('Failure Rates'!F32)*((12-PersonMonthsPregnant!$M54)/12)*('NonPregnant Outcomes'!Q26))</f>
        <v>14.065496851194863</v>
      </c>
      <c r="R26" s="46">
        <f>((1-'Failure Rates'!G32)*('NonPregnant Outcomes'!R26))+(('Failure Rates'!G32)*(PersonMonthsPregnant!$M54/12)*('Pregnant Outcomes'!$E26))+(('Failure Rates'!G32)*((12-PersonMonthsPregnant!$M54)/12)*('NonPregnant Outcomes'!R26))</f>
        <v>9.9566366096992471</v>
      </c>
      <c r="S26" s="46">
        <f>((1-'Failure Rates'!H32)*('NonPregnant Outcomes'!S26))+(('Failure Rates'!H32)*(PersonMonthsPregnant!$M26/12)*('Pregnant Outcomes'!$E26))+(('Failure Rates'!H32)*((12-PersonMonthsPregnant!$M26)/12)*('NonPregnant Outcomes'!S26))</f>
        <v>14.704467665288002</v>
      </c>
      <c r="T26" s="46">
        <f>((1-'Failure Rates'!I32)*('NonPregnant Outcomes'!T26))+(('Failure Rates'!I32)*(PersonMonthsPregnant!$M26/12)*('Pregnant Outcomes'!$E26))+(('Failure Rates'!I32)*((12-PersonMonthsPregnant!$M26)/12)*('NonPregnant Outcomes'!T26))</f>
        <v>14.0444545958161</v>
      </c>
      <c r="U26" s="46">
        <f>((1-'Failure Rates'!J32)*('NonPregnant Outcomes'!U26))+(('Failure Rates'!J32)*(PersonMonthsPregnant!$M26/12)*('Pregnant Outcomes'!$E26))+(('Failure Rates'!J32)*((12-PersonMonthsPregnant!$M26)/12)*('NonPregnant Outcomes'!U26))</f>
        <v>16.041202995864001</v>
      </c>
      <c r="V26" s="46">
        <f>((1-'Failure Rates'!K32)*('NonPregnant Outcomes'!V26))+(('Failure Rates'!K32)*(PersonMonthsPregnant!$M26/12)*('Pregnant Outcomes'!$E26))+(('Failure Rates'!K32)*((12-PersonMonthsPregnant!$M26)/12)*('NonPregnant Outcomes'!V26))</f>
        <v>17.344519943175605</v>
      </c>
      <c r="W26" s="46">
        <f>((1-'Failure Rates'!L32)*('NonPregnant Outcomes'!W26))+(('Failure Rates'!L32)*(PersonMonthsPregnant!$M26/12)*('Pregnant Outcomes'!$E26))+(('Failure Rates'!L32)*((12-PersonMonthsPregnant!$M26)/12)*('NonPregnant Outcomes'!W26))</f>
        <v>28.238912887369999</v>
      </c>
      <c r="X26" s="54">
        <f>((1-'Failure Rates'!C32)*('NonPregnant Outcomes'!X26))+(('Failure Rates'!C32)*(VTEPersonMonthsPregnant!$M26/12)*('Pregnant Outcomes'!$F26))+(('Failure Rates'!C32)*((12-VTEPersonMonthsPregnant!$M26)/12)*('NonPregnant Outcomes'!X26))</f>
        <v>72.580192088666678</v>
      </c>
      <c r="Y26" s="54">
        <f>((1-'Failure Rates'!D32)*('NonPregnant Outcomes'!Y26))+(('Failure Rates'!D32)*(VTEPersonMonthsPregnant!$M26/12)*('Pregnant Outcomes'!$F26))+(('Failure Rates'!D32)*((12-VTEPersonMonthsPregnant!$M26)/12)*('NonPregnant Outcomes'!Y26))</f>
        <v>538.99465423466677</v>
      </c>
      <c r="Z26" s="54">
        <f>((1-'Failure Rates'!E32)*('NonPregnant Outcomes'!Z26))+(('Failure Rates'!E32)*(VTEPersonMonthsPregnant!$M26/12)*('Pregnant Outcomes'!$F26))+(('Failure Rates'!E32)*((12-VTEPersonMonthsPregnant!$M26)/12)*('NonPregnant Outcomes'!Z26))</f>
        <v>84.067995444266657</v>
      </c>
      <c r="AA26" s="54">
        <f>((1-'Failure Rates'!F32)*('NonPregnant Outcomes'!AA26))+(('Failure Rates'!F32)*(VTEPersonMonthsPregnant!$M54/12)*('Pregnant Outcomes'!$F26))+(('Failure Rates'!F32)*((12-VTEPersonMonthsPregnant!$M54)/12)*('NonPregnant Outcomes'!AA26))</f>
        <v>72.20232941416306</v>
      </c>
      <c r="AB26" s="54">
        <f>((1-'Failure Rates'!G32)*('NonPregnant Outcomes'!AB26))+(('Failure Rates'!G32)*(VTEPersonMonthsPregnant!$M54/12)*('Pregnant Outcomes'!$F26))+(('Failure Rates'!G32)*((12-VTEPersonMonthsPregnant!$M54)/12)*('NonPregnant Outcomes'!AB26))</f>
        <v>72.809317656652269</v>
      </c>
      <c r="AC26" s="54">
        <f>((1-'Failure Rates'!H32)*('NonPregnant Outcomes'!AC26))+(('Failure Rates'!H32)*(VTEPersonMonthsPregnant!$M26/12)*('Pregnant Outcomes'!$F26))+(('Failure Rates'!H32)*((12-VTEPersonMonthsPregnant!$M26)/12)*('NonPregnant Outcomes'!AC26))</f>
        <v>194.24775485973331</v>
      </c>
      <c r="AD26" s="54">
        <f>((1-'Failure Rates'!I32)*('NonPregnant Outcomes'!AD26))+(('Failure Rates'!I32)*(VTEPersonMonthsPregnant!$M26/12)*('Pregnant Outcomes'!$F26))+(('Failure Rates'!I32)*((12-VTEPersonMonthsPregnant!$M26)/12)*('NonPregnant Outcomes'!AD26))</f>
        <v>72.058019208866668</v>
      </c>
      <c r="AE26" s="54">
        <f>((1-'Failure Rates'!J32)*('NonPregnant Outcomes'!AE26))+(('Failure Rates'!J32)*(VTEPersonMonthsPregnant!$M26/12)*('Pregnant Outcomes'!$F26))+(('Failure Rates'!J32)*((12-VTEPersonMonthsPregnant!$M26)/12)*('NonPregnant Outcomes'!AE26))</f>
        <v>85.924610127999998</v>
      </c>
      <c r="AF26" s="54">
        <f>((1-'Failure Rates'!K32)*('NonPregnant Outcomes'!AF26))+(('Failure Rates'!K32)*(VTEPersonMonthsPregnant!$M26/12)*('Pregnant Outcomes'!$F26))+(('Failure Rates'!K32)*((12-VTEPersonMonthsPregnant!$M26)/12)*('NonPregnant Outcomes'!AF26))</f>
        <v>94.975606711200001</v>
      </c>
      <c r="AG26" s="54">
        <f>((1-'Failure Rates'!L32)*('NonPregnant Outcomes'!AG26))+(('Failure Rates'!L32)*(VTEPersonMonthsPregnant!$M26/12)*('Pregnant Outcomes'!$F26))+(('Failure Rates'!L32)*((12-VTEPersonMonthsPregnant!$M26)/12)*('NonPregnant Outcomes'!AG26))</f>
        <v>170.63265507333332</v>
      </c>
      <c r="AH26" s="46">
        <f>((1-'Failure Rates'!C32)*('NonPregnant Outcomes'!AH26))+(('Failure Rates'!C32)*(PersonMonthsPregnant!$M26/12)*('Pregnant Outcomes'!$G26))+(('Failure Rates'!C32)*((12-PersonMonthsPregnant!$M26)/12)*('NonPregnant Outcomes'!AH26))</f>
        <v>1010</v>
      </c>
      <c r="AI26" s="46">
        <f>((1-'Failure Rates'!D32)*('NonPregnant Outcomes'!AI26))+(('Failure Rates'!D32)*(PersonMonthsPregnant!$M26/12)*('Pregnant Outcomes'!$G26))+(('Failure Rates'!D32)*((12-PersonMonthsPregnant!$M26)/12)*('NonPregnant Outcomes'!AI26))</f>
        <v>1010</v>
      </c>
      <c r="AJ26" s="46">
        <f>((1-'Failure Rates'!E32)*('NonPregnant Outcomes'!AJ26))+(('Failure Rates'!E32)*(PersonMonthsPregnant!$M26/12)*('Pregnant Outcomes'!$G26))+(('Failure Rates'!E32)*((12-PersonMonthsPregnant!$M26)/12)*('NonPregnant Outcomes'!AJ26))</f>
        <v>1010</v>
      </c>
      <c r="AK26" s="46">
        <f>((1-'Failure Rates'!F32)*('NonPregnant Outcomes'!AK26))+(('Failure Rates'!F32)*(PersonMonthsPregnant!$M54/12)*('Pregnant Outcomes'!$G26))+(('Failure Rates'!F32)*((12-PersonMonthsPregnant!$M54)/12)*('NonPregnant Outcomes'!AK26))</f>
        <v>1010</v>
      </c>
      <c r="AL26" s="46">
        <f>((1-'Failure Rates'!G32)*('NonPregnant Outcomes'!AL26))+(('Failure Rates'!G32)*(PersonMonthsPregnant!$M54/12)*('Pregnant Outcomes'!$G26))+(('Failure Rates'!G32)*((12-PersonMonthsPregnant!$M54)/12)*('NonPregnant Outcomes'!AL26))</f>
        <v>1010</v>
      </c>
      <c r="AM26" s="46">
        <f>((1-'Failure Rates'!H32)*('NonPregnant Outcomes'!AM26))+(('Failure Rates'!H32)*(PersonMonthsPregnant!$M26/12)*('Pregnant Outcomes'!$G26))+(('Failure Rates'!H32)*((12-PersonMonthsPregnant!$M26)/12)*('NonPregnant Outcomes'!AM26))</f>
        <v>1009.9999999999999</v>
      </c>
      <c r="AN26" s="46">
        <f>((1-'Failure Rates'!I32)*('NonPregnant Outcomes'!AN26))+(('Failure Rates'!I32)*(PersonMonthsPregnant!$M26/12)*('Pregnant Outcomes'!$G26))+(('Failure Rates'!I32)*((12-PersonMonthsPregnant!$M26)/12)*('NonPregnant Outcomes'!AN26))</f>
        <v>1010</v>
      </c>
      <c r="AO26" s="46">
        <f>((1-'Failure Rates'!J32)*('NonPregnant Outcomes'!AO26))+(('Failure Rates'!J32)*(PersonMonthsPregnant!$M26/12)*('Pregnant Outcomes'!$G26))+(('Failure Rates'!J32)*((12-PersonMonthsPregnant!$M26)/12)*('NonPregnant Outcomes'!AO26))</f>
        <v>1010</v>
      </c>
      <c r="AP26" s="46">
        <f>((1-'Failure Rates'!K32)*('NonPregnant Outcomes'!AP26))+(('Failure Rates'!K32)*(PersonMonthsPregnant!$M26/12)*('Pregnant Outcomes'!$G26))+(('Failure Rates'!K32)*((12-PersonMonthsPregnant!$M26)/12)*('NonPregnant Outcomes'!AP26))</f>
        <v>1010.0000000000001</v>
      </c>
      <c r="AQ26" s="46">
        <f>((1-'Failure Rates'!L32)*('NonPregnant Outcomes'!AQ26))+(('Failure Rates'!L32)*(PersonMonthsPregnant!$M26/12)*('Pregnant Outcomes'!$G26))+(('Failure Rates'!L32)*((12-PersonMonthsPregnant!$M26)/12)*('NonPregnant Outcomes'!AQ26))</f>
        <v>1010</v>
      </c>
      <c r="AR26" s="54">
        <f>'Pregnant Outcomes'!$I26</f>
        <v>354.9</v>
      </c>
      <c r="AS26" s="54">
        <f>(('Failure Rates'!$D32)*('Pregnant Outcomes'!$H26))</f>
        <v>214.96799999999999</v>
      </c>
      <c r="AT26" s="54">
        <f>(('Failure Rates'!$E32)*('Pregnant Outcomes'!$H26))</f>
        <v>214.96799999999999</v>
      </c>
      <c r="AU26" s="54">
        <f>(('Failure Rates'!$F32)*('Pregnant Outcomes'!$J26))</f>
        <v>7.7305799999999998</v>
      </c>
      <c r="AV26" s="54">
        <f>(('Failure Rates'!$G32)*('Pregnant Outcomes'!$K26))</f>
        <v>30.922320000000003</v>
      </c>
      <c r="AW26" s="54">
        <f>(('Failure Rates'!$H32)*('Pregnant Outcomes'!$H26))</f>
        <v>82.68</v>
      </c>
      <c r="AX26" s="54">
        <f>(('Failure Rates'!$I32)*('Pregnant Outcomes'!$H26))</f>
        <v>1.0335000000000001</v>
      </c>
      <c r="AY26" s="54">
        <f>(('Failure Rates'!$J32)*('Pregnant Outcomes'!$H26))</f>
        <v>248.04</v>
      </c>
      <c r="AZ26" s="54">
        <f>(('Failure Rates'!$K32)*('Pregnant Outcomes'!$H26))</f>
        <v>409.26600000000002</v>
      </c>
      <c r="BA26" s="54">
        <f>('Failure Rates'!$L32)*('Pregnant Outcomes'!$H26)</f>
        <v>1756.95</v>
      </c>
    </row>
    <row r="27" spans="1:53" x14ac:dyDescent="0.2">
      <c r="A27" t="s">
        <v>68</v>
      </c>
      <c r="B27" t="s">
        <v>7</v>
      </c>
      <c r="C27" t="str">
        <f t="shared" si="0"/>
        <v>A30_34_Smoker</v>
      </c>
      <c r="D27" s="45">
        <f>((1-'Failure Rates'!C33)*('NonPregnant Outcomes'!D27))+(('Failure Rates'!C33)*(PersonMonthsPregnant!$M27/12)*('Pregnant Outcomes'!$D27))+(('Failure Rates'!C33)*((12-PersonMonthsPregnant!$M27)/12)*('NonPregnant Outcomes'!D27))</f>
        <v>40.281224537840004</v>
      </c>
      <c r="E27" s="45">
        <f>((1-'Failure Rates'!D33)*('NonPregnant Outcomes'!E27))+(('Failure Rates'!D33)*(PersonMonthsPregnant!$M27/12)*('Pregnant Outcomes'!$D27))+(('Failure Rates'!D33)*((12-PersonMonthsPregnant!$M27)/12)*('NonPregnant Outcomes'!E27))</f>
        <v>45.186041210288003</v>
      </c>
      <c r="F27" s="45">
        <f>((1-'Failure Rates'!E33)*('NonPregnant Outcomes'!F27))+(('Failure Rates'!E33)*(PersonMonthsPregnant!$M27/12)*('Pregnant Outcomes'!$D27))+(('Failure Rates'!E33)*((12-PersonMonthsPregnant!$M27)/12)*('NonPregnant Outcomes'!F27))</f>
        <v>45.186041210288003</v>
      </c>
      <c r="G27" s="45">
        <f>((1-'Failure Rates'!F33)*('NonPregnant Outcomes'!G27))+(('Failure Rates'!F33)*(PersonMonthsPregnant!$M55/12)*('Pregnant Outcomes'!$D27))+(('Failure Rates'!F33)*((12-PersonMonthsPregnant!$M55)/12)*('NonPregnant Outcomes'!G27))</f>
        <v>39.827922093986047</v>
      </c>
      <c r="H27" s="45">
        <f>((1-'Failure Rates'!G33)*('NonPregnant Outcomes'!H27))+(('Failure Rates'!G33)*(PersonMonthsPregnant!$M55/12)*('Pregnant Outcomes'!$D27))+(('Failure Rates'!G33)*((12-PersonMonthsPregnant!$M55)/12)*('NonPregnant Outcomes'!H27))</f>
        <v>40.511688375944189</v>
      </c>
      <c r="I27" s="45">
        <f>((1-'Failure Rates'!H33)*('NonPregnant Outcomes'!I27))+(('Failure Rates'!H33)*(PersonMonthsPregnant!$M27/12)*('Pregnant Outcomes'!$D27))+(('Failure Rates'!H33)*((12-PersonMonthsPregnant!$M27)/12)*('NonPregnant Outcomes'!I27))</f>
        <v>45.049796302719997</v>
      </c>
      <c r="J27" s="45">
        <f>((1-'Failure Rates'!I33)*('NonPregnant Outcomes'!J27))+(('Failure Rates'!I33)*(PersonMonthsPregnant!$M27/12)*('Pregnant Outcomes'!$D27))+(('Failure Rates'!I33)*((12-PersonMonthsPregnant!$M27)/12)*('NonPregnant Outcomes'!J27))</f>
        <v>39.668122453784001</v>
      </c>
      <c r="K27" s="45">
        <f>((1-'Failure Rates'!J33)*('NonPregnant Outcomes'!K27))+(('Failure Rates'!J33)*(PersonMonthsPregnant!$M27/12)*('Pregnant Outcomes'!$D27))+(('Failure Rates'!J33)*((12-PersonMonthsPregnant!$M27)/12)*('NonPregnant Outcomes'!K27))</f>
        <v>51.044572235712003</v>
      </c>
      <c r="L27" s="45">
        <f>((1-'Failure Rates'!K33)*('NonPregnant Outcomes'!L27))+(('Failure Rates'!K33)*(PersonMonthsPregnant!$M27/12)*('Pregnant Outcomes'!$D27))+(('Failure Rates'!K33)*((12-PersonMonthsPregnant!$M27)/12)*('NonPregnant Outcomes'!L27))</f>
        <v>63.715348639536003</v>
      </c>
      <c r="M27" s="45">
        <f>((1-'Failure Rates'!L33)*('NonPregnant Outcomes'!M27))+(('Failure Rates'!L33)*(PersonMonthsPregnant!$M27/12)*('Pregnant Outcomes'!$D27))+(('Failure Rates'!L33)*((12-PersonMonthsPregnant!$M27)/12)*('NonPregnant Outcomes'!M27))</f>
        <v>155.40817143280003</v>
      </c>
      <c r="N27" s="46">
        <f>((1-'Failure Rates'!C33)*('NonPregnant Outcomes'!N27))+(('Failure Rates'!C33)*(PersonMonthsPregnant!$M27/12)*('Pregnant Outcomes'!$E27))+(('Failure Rates'!C33)*((12-PersonMonthsPregnant!$M27)/12)*('NonPregnant Outcomes'!N27))</f>
        <v>14.157062105645501</v>
      </c>
      <c r="O27" s="46">
        <f>((1-'Failure Rates'!D33)*('NonPregnant Outcomes'!O27))+(('Failure Rates'!D33)*(PersonMonthsPregnant!$M27/12)*('Pregnant Outcomes'!$E27))+(('Failure Rates'!D33)*((12-PersonMonthsPregnant!$M27)/12)*('NonPregnant Outcomes'!O27))</f>
        <v>15.027989266293101</v>
      </c>
      <c r="P27" s="46">
        <f>((1-'Failure Rates'!E33)*('NonPregnant Outcomes'!P27))+(('Failure Rates'!E33)*(PersonMonthsPregnant!$M27/12)*('Pregnant Outcomes'!$E27))+(('Failure Rates'!E33)*((12-PersonMonthsPregnant!$M27)/12)*('NonPregnant Outcomes'!P27))</f>
        <v>15.027989266293101</v>
      </c>
      <c r="Q27" s="46">
        <f>((1-'Failure Rates'!F33)*('NonPregnant Outcomes'!Q27))+(('Failure Rates'!F33)*(PersonMonthsPregnant!$M55/12)*('Pregnant Outcomes'!$E27))+(('Failure Rates'!F33)*((12-PersonMonthsPregnant!$M55)/12)*('NonPregnant Outcomes'!Q27))</f>
        <v>14.076571144065218</v>
      </c>
      <c r="R27" s="46">
        <f>((1-'Failure Rates'!G33)*('NonPregnant Outcomes'!R27))+(('Failure Rates'!G33)*(PersonMonthsPregnant!$M55/12)*('Pregnant Outcomes'!$E27))+(('Failure Rates'!G33)*((12-PersonMonthsPregnant!$M55)/12)*('NonPregnant Outcomes'!R27))</f>
        <v>10.000008023400465</v>
      </c>
      <c r="S27" s="46">
        <f>((1-'Failure Rates'!H33)*('NonPregnant Outcomes'!S27))+(('Failure Rates'!H33)*(PersonMonthsPregnant!$M27/12)*('Pregnant Outcomes'!$E27))+(('Failure Rates'!H33)*((12-PersonMonthsPregnant!$M27)/12)*('NonPregnant Outcomes'!S27))</f>
        <v>15.003796845164002</v>
      </c>
      <c r="T27" s="46">
        <f>((1-'Failure Rates'!I33)*('NonPregnant Outcomes'!T27))+(('Failure Rates'!I33)*(PersonMonthsPregnant!$M27/12)*('Pregnant Outcomes'!$E27))+(('Failure Rates'!I33)*((12-PersonMonthsPregnant!$M27)/12)*('NonPregnant Outcomes'!T27))</f>
        <v>14.048196210564551</v>
      </c>
      <c r="U27" s="46">
        <f>((1-'Failure Rates'!J33)*('NonPregnant Outcomes'!U27))+(('Failure Rates'!J33)*(PersonMonthsPregnant!$M27/12)*('Pregnant Outcomes'!$E27))+(('Failure Rates'!J33)*((12-PersonMonthsPregnant!$M27)/12)*('NonPregnant Outcomes'!U27))</f>
        <v>16.068263374844403</v>
      </c>
      <c r="V27" s="46">
        <f>((1-'Failure Rates'!K33)*('NonPregnant Outcomes'!V27))+(('Failure Rates'!K33)*(PersonMonthsPregnant!$M27/12)*('Pregnant Outcomes'!$E27))+(('Failure Rates'!K33)*((12-PersonMonthsPregnant!$M27)/12)*('NonPregnant Outcomes'!V27))</f>
        <v>18.3181585398507</v>
      </c>
      <c r="W27" s="46">
        <f>((1-'Failure Rates'!L33)*('NonPregnant Outcomes'!W27))+(('Failure Rates'!L33)*(PersonMonthsPregnant!$M27/12)*('Pregnant Outcomes'!$E27))+(('Failure Rates'!L33)*((12-PersonMonthsPregnant!$M27)/12)*('NonPregnant Outcomes'!W27))</f>
        <v>34.599657959734998</v>
      </c>
      <c r="X27" s="54">
        <f>((1-'Failure Rates'!C33)*('NonPregnant Outcomes'!X27))+(('Failure Rates'!C33)*(VTEPersonMonthsPregnant!$M27/12)*('Pregnant Outcomes'!$F27))+(('Failure Rates'!C33)*((12-VTEPersonMonthsPregnant!$M27)/12)*('NonPregnant Outcomes'!X27))</f>
        <v>75.586972186500006</v>
      </c>
      <c r="Y27" s="54">
        <f>((1-'Failure Rates'!D33)*('NonPregnant Outcomes'!Y27))+(('Failure Rates'!D33)*(VTEPersonMonthsPregnant!$M27/12)*('Pregnant Outcomes'!$F27))+(('Failure Rates'!D33)*((12-VTEPersonMonthsPregnant!$M27)/12)*('NonPregnant Outcomes'!Y27))</f>
        <v>571.27429062179999</v>
      </c>
      <c r="Z27" s="54">
        <f>((1-'Failure Rates'!E33)*('NonPregnant Outcomes'!Z27))+(('Failure Rates'!E33)*(VTEPersonMonthsPregnant!$M27/12)*('Pregnant Outcomes'!$F27))+(('Failure Rates'!E33)*((12-VTEPersonMonthsPregnant!$M27)/12)*('NonPregnant Outcomes'!Z27))</f>
        <v>79.813171929299997</v>
      </c>
      <c r="AA27" s="54">
        <f>((1-'Failure Rates'!F33)*('NonPregnant Outcomes'!AA27))+(('Failure Rates'!F33)*(VTEPersonMonthsPregnant!$M55/12)*('Pregnant Outcomes'!$F27))+(('Failure Rates'!F33)*((12-VTEPersonMonthsPregnant!$M55)/12)*('NonPregnant Outcomes'!AA27))</f>
        <v>75.193777957452795</v>
      </c>
      <c r="AB27" s="54">
        <f>((1-'Failure Rates'!G33)*('NonPregnant Outcomes'!AB27))+(('Failure Rates'!G33)*(VTEPersonMonthsPregnant!$M55/12)*('Pregnant Outcomes'!$F27))+(('Failure Rates'!G33)*((12-VTEPersonMonthsPregnant!$M55)/12)*('NonPregnant Outcomes'!AB27))</f>
        <v>75.775111829811209</v>
      </c>
      <c r="AC27" s="54">
        <f>((1-'Failure Rates'!H33)*('NonPregnant Outcomes'!AC27))+(('Failure Rates'!H33)*(VTEPersonMonthsPregnant!$M27/12)*('Pregnant Outcomes'!$F27))+(('Failure Rates'!H33)*((12-VTEPersonMonthsPregnant!$M27)/12)*('NonPregnant Outcomes'!AC27))</f>
        <v>202.261404462</v>
      </c>
      <c r="AD27" s="54">
        <f>((1-'Failure Rates'!I33)*('NonPregnant Outcomes'!AD27))+(('Failure Rates'!I33)*(VTEPersonMonthsPregnant!$M27/12)*('Pregnant Outcomes'!$F27))+(('Failure Rates'!I33)*((12-VTEPersonMonthsPregnant!$M27)/12)*('NonPregnant Outcomes'!AD27))</f>
        <v>75.058697218650011</v>
      </c>
      <c r="AE27" s="54">
        <f>((1-'Failure Rates'!J33)*('NonPregnant Outcomes'!AE27))+(('Failure Rates'!J33)*(VTEPersonMonthsPregnant!$M27/12)*('Pregnant Outcomes'!$F27))+(('Failure Rates'!J33)*((12-VTEPersonMonthsPregnant!$M27)/12)*('NonPregnant Outcomes'!AE27))</f>
        <v>84.861132733199995</v>
      </c>
      <c r="AF27" s="54">
        <f>((1-'Failure Rates'!K33)*('NonPregnant Outcomes'!AF27))+(('Failure Rates'!K33)*(VTEPersonMonthsPregnant!$M27/12)*('Pregnant Outcomes'!$F27))+(('Failure Rates'!K33)*((12-VTEPersonMonthsPregnant!$M27)/12)*('NonPregnant Outcomes'!AF27))</f>
        <v>95.778815402099994</v>
      </c>
      <c r="AG27" s="54">
        <f>((1-'Failure Rates'!L33)*('NonPregnant Outcomes'!AG27))+(('Failure Rates'!L33)*(VTEPersonMonthsPregnant!$M27/12)*('Pregnant Outcomes'!$F27))+(('Failure Rates'!L33)*((12-VTEPersonMonthsPregnant!$M27)/12)*('NonPregnant Outcomes'!AG27))</f>
        <v>174.78527170499999</v>
      </c>
      <c r="AH27" s="46">
        <f>((1-'Failure Rates'!C33)*('NonPregnant Outcomes'!AH27))+(('Failure Rates'!C33)*(PersonMonthsPregnant!$M27/12)*('Pregnant Outcomes'!$G27))+(('Failure Rates'!C33)*((12-PersonMonthsPregnant!$M27)/12)*('NonPregnant Outcomes'!AH27))</f>
        <v>430.00000000000006</v>
      </c>
      <c r="AI27" s="46">
        <f>((1-'Failure Rates'!D33)*('NonPregnant Outcomes'!AI27))+(('Failure Rates'!D33)*(PersonMonthsPregnant!$M27/12)*('Pregnant Outcomes'!$G27))+(('Failure Rates'!D33)*((12-PersonMonthsPregnant!$M27)/12)*('NonPregnant Outcomes'!AI27))</f>
        <v>430</v>
      </c>
      <c r="AJ27" s="46">
        <f>((1-'Failure Rates'!E33)*('NonPregnant Outcomes'!AJ27))+(('Failure Rates'!E33)*(PersonMonthsPregnant!$M27/12)*('Pregnant Outcomes'!$G27))+(('Failure Rates'!E33)*((12-PersonMonthsPregnant!$M27)/12)*('NonPregnant Outcomes'!AJ27))</f>
        <v>430</v>
      </c>
      <c r="AK27" s="46">
        <f>((1-'Failure Rates'!F33)*('NonPregnant Outcomes'!AK27))+(('Failure Rates'!F33)*(PersonMonthsPregnant!$M55/12)*('Pregnant Outcomes'!$G27))+(('Failure Rates'!F33)*((12-PersonMonthsPregnant!$M55)/12)*('NonPregnant Outcomes'!AK27))</f>
        <v>430</v>
      </c>
      <c r="AL27" s="46">
        <f>((1-'Failure Rates'!G33)*('NonPregnant Outcomes'!AL27))+(('Failure Rates'!G33)*(PersonMonthsPregnant!$M55/12)*('Pregnant Outcomes'!$G27))+(('Failure Rates'!G33)*((12-PersonMonthsPregnant!$M55)/12)*('NonPregnant Outcomes'!AL27))</f>
        <v>430</v>
      </c>
      <c r="AM27" s="46">
        <f>((1-'Failure Rates'!H33)*('NonPregnant Outcomes'!AM27))+(('Failure Rates'!H33)*(PersonMonthsPregnant!$M27/12)*('Pregnant Outcomes'!$G27))+(('Failure Rates'!H33)*((12-PersonMonthsPregnant!$M27)/12)*('NonPregnant Outcomes'!AM27))</f>
        <v>430</v>
      </c>
      <c r="AN27" s="46">
        <f>((1-'Failure Rates'!I33)*('NonPregnant Outcomes'!AN27))+(('Failure Rates'!I33)*(PersonMonthsPregnant!$M27/12)*('Pregnant Outcomes'!$G27))+(('Failure Rates'!I33)*((12-PersonMonthsPregnant!$M27)/12)*('NonPregnant Outcomes'!AN27))</f>
        <v>430</v>
      </c>
      <c r="AO27" s="46">
        <f>((1-'Failure Rates'!J33)*('NonPregnant Outcomes'!AO27))+(('Failure Rates'!J33)*(PersonMonthsPregnant!$M27/12)*('Pregnant Outcomes'!$G27))+(('Failure Rates'!J33)*((12-PersonMonthsPregnant!$M27)/12)*('NonPregnant Outcomes'!AO27))</f>
        <v>430</v>
      </c>
      <c r="AP27" s="46">
        <f>((1-'Failure Rates'!K33)*('NonPregnant Outcomes'!AP27))+(('Failure Rates'!K33)*(PersonMonthsPregnant!$M27/12)*('Pregnant Outcomes'!$G27))+(('Failure Rates'!K33)*((12-PersonMonthsPregnant!$M27)/12)*('NonPregnant Outcomes'!AP27))</f>
        <v>430</v>
      </c>
      <c r="AQ27" s="46">
        <f>((1-'Failure Rates'!L33)*('NonPregnant Outcomes'!AQ27))+(('Failure Rates'!L33)*(PersonMonthsPregnant!$M27/12)*('Pregnant Outcomes'!$G27))+(('Failure Rates'!L33)*((12-PersonMonthsPregnant!$M27)/12)*('NonPregnant Outcomes'!AQ27))</f>
        <v>430</v>
      </c>
      <c r="AR27" s="54">
        <f>'Pregnant Outcomes'!$I27</f>
        <v>187.2</v>
      </c>
      <c r="AS27" s="54">
        <f>(('Failure Rates'!$D33)*('Pregnant Outcomes'!$H27))</f>
        <v>118.32600000000001</v>
      </c>
      <c r="AT27" s="54">
        <f>(('Failure Rates'!$E33)*('Pregnant Outcomes'!$H27))</f>
        <v>118.32600000000001</v>
      </c>
      <c r="AU27" s="54">
        <f>(('Failure Rates'!$F33)*('Pregnant Outcomes'!$J27))</f>
        <v>10.793640000000002</v>
      </c>
      <c r="AV27" s="54">
        <f>(('Failure Rates'!$G33)*('Pregnant Outcomes'!$K27))</f>
        <v>43.174560000000007</v>
      </c>
      <c r="AW27" s="54">
        <f>(('Failure Rates'!$H33)*('Pregnant Outcomes'!$H27))</f>
        <v>115.44</v>
      </c>
      <c r="AX27" s="54">
        <f>(('Failure Rates'!$I33)*('Pregnant Outcomes'!$H27))</f>
        <v>1.4430000000000001</v>
      </c>
      <c r="AY27" s="54">
        <f>(('Failure Rates'!$J33)*('Pregnant Outcomes'!$H27))</f>
        <v>242.42400000000001</v>
      </c>
      <c r="AZ27" s="54">
        <f>(('Failure Rates'!$K33)*('Pregnant Outcomes'!$H27))</f>
        <v>510.82199999999995</v>
      </c>
      <c r="BA27" s="54">
        <f>('Failure Rates'!$L33)*('Pregnant Outcomes'!$H27)</f>
        <v>2453.1</v>
      </c>
    </row>
    <row r="28" spans="1:53" x14ac:dyDescent="0.2">
      <c r="A28" t="s">
        <v>69</v>
      </c>
      <c r="B28" t="s">
        <v>7</v>
      </c>
      <c r="C28" t="str">
        <f t="shared" si="0"/>
        <v>A35_39_Smoker</v>
      </c>
      <c r="D28" s="45">
        <f>((1-'Failure Rates'!C34)*('NonPregnant Outcomes'!D28))+(('Failure Rates'!C34)*(PersonMonthsPregnant!$M28/12)*('Pregnant Outcomes'!$D28))+(('Failure Rates'!C34)*((12-PersonMonthsPregnant!$M28)/12)*('NonPregnant Outcomes'!D28))</f>
        <v>98.10709763600002</v>
      </c>
      <c r="E28" s="45">
        <f>((1-'Failure Rates'!D34)*('NonPregnant Outcomes'!E28))+(('Failure Rates'!D34)*(PersonMonthsPregnant!$M28/12)*('Pregnant Outcomes'!$D28))+(('Failure Rates'!D34)*((12-PersonMonthsPregnant!$M28)/12)*('NonPregnant Outcomes'!E28))</f>
        <v>107.51820061520002</v>
      </c>
      <c r="F28" s="45">
        <f>((1-'Failure Rates'!E34)*('NonPregnant Outcomes'!F28))+(('Failure Rates'!E34)*(PersonMonthsPregnant!$M28/12)*('Pregnant Outcomes'!$D28))+(('Failure Rates'!E34)*((12-PersonMonthsPregnant!$M28)/12)*('NonPregnant Outcomes'!F28))</f>
        <v>107.51820061520002</v>
      </c>
      <c r="G28" s="45">
        <f>((1-'Failure Rates'!F34)*('NonPregnant Outcomes'!G28))+(('Failure Rates'!F34)*(PersonMonthsPregnant!$M56/12)*('Pregnant Outcomes'!$D28))+(('Failure Rates'!F34)*((12-PersonMonthsPregnant!$M56)/12)*('NonPregnant Outcomes'!G28))</f>
        <v>97.211920906914415</v>
      </c>
      <c r="H28" s="45">
        <f>((1-'Failure Rates'!G34)*('NonPregnant Outcomes'!H28))+(('Failure Rates'!G34)*(PersonMonthsPregnant!$M56/12)*('Pregnant Outcomes'!$D28))+(('Failure Rates'!G34)*((12-PersonMonthsPregnant!$M56)/12)*('NonPregnant Outcomes'!H28))</f>
        <v>98.447683627657611</v>
      </c>
      <c r="I28" s="45">
        <f>((1-'Failure Rates'!H34)*('NonPregnant Outcomes'!I28))+(('Failure Rates'!H34)*(PersonMonthsPregnant!$M28/12)*('Pregnant Outcomes'!$D28))+(('Failure Rates'!H34)*((12-PersonMonthsPregnant!$M28)/12)*('NonPregnant Outcomes'!I28))</f>
        <v>107.25678108800001</v>
      </c>
      <c r="J28" s="45">
        <f>((1-'Failure Rates'!I34)*('NonPregnant Outcomes'!J28))+(('Failure Rates'!I34)*(PersonMonthsPregnant!$M28/12)*('Pregnant Outcomes'!$D28))+(('Failure Rates'!I34)*((12-PersonMonthsPregnant!$M28)/12)*('NonPregnant Outcomes'!J28))</f>
        <v>96.930709763600021</v>
      </c>
      <c r="K28" s="45">
        <f>((1-'Failure Rates'!J34)*('NonPregnant Outcomes'!K28))+(('Failure Rates'!J34)*(PersonMonthsPregnant!$M28/12)*('Pregnant Outcomes'!$D28))+(('Failure Rates'!J34)*((12-PersonMonthsPregnant!$M28)/12)*('NonPregnant Outcomes'!K28))</f>
        <v>118.75924028480003</v>
      </c>
      <c r="L28" s="45">
        <f>((1-'Failure Rates'!K34)*('NonPregnant Outcomes'!L28))+(('Failure Rates'!K34)*(PersonMonthsPregnant!$M28/12)*('Pregnant Outcomes'!$D28))+(('Failure Rates'!K34)*((12-PersonMonthsPregnant!$M28)/12)*('NonPregnant Outcomes'!L28))</f>
        <v>143.07125631440002</v>
      </c>
      <c r="M28" s="45">
        <f>((1-'Failure Rates'!L34)*('NonPregnant Outcomes'!M28))+(('Failure Rates'!L34)*(PersonMonthsPregnant!$M28/12)*('Pregnant Outcomes'!$D28))+(('Failure Rates'!L34)*((12-PersonMonthsPregnant!$M28)/12)*('NonPregnant Outcomes'!M28))</f>
        <v>319.00659812000009</v>
      </c>
      <c r="N28" s="46">
        <f>((1-'Failure Rates'!C34)*('NonPregnant Outcomes'!N28))+(('Failure Rates'!C34)*(PersonMonthsPregnant!$M28/12)*('Pregnant Outcomes'!$E28))+(('Failure Rates'!C34)*((12-PersonMonthsPregnant!$M28)/12)*('NonPregnant Outcomes'!N28))</f>
        <v>44.03887201173</v>
      </c>
      <c r="O28" s="46">
        <f>((1-'Failure Rates'!D34)*('NonPregnant Outcomes'!O28))+(('Failure Rates'!D34)*(PersonMonthsPregnant!$M28/12)*('Pregnant Outcomes'!$E28))+(('Failure Rates'!D34)*((12-PersonMonthsPregnant!$M28)/12)*('NonPregnant Outcomes'!O28))</f>
        <v>45.026510496186006</v>
      </c>
      <c r="P28" s="46">
        <f>((1-'Failure Rates'!E34)*('NonPregnant Outcomes'!P28))+(('Failure Rates'!E34)*(PersonMonthsPregnant!$M28/12)*('Pregnant Outcomes'!$E28))+(('Failure Rates'!E34)*((12-PersonMonthsPregnant!$M28)/12)*('NonPregnant Outcomes'!P28))</f>
        <v>45.026510496186006</v>
      </c>
      <c r="Q28" s="46">
        <f>((1-'Failure Rates'!F34)*('NonPregnant Outcomes'!Q28))+(('Failure Rates'!F34)*(PersonMonthsPregnant!$M56/12)*('Pregnant Outcomes'!$E28))+(('Failure Rates'!F34)*((12-PersonMonthsPregnant!$M56)/12)*('NonPregnant Outcomes'!Q28))</f>
        <v>43.944928614235735</v>
      </c>
      <c r="R28" s="46">
        <f>((1-'Failure Rates'!G34)*('NonPregnant Outcomes'!R28))+(('Failure Rates'!G34)*(PersonMonthsPregnant!$M56/12)*('Pregnant Outcomes'!$E28))+(('Failure Rates'!G34)*((12-PersonMonthsPregnant!$M56)/12)*('NonPregnant Outcomes'!R28))</f>
        <v>30.938356672510402</v>
      </c>
      <c r="S28" s="46">
        <f>((1-'Failure Rates'!H34)*('NonPregnant Outcomes'!S28))+(('Failure Rates'!H34)*(PersonMonthsPregnant!$M28/12)*('Pregnant Outcomes'!$E28))+(('Failure Rates'!H34)*((12-PersonMonthsPregnant!$M28)/12)*('NonPregnant Outcomes'!S28))</f>
        <v>44.999076093840003</v>
      </c>
      <c r="T28" s="46">
        <f>((1-'Failure Rates'!I34)*('NonPregnant Outcomes'!T28))+(('Failure Rates'!I34)*(PersonMonthsPregnant!$M28/12)*('Pregnant Outcomes'!$E28))+(('Failure Rates'!I34)*((12-PersonMonthsPregnant!$M28)/12)*('NonPregnant Outcomes'!T28))</f>
        <v>43.915417201173</v>
      </c>
      <c r="U28" s="46">
        <f>((1-'Failure Rates'!J34)*('NonPregnant Outcomes'!U28))+(('Failure Rates'!J34)*(PersonMonthsPregnant!$M28/12)*('Pregnant Outcomes'!$E28))+(('Failure Rates'!J34)*((12-PersonMonthsPregnant!$M28)/12)*('NonPregnant Outcomes'!U28))</f>
        <v>46.206189797063999</v>
      </c>
      <c r="V28" s="46">
        <f>((1-'Failure Rates'!K34)*('NonPregnant Outcomes'!V28))+(('Failure Rates'!K34)*(PersonMonthsPregnant!$M28/12)*('Pregnant Outcomes'!$E28))+(('Failure Rates'!K34)*((12-PersonMonthsPregnant!$M28)/12)*('NonPregnant Outcomes'!V28))</f>
        <v>48.757589215242</v>
      </c>
      <c r="W28" s="46">
        <f>((1-'Failure Rates'!L34)*('NonPregnant Outcomes'!W28))+(('Failure Rates'!L34)*(PersonMonthsPregnant!$M28/12)*('Pregnant Outcomes'!$E28))+(('Failure Rates'!L34)*((12-PersonMonthsPregnant!$M28)/12)*('NonPregnant Outcomes'!W28))</f>
        <v>67.220941994100016</v>
      </c>
      <c r="X28" s="54">
        <f>((1-'Failure Rates'!C34)*('NonPregnant Outcomes'!X28))+(('Failure Rates'!C34)*(VTEPersonMonthsPregnant!$M28/12)*('Pregnant Outcomes'!$F28))+(('Failure Rates'!C34)*((12-VTEPersonMonthsPregnant!$M28)/12)*('NonPregnant Outcomes'!X28))</f>
        <v>74.688112444999987</v>
      </c>
      <c r="Y28" s="54">
        <f>((1-'Failure Rates'!D34)*('NonPregnant Outcomes'!Y28))+(('Failure Rates'!D34)*(VTEPersonMonthsPregnant!$M28/12)*('Pregnant Outcomes'!$F28))+(('Failure Rates'!D34)*((12-VTEPersonMonthsPregnant!$M28)/12)*('NonPregnant Outcomes'!Y28))</f>
        <v>565.7321352670001</v>
      </c>
      <c r="Z28" s="54">
        <f>((1-'Failure Rates'!E34)*('NonPregnant Outcomes'!Z28))+(('Failure Rates'!E34)*(VTEPersonMonthsPregnant!$M28/12)*('Pregnant Outcomes'!$F28))+(('Failure Rates'!E34)*((12-VTEPersonMonthsPregnant!$M28)/12)*('NonPregnant Outcomes'!Z28))</f>
        <v>79.642522048999993</v>
      </c>
      <c r="AA28" s="54">
        <f>((1-'Failure Rates'!F34)*('NonPregnant Outcomes'!AA28))+(('Failure Rates'!F34)*(VTEPersonMonthsPregnant!$M56/12)*('Pregnant Outcomes'!$F28))+(('Failure Rates'!F34)*((12-VTEPersonMonthsPregnant!$M56)/12)*('NonPregnant Outcomes'!AA28))</f>
        <v>74.212079594627994</v>
      </c>
      <c r="AB28" s="54">
        <f>((1-'Failure Rates'!G34)*('NonPregnant Outcomes'!AB28))+(('Failure Rates'!G34)*(VTEPersonMonthsPregnant!$M56/12)*('Pregnant Outcomes'!$F28))+(('Failure Rates'!G34)*((12-VTEPersonMonthsPregnant!$M56)/12)*('NonPregnant Outcomes'!AB28))</f>
        <v>74.848318378512005</v>
      </c>
      <c r="AC28" s="54">
        <f>((1-'Failure Rates'!H34)*('NonPregnant Outcomes'!AC28))+(('Failure Rates'!H34)*(VTEPersonMonthsPregnant!$M28/12)*('Pregnant Outcomes'!$F28))+(('Failure Rates'!H34)*((12-VTEPersonMonthsPregnant!$M28)/12)*('NonPregnant Outcomes'!AC28))</f>
        <v>200.72358235199999</v>
      </c>
      <c r="AD28" s="54">
        <f>((1-'Failure Rates'!I34)*('NonPregnant Outcomes'!AD28))+(('Failure Rates'!I34)*(VTEPersonMonthsPregnant!$M28/12)*('Pregnant Outcomes'!$F28))+(('Failure Rates'!I34)*((12-VTEPersonMonthsPregnant!$M28)/12)*('NonPregnant Outcomes'!AD28))</f>
        <v>74.068811244500012</v>
      </c>
      <c r="AE28" s="54">
        <f>((1-'Failure Rates'!J34)*('NonPregnant Outcomes'!AE28))+(('Failure Rates'!J34)*(VTEPersonMonthsPregnant!$M28/12)*('Pregnant Outcomes'!$F28))+(('Failure Rates'!J34)*((12-VTEPersonMonthsPregnant!$M28)/12)*('NonPregnant Outcomes'!AE28))</f>
        <v>85.560289076000004</v>
      </c>
      <c r="AF28" s="54">
        <f>((1-'Failure Rates'!K34)*('NonPregnant Outcomes'!AF28))+(('Failure Rates'!K34)*(VTEPersonMonthsPregnant!$M28/12)*('Pregnant Outcomes'!$F28))+(('Failure Rates'!K34)*((12-VTEPersonMonthsPregnant!$M28)/12)*('NonPregnant Outcomes'!AF28))</f>
        <v>98.359180552999987</v>
      </c>
      <c r="AG28" s="54">
        <f>((1-'Failure Rates'!L34)*('NonPregnant Outcomes'!AG28))+(('Failure Rates'!L34)*(VTEPersonMonthsPregnant!$M28/12)*('Pregnant Outcomes'!$F28))+(('Failure Rates'!L34)*((12-VTEPersonMonthsPregnant!$M28)/12)*('NonPregnant Outcomes'!AG28))</f>
        <v>190.97911565000001</v>
      </c>
      <c r="AH28" s="46">
        <f>((1-'Failure Rates'!C34)*('NonPregnant Outcomes'!AH28))+(('Failure Rates'!C34)*(PersonMonthsPregnant!$M28/12)*('Pregnant Outcomes'!$G28))+(('Failure Rates'!C34)*((12-PersonMonthsPregnant!$M28)/12)*('NonPregnant Outcomes'!AH28))</f>
        <v>440.00000000000006</v>
      </c>
      <c r="AI28" s="46">
        <f>((1-'Failure Rates'!D34)*('NonPregnant Outcomes'!AI28))+(('Failure Rates'!D34)*(PersonMonthsPregnant!$M28/12)*('Pregnant Outcomes'!$G28))+(('Failure Rates'!D34)*((12-PersonMonthsPregnant!$M28)/12)*('NonPregnant Outcomes'!AI28))</f>
        <v>440.00000000000006</v>
      </c>
      <c r="AJ28" s="46">
        <f>((1-'Failure Rates'!E34)*('NonPregnant Outcomes'!AJ28))+(('Failure Rates'!E34)*(PersonMonthsPregnant!$M28/12)*('Pregnant Outcomes'!$G28))+(('Failure Rates'!E34)*((12-PersonMonthsPregnant!$M28)/12)*('NonPregnant Outcomes'!AJ28))</f>
        <v>440.00000000000006</v>
      </c>
      <c r="AK28" s="46">
        <f>((1-'Failure Rates'!F34)*('NonPregnant Outcomes'!AK28))+(('Failure Rates'!F34)*(PersonMonthsPregnant!$M56/12)*('Pregnant Outcomes'!$G28))+(('Failure Rates'!F34)*((12-PersonMonthsPregnant!$M56)/12)*('NonPregnant Outcomes'!AK28))</f>
        <v>440.00000000000006</v>
      </c>
      <c r="AL28" s="46">
        <f>((1-'Failure Rates'!G34)*('NonPregnant Outcomes'!AL28))+(('Failure Rates'!G34)*(PersonMonthsPregnant!$M56/12)*('Pregnant Outcomes'!$G28))+(('Failure Rates'!G34)*((12-PersonMonthsPregnant!$M56)/12)*('NonPregnant Outcomes'!AL28))</f>
        <v>440.00000000000011</v>
      </c>
      <c r="AM28" s="46">
        <f>((1-'Failure Rates'!H34)*('NonPregnant Outcomes'!AM28))+(('Failure Rates'!H34)*(PersonMonthsPregnant!$M28/12)*('Pregnant Outcomes'!$G28))+(('Failure Rates'!H34)*((12-PersonMonthsPregnant!$M28)/12)*('NonPregnant Outcomes'!AM28))</f>
        <v>440.00000000000006</v>
      </c>
      <c r="AN28" s="46">
        <f>((1-'Failure Rates'!I34)*('NonPregnant Outcomes'!AN28))+(('Failure Rates'!I34)*(PersonMonthsPregnant!$M28/12)*('Pregnant Outcomes'!$G28))+(('Failure Rates'!I34)*((12-PersonMonthsPregnant!$M28)/12)*('NonPregnant Outcomes'!AN28))</f>
        <v>440.00000000000006</v>
      </c>
      <c r="AO28" s="46">
        <f>((1-'Failure Rates'!J34)*('NonPregnant Outcomes'!AO28))+(('Failure Rates'!J34)*(PersonMonthsPregnant!$M28/12)*('Pregnant Outcomes'!$G28))+(('Failure Rates'!J34)*((12-PersonMonthsPregnant!$M28)/12)*('NonPregnant Outcomes'!AO28))</f>
        <v>440.00000000000011</v>
      </c>
      <c r="AP28" s="46">
        <f>((1-'Failure Rates'!K34)*('NonPregnant Outcomes'!AP28))+(('Failure Rates'!K34)*(PersonMonthsPregnant!$M28/12)*('Pregnant Outcomes'!$G28))+(('Failure Rates'!K34)*((12-PersonMonthsPregnant!$M28)/12)*('NonPregnant Outcomes'!AP28))</f>
        <v>440</v>
      </c>
      <c r="AQ28" s="46">
        <f>((1-'Failure Rates'!L34)*('NonPregnant Outcomes'!AQ28))+(('Failure Rates'!L34)*(PersonMonthsPregnant!$M28/12)*('Pregnant Outcomes'!$G28))+(('Failure Rates'!L34)*((12-PersonMonthsPregnant!$M28)/12)*('NonPregnant Outcomes'!AQ28))</f>
        <v>440.00000000000006</v>
      </c>
      <c r="AR28" s="54">
        <f>'Pregnant Outcomes'!$I28</f>
        <v>187.2</v>
      </c>
      <c r="AS28" s="54">
        <f>(('Failure Rates'!$D34)*('Pregnant Outcomes'!$H28))</f>
        <v>158.30100000000002</v>
      </c>
      <c r="AT28" s="54">
        <f>(('Failure Rates'!$E34)*('Pregnant Outcomes'!$H28))</f>
        <v>158.30100000000002</v>
      </c>
      <c r="AU28" s="54">
        <f>(('Failure Rates'!$F34)*('Pregnant Outcomes'!$J28))</f>
        <v>14.440140000000001</v>
      </c>
      <c r="AV28" s="54">
        <f>(('Failure Rates'!$G34)*('Pregnant Outcomes'!$K28))</f>
        <v>57.760560000000005</v>
      </c>
      <c r="AW28" s="54">
        <f>(('Failure Rates'!$H34)*('Pregnant Outcomes'!$H28))</f>
        <v>154.44</v>
      </c>
      <c r="AX28" s="54">
        <f>(('Failure Rates'!$I34)*('Pregnant Outcomes'!$H28))</f>
        <v>1.9305000000000001</v>
      </c>
      <c r="AY28" s="54">
        <f>(('Failure Rates'!$J34)*('Pregnant Outcomes'!$H28))</f>
        <v>324.32400000000001</v>
      </c>
      <c r="AZ28" s="54">
        <f>(('Failure Rates'!$K34)*('Pregnant Outcomes'!$H28))</f>
        <v>683.39699999999993</v>
      </c>
      <c r="BA28" s="54">
        <f>('Failure Rates'!$L34)*('Pregnant Outcomes'!$H28)</f>
        <v>3281.85</v>
      </c>
    </row>
    <row r="29" spans="1:53" x14ac:dyDescent="0.2">
      <c r="A29" t="s">
        <v>70</v>
      </c>
      <c r="B29" t="s">
        <v>7</v>
      </c>
      <c r="C29" t="str">
        <f t="shared" si="0"/>
        <v>A40_44_Smoker</v>
      </c>
      <c r="D29" s="45">
        <f>((1-'Failure Rates'!C35)*('NonPregnant Outcomes'!D29))+(('Failure Rates'!C35)*(PersonMonthsPregnant!$M29/12)*('Pregnant Outcomes'!$D29))+(('Failure Rates'!C35)*((12-PersonMonthsPregnant!$M29)/12)*('NonPregnant Outcomes'!D29))</f>
        <v>221.94768990884003</v>
      </c>
      <c r="E29" s="45">
        <f>((1-'Failure Rates'!D35)*('NonPregnant Outcomes'!E29))+(('Failure Rates'!D35)*(PersonMonthsPregnant!$M29/12)*('Pregnant Outcomes'!$D29))+(('Failure Rates'!D35)*((12-PersonMonthsPregnant!$M29)/12)*('NonPregnant Outcomes'!E29))</f>
        <v>235.97105725248801</v>
      </c>
      <c r="F29" s="45">
        <f>((1-'Failure Rates'!E35)*('NonPregnant Outcomes'!F29))+(('Failure Rates'!E35)*(PersonMonthsPregnant!$M29/12)*('Pregnant Outcomes'!$D29))+(('Failure Rates'!E35)*((12-PersonMonthsPregnant!$M29)/12)*('NonPregnant Outcomes'!F29))</f>
        <v>235.97105725248801</v>
      </c>
      <c r="G29" s="45">
        <f>((1-'Failure Rates'!F35)*('NonPregnant Outcomes'!G29))+(('Failure Rates'!F35)*(PersonMonthsPregnant!$M57/12)*('Pregnant Outcomes'!$D29))+(('Failure Rates'!F35)*((12-PersonMonthsPregnant!$M57)/12)*('NonPregnant Outcomes'!G29))</f>
        <v>220.63082576062504</v>
      </c>
      <c r="H29" s="45">
        <f>((1-'Failure Rates'!G35)*('NonPregnant Outcomes'!H29))+(('Failure Rates'!G35)*(PersonMonthsPregnant!$M57/12)*('Pregnant Outcomes'!$D29))+(('Failure Rates'!G35)*((12-PersonMonthsPregnant!$M57)/12)*('NonPregnant Outcomes'!H29))</f>
        <v>222.52330304250006</v>
      </c>
      <c r="I29" s="45">
        <f>((1-'Failure Rates'!H35)*('NonPregnant Outcomes'!I29))+(('Failure Rates'!H35)*(PersonMonthsPregnant!$M29/12)*('Pregnant Outcomes'!$D29))+(('Failure Rates'!H35)*((12-PersonMonthsPregnant!$M29)/12)*('NonPregnant Outcomes'!I29))</f>
        <v>235.58151927072004</v>
      </c>
      <c r="J29" s="45">
        <f>((1-'Failure Rates'!I35)*('NonPregnant Outcomes'!J29))+(('Failure Rates'!I35)*(PersonMonthsPregnant!$M29/12)*('Pregnant Outcomes'!$D29))+(('Failure Rates'!I35)*((12-PersonMonthsPregnant!$M29)/12)*('NonPregnant Outcomes'!J29))</f>
        <v>220.19476899088406</v>
      </c>
      <c r="K29" s="45">
        <f>((1-'Failure Rates'!J35)*('NonPregnant Outcomes'!K29))+(('Failure Rates'!J35)*(PersonMonthsPregnant!$M29/12)*('Pregnant Outcomes'!$D29))+(('Failure Rates'!J35)*((12-PersonMonthsPregnant!$M29)/12)*('NonPregnant Outcomes'!K29))</f>
        <v>252.72119046851202</v>
      </c>
      <c r="L29" s="45">
        <f>((1-'Failure Rates'!K35)*('NonPregnant Outcomes'!L29))+(('Failure Rates'!K35)*(PersonMonthsPregnant!$M29/12)*('Pregnant Outcomes'!$D29))+(('Failure Rates'!K35)*((12-PersonMonthsPregnant!$M29)/12)*('NonPregnant Outcomes'!L29))</f>
        <v>288.94822277293599</v>
      </c>
      <c r="M29" s="45">
        <f>((1-'Failure Rates'!L35)*('NonPregnant Outcomes'!M29))+(('Failure Rates'!L35)*(PersonMonthsPregnant!$M29/12)*('Pregnant Outcomes'!$D29))+(('Failure Rates'!L35)*((12-PersonMonthsPregnant!$M29)/12)*('NonPregnant Outcomes'!M29))</f>
        <v>551.10728450279998</v>
      </c>
      <c r="N29" s="46">
        <f>((1-'Failure Rates'!C35)*('NonPregnant Outcomes'!N29))+(('Failure Rates'!C35)*(PersonMonthsPregnant!$M29/12)*('Pregnant Outcomes'!$E29))+(('Failure Rates'!C35)*((12-PersonMonthsPregnant!$M29)/12)*('NonPregnant Outcomes'!N29))</f>
        <v>44.166767023656497</v>
      </c>
      <c r="O29" s="46">
        <f>((1-'Failure Rates'!D35)*('NonPregnant Outcomes'!O29))+(('Failure Rates'!D35)*(PersonMonthsPregnant!$M29/12)*('Pregnant Outcomes'!$E29))+(('Failure Rates'!D35)*((12-PersonMonthsPregnant!$M29)/12)*('NonPregnant Outcomes'!O29))</f>
        <v>46.075249593983301</v>
      </c>
      <c r="P29" s="46">
        <f>((1-'Failure Rates'!E35)*('NonPregnant Outcomes'!P29))+(('Failure Rates'!E35)*(PersonMonthsPregnant!$M29/12)*('Pregnant Outcomes'!$E29))+(('Failure Rates'!E35)*((12-PersonMonthsPregnant!$M29)/12)*('NonPregnant Outcomes'!P29))</f>
        <v>46.075249593983301</v>
      </c>
      <c r="Q29" s="46">
        <f>((1-'Failure Rates'!F35)*('NonPregnant Outcomes'!Q29))+(('Failure Rates'!F35)*(PersonMonthsPregnant!$M57/12)*('Pregnant Outcomes'!$E29))+(('Failure Rates'!F35)*((12-PersonMonthsPregnant!$M57)/12)*('NonPregnant Outcomes'!Q29))</f>
        <v>43.987550989962934</v>
      </c>
      <c r="R29" s="46">
        <f>((1-'Failure Rates'!G35)*('NonPregnant Outcomes'!R29))+(('Failure Rates'!G35)*(PersonMonthsPregnant!$M57/12)*('Pregnant Outcomes'!$E29))+(('Failure Rates'!G35)*((12-PersonMonthsPregnant!$M57)/12)*('NonPregnant Outcomes'!R29))</f>
        <v>31.109915047966641</v>
      </c>
      <c r="S29" s="46">
        <f>((1-'Failure Rates'!H35)*('NonPregnant Outcomes'!S29))+(('Failure Rates'!H35)*(PersonMonthsPregnant!$M29/12)*('Pregnant Outcomes'!$E29))+(('Failure Rates'!H35)*((12-PersonMonthsPregnant!$M29)/12)*('NonPregnant Outcomes'!S29))</f>
        <v>46.022236189251998</v>
      </c>
      <c r="T29" s="46">
        <f>((1-'Failure Rates'!I35)*('NonPregnant Outcomes'!T29))+(('Failure Rates'!I35)*(PersonMonthsPregnant!$M29/12)*('Pregnant Outcomes'!$E29))+(('Failure Rates'!I35)*((12-PersonMonthsPregnant!$M29)/12)*('NonPregnant Outcomes'!T29))</f>
        <v>43.928206702365657</v>
      </c>
      <c r="U29" s="46">
        <f>((1-'Failure Rates'!J35)*('NonPregnant Outcomes'!U29))+(('Failure Rates'!J35)*(PersonMonthsPregnant!$M29/12)*('Pregnant Outcomes'!$E29))+(('Failure Rates'!J35)*((12-PersonMonthsPregnant!$M29)/12)*('NonPregnant Outcomes'!U29))</f>
        <v>48.354825997429202</v>
      </c>
      <c r="V29" s="46">
        <f>((1-'Failure Rates'!K35)*('NonPregnant Outcomes'!V29))+(('Failure Rates'!K35)*(PersonMonthsPregnant!$M29/12)*('Pregnant Outcomes'!$E29))+(('Failure Rates'!K35)*((12-PersonMonthsPregnant!$M29)/12)*('NonPregnant Outcomes'!V29))</f>
        <v>53.285072637440088</v>
      </c>
      <c r="W29" s="46">
        <f>((1-'Failure Rates'!L35)*('NonPregnant Outcomes'!W29))+(('Failure Rates'!L35)*(PersonMonthsPregnant!$M29/12)*('Pregnant Outcomes'!$E29))+(('Failure Rates'!L35)*((12-PersonMonthsPregnant!$M29)/12)*('NonPregnant Outcomes'!W29))</f>
        <v>88.963094021604988</v>
      </c>
      <c r="X29" s="54">
        <f>((1-'Failure Rates'!C35)*('NonPregnant Outcomes'!X29))+(('Failure Rates'!C35)*(VTEPersonMonthsPregnant!$M29/12)*('Pregnant Outcomes'!$F29))+(('Failure Rates'!C35)*((12-VTEPersonMonthsPregnant!$M29)/12)*('NonPregnant Outcomes'!X29))</f>
        <v>84.915970575000003</v>
      </c>
      <c r="Y29" s="54">
        <f>((1-'Failure Rates'!D35)*('NonPregnant Outcomes'!Y29))+(('Failure Rates'!D35)*(VTEPersonMonthsPregnant!$M29/12)*('Pregnant Outcomes'!$F29))+(('Failure Rates'!D35)*((12-VTEPersonMonthsPregnant!$M29)/12)*('NonPregnant Outcomes'!Y29))</f>
        <v>643.28835750300004</v>
      </c>
      <c r="Z29" s="54">
        <f>((1-'Failure Rates'!E35)*('NonPregnant Outcomes'!Z29))+(('Failure Rates'!E35)*(VTEPersonMonthsPregnant!$M29/12)*('Pregnant Outcomes'!$F29))+(('Failure Rates'!E35)*((12-VTEPersonMonthsPregnant!$M29)/12)*('NonPregnant Outcomes'!Z29))</f>
        <v>91.510958714999987</v>
      </c>
      <c r="AA29" s="54">
        <f>((1-'Failure Rates'!F35)*('NonPregnant Outcomes'!AA29))+(('Failure Rates'!F35)*(VTEPersonMonthsPregnant!$M57/12)*('Pregnant Outcomes'!$F29))+(('Failure Rates'!F35)*((12-VTEPersonMonthsPregnant!$M57)/12)*('NonPregnant Outcomes'!AA29))</f>
        <v>84.282306575979987</v>
      </c>
      <c r="AB29" s="54">
        <f>((1-'Failure Rates'!G35)*('NonPregnant Outcomes'!AB29))+(('Failure Rates'!G35)*(VTEPersonMonthsPregnant!$M57/12)*('Pregnant Outcomes'!$F29))+(('Failure Rates'!G35)*((12-VTEPersonMonthsPregnant!$M57)/12)*('NonPregnant Outcomes'!AB29))</f>
        <v>85.129226303920007</v>
      </c>
      <c r="AC29" s="54">
        <f>((1-'Failure Rates'!H35)*('NonPregnant Outcomes'!AC29))+(('Failure Rates'!H35)*(VTEPersonMonthsPregnant!$M29/12)*('Pregnant Outcomes'!$F29))+(('Failure Rates'!H35)*((12-VTEPersonMonthsPregnant!$M29)/12)*('NonPregnant Outcomes'!AC29))</f>
        <v>228.927350472</v>
      </c>
      <c r="AD29" s="54">
        <f>((1-'Failure Rates'!I35)*('NonPregnant Outcomes'!AD29))+(('Failure Rates'!I35)*(VTEPersonMonthsPregnant!$M29/12)*('Pregnant Outcomes'!$F29))+(('Failure Rates'!I35)*((12-VTEPersonMonthsPregnant!$M29)/12)*('NonPregnant Outcomes'!AD29))</f>
        <v>84.091597057499996</v>
      </c>
      <c r="AE29" s="54">
        <f>((1-'Failure Rates'!J35)*('NonPregnant Outcomes'!AE29))+(('Failure Rates'!J35)*(VTEPersonMonthsPregnant!$M29/12)*('Pregnant Outcomes'!$F29))+(('Failure Rates'!J35)*((12-VTEPersonMonthsPregnant!$M29)/12)*('NonPregnant Outcomes'!AE29))</f>
        <v>99.38830566</v>
      </c>
      <c r="AF29" s="54">
        <f>((1-'Failure Rates'!K35)*('NonPregnant Outcomes'!AF29))+(('Failure Rates'!K35)*(VTEPersonMonthsPregnant!$M29/12)*('Pregnant Outcomes'!$F29))+(('Failure Rates'!K35)*((12-VTEPersonMonthsPregnant!$M29)/12)*('NonPregnant Outcomes'!AF29))</f>
        <v>116.425358355</v>
      </c>
      <c r="AG29" s="54">
        <f>((1-'Failure Rates'!L35)*('NonPregnant Outcomes'!AG29))+(('Failure Rates'!L35)*(VTEPersonMonthsPregnant!$M29/12)*('Pregnant Outcomes'!$F29))+(('Failure Rates'!L35)*((12-VTEPersonMonthsPregnant!$M29)/12)*('NonPregnant Outcomes'!AG29))</f>
        <v>239.71499775000004</v>
      </c>
      <c r="AH29" s="46">
        <f>((1-'Failure Rates'!C35)*('NonPregnant Outcomes'!AH29))+(('Failure Rates'!C35)*(PersonMonthsPregnant!$M29/12)*('Pregnant Outcomes'!$G29))+(('Failure Rates'!C35)*((12-PersonMonthsPregnant!$M29)/12)*('NonPregnant Outcomes'!AH29))</f>
        <v>280.00000000000006</v>
      </c>
      <c r="AI29" s="46">
        <f>((1-'Failure Rates'!D35)*('NonPregnant Outcomes'!AI29))+(('Failure Rates'!D35)*(PersonMonthsPregnant!$M29/12)*('Pregnant Outcomes'!$G29))+(('Failure Rates'!D35)*((12-PersonMonthsPregnant!$M29)/12)*('NonPregnant Outcomes'!AI29))</f>
        <v>279.99999999999994</v>
      </c>
      <c r="AJ29" s="46">
        <f>((1-'Failure Rates'!E35)*('NonPregnant Outcomes'!AJ29))+(('Failure Rates'!E35)*(PersonMonthsPregnant!$M29/12)*('Pregnant Outcomes'!$G29))+(('Failure Rates'!E35)*((12-PersonMonthsPregnant!$M29)/12)*('NonPregnant Outcomes'!AJ29))</f>
        <v>279.99999999999994</v>
      </c>
      <c r="AK29" s="46">
        <f>((1-'Failure Rates'!F35)*('NonPregnant Outcomes'!AK29))+(('Failure Rates'!F35)*(PersonMonthsPregnant!$M57/12)*('Pregnant Outcomes'!$G29))+(('Failure Rates'!F35)*((12-PersonMonthsPregnant!$M57)/12)*('NonPregnant Outcomes'!AK29))</f>
        <v>280</v>
      </c>
      <c r="AL29" s="46">
        <f>((1-'Failure Rates'!G35)*('NonPregnant Outcomes'!AL29))+(('Failure Rates'!G35)*(PersonMonthsPregnant!$M57/12)*('Pregnant Outcomes'!$G29))+(('Failure Rates'!G35)*((12-PersonMonthsPregnant!$M57)/12)*('NonPregnant Outcomes'!AL29))</f>
        <v>280</v>
      </c>
      <c r="AM29" s="46">
        <f>((1-'Failure Rates'!H35)*('NonPregnant Outcomes'!AM29))+(('Failure Rates'!H35)*(PersonMonthsPregnant!$M29/12)*('Pregnant Outcomes'!$G29))+(('Failure Rates'!H35)*((12-PersonMonthsPregnant!$M29)/12)*('NonPregnant Outcomes'!AM29))</f>
        <v>280</v>
      </c>
      <c r="AN29" s="46">
        <f>((1-'Failure Rates'!I35)*('NonPregnant Outcomes'!AN29))+(('Failure Rates'!I35)*(PersonMonthsPregnant!$M29/12)*('Pregnant Outcomes'!$G29))+(('Failure Rates'!I35)*((12-PersonMonthsPregnant!$M29)/12)*('NonPregnant Outcomes'!AN29))</f>
        <v>280</v>
      </c>
      <c r="AO29" s="46">
        <f>((1-'Failure Rates'!J35)*('NonPregnant Outcomes'!AO29))+(('Failure Rates'!J35)*(PersonMonthsPregnant!$M29/12)*('Pregnant Outcomes'!$G29))+(('Failure Rates'!J35)*((12-PersonMonthsPregnant!$M29)/12)*('NonPregnant Outcomes'!AO29))</f>
        <v>280</v>
      </c>
      <c r="AP29" s="46">
        <f>((1-'Failure Rates'!K35)*('NonPregnant Outcomes'!AP29))+(('Failure Rates'!K35)*(PersonMonthsPregnant!$M29/12)*('Pregnant Outcomes'!$G29))+(('Failure Rates'!K35)*((12-PersonMonthsPregnant!$M29)/12)*('NonPregnant Outcomes'!AP29))</f>
        <v>280</v>
      </c>
      <c r="AQ29" s="46">
        <f>((1-'Failure Rates'!L35)*('NonPregnant Outcomes'!AQ29))+(('Failure Rates'!L35)*(PersonMonthsPregnant!$M29/12)*('Pregnant Outcomes'!$G29))+(('Failure Rates'!L35)*((12-PersonMonthsPregnant!$M29)/12)*('NonPregnant Outcomes'!AQ29))</f>
        <v>280</v>
      </c>
      <c r="AR29" s="54">
        <f>'Pregnant Outcomes'!$I29</f>
        <v>187.2</v>
      </c>
      <c r="AS29" s="54">
        <f>(('Failure Rates'!$D35)*('Pregnant Outcomes'!$H29))</f>
        <v>156.702</v>
      </c>
      <c r="AT29" s="54">
        <f>(('Failure Rates'!$E35)*('Pregnant Outcomes'!$H29))</f>
        <v>156.702</v>
      </c>
      <c r="AU29" s="54">
        <f>(('Failure Rates'!$F35)*('Pregnant Outcomes'!$J29))</f>
        <v>14.294280000000001</v>
      </c>
      <c r="AV29" s="54">
        <f>(('Failure Rates'!$G35)*('Pregnant Outcomes'!$K29))</f>
        <v>57.177120000000002</v>
      </c>
      <c r="AW29" s="54">
        <f>(('Failure Rates'!$H35)*('Pregnant Outcomes'!$H29))</f>
        <v>152.88</v>
      </c>
      <c r="AX29" s="54">
        <f>(('Failure Rates'!$I35)*('Pregnant Outcomes'!$H29))</f>
        <v>1.911</v>
      </c>
      <c r="AY29" s="54">
        <f>(('Failure Rates'!$J35)*('Pregnant Outcomes'!$H29))</f>
        <v>321.048</v>
      </c>
      <c r="AZ29" s="54">
        <f>(('Failure Rates'!$K35)*('Pregnant Outcomes'!$H29))</f>
        <v>676.49399999999991</v>
      </c>
      <c r="BA29" s="54">
        <f>('Failure Rates'!$L35)*('Pregnant Outcomes'!$H29)</f>
        <v>3248.7</v>
      </c>
    </row>
    <row r="30" spans="1:53" x14ac:dyDescent="0.2">
      <c r="A30" t="s">
        <v>71</v>
      </c>
      <c r="B30" t="s">
        <v>7</v>
      </c>
      <c r="C30" t="str">
        <f t="shared" si="0"/>
        <v>A45_49_Smoker</v>
      </c>
      <c r="D30" s="45">
        <f>((1-'Failure Rates'!C36)*('NonPregnant Outcomes'!D30))+(('Failure Rates'!C36)*(PersonMonthsPregnant!$M30/12)*('Pregnant Outcomes'!$D30))+(('Failure Rates'!C36)*((12-PersonMonthsPregnant!$M30)/12)*('NonPregnant Outcomes'!D30))</f>
        <v>388.80157671284007</v>
      </c>
      <c r="E30" s="45">
        <f>((1-'Failure Rates'!D36)*('NonPregnant Outcomes'!E30))+(('Failure Rates'!D36)*(PersonMonthsPregnant!$M30/12)*('Pregnant Outcomes'!$D30))+(('Failure Rates'!D36)*((12-PersonMonthsPregnant!$M30)/12)*('NonPregnant Outcomes'!E30))</f>
        <v>400.33292904528804</v>
      </c>
      <c r="F30" s="45">
        <f>((1-'Failure Rates'!E36)*('NonPregnant Outcomes'!F30))+(('Failure Rates'!E36)*(PersonMonthsPregnant!$M30/12)*('Pregnant Outcomes'!$D30))+(('Failure Rates'!E36)*((12-PersonMonthsPregnant!$M30)/12)*('NonPregnant Outcomes'!F30))</f>
        <v>400.33292904528804</v>
      </c>
      <c r="G30" s="45">
        <f>((1-'Failure Rates'!F36)*('NonPregnant Outcomes'!G30))+(('Failure Rates'!F36)*(PersonMonthsPregnant!$M58/12)*('Pregnant Outcomes'!$D30))+(('Failure Rates'!F36)*((12-PersonMonthsPregnant!$M58)/12)*('NonPregnant Outcomes'!G30))</f>
        <v>387.71872520542979</v>
      </c>
      <c r="H30" s="45">
        <f>((1-'Failure Rates'!G36)*('NonPregnant Outcomes'!H30))+(('Failure Rates'!G36)*(PersonMonthsPregnant!$M58/12)*('Pregnant Outcomes'!$D30))+(('Failure Rates'!G36)*((12-PersonMonthsPregnant!$M58)/12)*('NonPregnant Outcomes'!H30))</f>
        <v>389.27490082171926</v>
      </c>
      <c r="I30" s="45">
        <f>((1-'Failure Rates'!H36)*('NonPregnant Outcomes'!I30))+(('Failure Rates'!H36)*(PersonMonthsPregnant!$M30/12)*('Pregnant Outcomes'!$D30))+(('Failure Rates'!H36)*((12-PersonMonthsPregnant!$M30)/12)*('NonPregnant Outcomes'!I30))</f>
        <v>400.01261370272005</v>
      </c>
      <c r="J30" s="45">
        <f>((1-'Failure Rates'!I36)*('NonPregnant Outcomes'!J30))+(('Failure Rates'!I36)*(PersonMonthsPregnant!$M30/12)*('Pregnant Outcomes'!$D30))+(('Failure Rates'!I36)*((12-PersonMonthsPregnant!$M30)/12)*('NonPregnant Outcomes'!J30))</f>
        <v>387.36015767128401</v>
      </c>
      <c r="K30" s="45">
        <f>((1-'Failure Rates'!J36)*('NonPregnant Outcomes'!K30))+(('Failure Rates'!J36)*(PersonMonthsPregnant!$M30/12)*('Pregnant Outcomes'!$D30))+(('Failure Rates'!J36)*((12-PersonMonthsPregnant!$M30)/12)*('NonPregnant Outcomes'!K30))</f>
        <v>414.10648877571208</v>
      </c>
      <c r="L30" s="45">
        <f>((1-'Failure Rates'!K36)*('NonPregnant Outcomes'!L30))+(('Failure Rates'!K36)*(PersonMonthsPregnant!$M30/12)*('Pregnant Outcomes'!$D30))+(('Failure Rates'!K36)*((12-PersonMonthsPregnant!$M30)/12)*('NonPregnant Outcomes'!L30))</f>
        <v>443.89581563453606</v>
      </c>
      <c r="M30" s="45">
        <f>((1-'Failure Rates'!L36)*('NonPregnant Outcomes'!M30))+(('Failure Rates'!L36)*(PersonMonthsPregnant!$M30/12)*('Pregnant Outcomes'!$D30))+(('Failure Rates'!L36)*((12-PersonMonthsPregnant!$M30)/12)*('NonPregnant Outcomes'!M30))</f>
        <v>659.46804118279999</v>
      </c>
      <c r="N30" s="46">
        <f>((1-'Failure Rates'!C36)*('NonPregnant Outcomes'!N30))+(('Failure Rates'!C36)*(PersonMonthsPregnant!$M30/12)*('Pregnant Outcomes'!$E30))+(('Failure Rates'!C36)*((12-PersonMonthsPregnant!$M30)/12)*('NonPregnant Outcomes'!N30))</f>
        <v>44.166767023656497</v>
      </c>
      <c r="O30" s="46">
        <f>((1-'Failure Rates'!D36)*('NonPregnant Outcomes'!O30))+(('Failure Rates'!D36)*(PersonMonthsPregnant!$M30/12)*('Pregnant Outcomes'!$E30))+(('Failure Rates'!D36)*((12-PersonMonthsPregnant!$M30)/12)*('NonPregnant Outcomes'!O30))</f>
        <v>46.075249593983301</v>
      </c>
      <c r="P30" s="46">
        <f>((1-'Failure Rates'!E36)*('NonPregnant Outcomes'!P30))+(('Failure Rates'!E36)*(PersonMonthsPregnant!$M30/12)*('Pregnant Outcomes'!$E30))+(('Failure Rates'!E36)*((12-PersonMonthsPregnant!$M30)/12)*('NonPregnant Outcomes'!P30))</f>
        <v>46.075249593983301</v>
      </c>
      <c r="Q30" s="46">
        <f>((1-'Failure Rates'!F36)*('NonPregnant Outcomes'!Q30))+(('Failure Rates'!F36)*(PersonMonthsPregnant!$M58/12)*('Pregnant Outcomes'!$E30))+(('Failure Rates'!F36)*((12-PersonMonthsPregnant!$M58)/12)*('NonPregnant Outcomes'!Q30))</f>
        <v>43.987550989962934</v>
      </c>
      <c r="R30" s="46">
        <f>((1-'Failure Rates'!G36)*('NonPregnant Outcomes'!R30))+(('Failure Rates'!G36)*(PersonMonthsPregnant!$M58/12)*('Pregnant Outcomes'!$E30))+(('Failure Rates'!G36)*((12-PersonMonthsPregnant!$M58)/12)*('NonPregnant Outcomes'!R30))</f>
        <v>31.109915047966641</v>
      </c>
      <c r="S30" s="46">
        <f>((1-'Failure Rates'!H36)*('NonPregnant Outcomes'!S30))+(('Failure Rates'!H36)*(PersonMonthsPregnant!$M30/12)*('Pregnant Outcomes'!$E30))+(('Failure Rates'!H36)*((12-PersonMonthsPregnant!$M30)/12)*('NonPregnant Outcomes'!S30))</f>
        <v>46.022236189251998</v>
      </c>
      <c r="T30" s="46">
        <f>((1-'Failure Rates'!I36)*('NonPregnant Outcomes'!T30))+(('Failure Rates'!I36)*(PersonMonthsPregnant!$M30/12)*('Pregnant Outcomes'!$E30))+(('Failure Rates'!I36)*((12-PersonMonthsPregnant!$M30)/12)*('NonPregnant Outcomes'!T30))</f>
        <v>43.928206702365657</v>
      </c>
      <c r="U30" s="46">
        <f>((1-'Failure Rates'!J36)*('NonPregnant Outcomes'!U30))+(('Failure Rates'!J36)*(PersonMonthsPregnant!$M30/12)*('Pregnant Outcomes'!$E30))+(('Failure Rates'!J36)*((12-PersonMonthsPregnant!$M30)/12)*('NonPregnant Outcomes'!U30))</f>
        <v>48.354825997429202</v>
      </c>
      <c r="V30" s="46">
        <f>((1-'Failure Rates'!K36)*('NonPregnant Outcomes'!V30))+(('Failure Rates'!K36)*(PersonMonthsPregnant!$M30/12)*('Pregnant Outcomes'!$E30))+(('Failure Rates'!K36)*((12-PersonMonthsPregnant!$M30)/12)*('NonPregnant Outcomes'!V30))</f>
        <v>53.285072637440088</v>
      </c>
      <c r="W30" s="46">
        <f>((1-'Failure Rates'!L36)*('NonPregnant Outcomes'!W30))+(('Failure Rates'!L36)*(PersonMonthsPregnant!$M30/12)*('Pregnant Outcomes'!$E30))+(('Failure Rates'!L36)*((12-PersonMonthsPregnant!$M30)/12)*('NonPregnant Outcomes'!W30))</f>
        <v>88.963094021604988</v>
      </c>
      <c r="X30" s="54">
        <f>((1-'Failure Rates'!C36)*('NonPregnant Outcomes'!X30))+(('Failure Rates'!C36)*(VTEPersonMonthsPregnant!$M30/12)*('Pregnant Outcomes'!$F30))+(('Failure Rates'!C36)*((12-VTEPersonMonthsPregnant!$M30)/12)*('NonPregnant Outcomes'!X30))</f>
        <v>96.887309174999999</v>
      </c>
      <c r="Y30" s="54">
        <f>((1-'Failure Rates'!D36)*('NonPregnant Outcomes'!Y30))+(('Failure Rates'!D36)*(VTEPersonMonthsPregnant!$M30/12)*('Pregnant Outcomes'!$F30))+(('Failure Rates'!D36)*((12-VTEPersonMonthsPregnant!$M30)/12)*('NonPregnant Outcomes'!Y30))</f>
        <v>733.87867670699995</v>
      </c>
      <c r="Z30" s="54">
        <f>((1-'Failure Rates'!E36)*('NonPregnant Outcomes'!Z30))+(('Failure Rates'!E36)*(VTEPersonMonthsPregnant!$M30/12)*('Pregnant Outcomes'!$F30))+(('Failure Rates'!E36)*((12-VTEPersonMonthsPregnant!$M30)/12)*('NonPregnant Outcomes'!Z30))</f>
        <v>103.27593523499999</v>
      </c>
      <c r="AA30" s="54">
        <f>((1-'Failure Rates'!F36)*('NonPregnant Outcomes'!AA30))+(('Failure Rates'!F36)*(VTEPersonMonthsPregnant!$M58/12)*('Pregnant Outcomes'!$F30))+(('Failure Rates'!F36)*((12-VTEPersonMonthsPregnant!$M58)/12)*('NonPregnant Outcomes'!AA30))</f>
        <v>96.273472993419986</v>
      </c>
      <c r="AB30" s="54">
        <f>((1-'Failure Rates'!G36)*('NonPregnant Outcomes'!AB30))+(('Failure Rates'!G36)*(VTEPersonMonthsPregnant!$M58/12)*('Pregnant Outcomes'!$F30))+(('Failure Rates'!G36)*((12-VTEPersonMonthsPregnant!$M58)/12)*('NonPregnant Outcomes'!AB30))</f>
        <v>97.093891973680002</v>
      </c>
      <c r="AC30" s="54">
        <f>((1-'Failure Rates'!H36)*('NonPregnant Outcomes'!AC30))+(('Failure Rates'!H36)*(VTEPersonMonthsPregnant!$M30/12)*('Pregnant Outcomes'!$F30))+(('Failure Rates'!H36)*((12-VTEPersonMonthsPregnant!$M30)/12)*('NonPregnant Outcomes'!AC30))</f>
        <v>260.355142968</v>
      </c>
      <c r="AD30" s="54">
        <f>((1-'Failure Rates'!I36)*('NonPregnant Outcomes'!AD30))+(('Failure Rates'!I36)*(VTEPersonMonthsPregnant!$M30/12)*('Pregnant Outcomes'!$F30))+(('Failure Rates'!I36)*((12-VTEPersonMonthsPregnant!$M30)/12)*('NonPregnant Outcomes'!AD30))</f>
        <v>96.088730917500001</v>
      </c>
      <c r="AE30" s="54">
        <f>((1-'Failure Rates'!J36)*('NonPregnant Outcomes'!AE30))+(('Failure Rates'!J36)*(VTEPersonMonthsPregnant!$M30/12)*('Pregnant Outcomes'!$F30))+(('Failure Rates'!J36)*((12-VTEPersonMonthsPregnant!$M30)/12)*('NonPregnant Outcomes'!AE30))</f>
        <v>110.90679414</v>
      </c>
      <c r="AF30" s="54">
        <f>((1-'Failure Rates'!K36)*('NonPregnant Outcomes'!AF30))+(('Failure Rates'!K36)*(VTEPersonMonthsPregnant!$M30/12)*('Pregnant Outcomes'!$F30))+(('Failure Rates'!K36)*((12-VTEPersonMonthsPregnant!$M30)/12)*('NonPregnant Outcomes'!AF30))</f>
        <v>127.410744795</v>
      </c>
      <c r="AG30" s="54">
        <f>((1-'Failure Rates'!L36)*('NonPregnant Outcomes'!AG30))+(('Failure Rates'!L36)*(VTEPersonMonthsPregnant!$M30/12)*('Pregnant Outcomes'!$F30))+(('Failure Rates'!L36)*((12-VTEPersonMonthsPregnant!$M30)/12)*('NonPregnant Outcomes'!AG30))</f>
        <v>246.84255975000005</v>
      </c>
      <c r="AH30" s="46">
        <f>((1-'Failure Rates'!C36)*('NonPregnant Outcomes'!AH30))+(('Failure Rates'!C36)*(PersonMonthsPregnant!$M30/12)*('Pregnant Outcomes'!$G30))+(('Failure Rates'!C36)*((12-PersonMonthsPregnant!$M30)/12)*('NonPregnant Outcomes'!AH30))</f>
        <v>280.00000000000006</v>
      </c>
      <c r="AI30" s="46">
        <f>((1-'Failure Rates'!D36)*('NonPregnant Outcomes'!AI30))+(('Failure Rates'!D36)*(PersonMonthsPregnant!$M30/12)*('Pregnant Outcomes'!$G30))+(('Failure Rates'!D36)*((12-PersonMonthsPregnant!$M30)/12)*('NonPregnant Outcomes'!AI30))</f>
        <v>279.99999999999994</v>
      </c>
      <c r="AJ30" s="46">
        <f>((1-'Failure Rates'!E36)*('NonPregnant Outcomes'!AJ30))+(('Failure Rates'!E36)*(PersonMonthsPregnant!$M30/12)*('Pregnant Outcomes'!$G30))+(('Failure Rates'!E36)*((12-PersonMonthsPregnant!$M30)/12)*('NonPregnant Outcomes'!AJ30))</f>
        <v>279.99999999999994</v>
      </c>
      <c r="AK30" s="46">
        <f>((1-'Failure Rates'!F36)*('NonPregnant Outcomes'!AK30))+(('Failure Rates'!F36)*(PersonMonthsPregnant!$M58/12)*('Pregnant Outcomes'!$G30))+(('Failure Rates'!F36)*((12-PersonMonthsPregnant!$M58)/12)*('NonPregnant Outcomes'!AK30))</f>
        <v>280</v>
      </c>
      <c r="AL30" s="46">
        <f>((1-'Failure Rates'!G36)*('NonPregnant Outcomes'!AL30))+(('Failure Rates'!G36)*(PersonMonthsPregnant!$M58/12)*('Pregnant Outcomes'!$G30))+(('Failure Rates'!G36)*((12-PersonMonthsPregnant!$M58)/12)*('NonPregnant Outcomes'!AL30))</f>
        <v>280</v>
      </c>
      <c r="AM30" s="46">
        <f>((1-'Failure Rates'!H36)*('NonPregnant Outcomes'!AM30))+(('Failure Rates'!H36)*(PersonMonthsPregnant!$M30/12)*('Pregnant Outcomes'!$G30))+(('Failure Rates'!H36)*((12-PersonMonthsPregnant!$M30)/12)*('NonPregnant Outcomes'!AM30))</f>
        <v>280</v>
      </c>
      <c r="AN30" s="46">
        <f>((1-'Failure Rates'!I36)*('NonPregnant Outcomes'!AN30))+(('Failure Rates'!I36)*(PersonMonthsPregnant!$M30/12)*('Pregnant Outcomes'!$G30))+(('Failure Rates'!I36)*((12-PersonMonthsPregnant!$M30)/12)*('NonPregnant Outcomes'!AN30))</f>
        <v>280</v>
      </c>
      <c r="AO30" s="46">
        <f>((1-'Failure Rates'!J36)*('NonPregnant Outcomes'!AO30))+(('Failure Rates'!J36)*(PersonMonthsPregnant!$M30/12)*('Pregnant Outcomes'!$G30))+(('Failure Rates'!J36)*((12-PersonMonthsPregnant!$M30)/12)*('NonPregnant Outcomes'!AO30))</f>
        <v>280</v>
      </c>
      <c r="AP30" s="46">
        <f>((1-'Failure Rates'!K36)*('NonPregnant Outcomes'!AP30))+(('Failure Rates'!K36)*(PersonMonthsPregnant!$M30/12)*('Pregnant Outcomes'!$G30))+(('Failure Rates'!K36)*((12-PersonMonthsPregnant!$M30)/12)*('NonPregnant Outcomes'!AP30))</f>
        <v>280</v>
      </c>
      <c r="AQ30" s="46">
        <f>((1-'Failure Rates'!L36)*('NonPregnant Outcomes'!AQ30))+(('Failure Rates'!L36)*(PersonMonthsPregnant!$M30/12)*('Pregnant Outcomes'!$G30))+(('Failure Rates'!L36)*((12-PersonMonthsPregnant!$M30)/12)*('NonPregnant Outcomes'!AQ30))</f>
        <v>280</v>
      </c>
      <c r="AR30" s="54">
        <f>'Pregnant Outcomes'!$I30</f>
        <v>187.2</v>
      </c>
      <c r="AS30" s="54">
        <f>(('Failure Rates'!$D36)*('Pregnant Outcomes'!$H30))</f>
        <v>156.702</v>
      </c>
      <c r="AT30" s="54">
        <f>(('Failure Rates'!$E36)*('Pregnant Outcomes'!$H30))</f>
        <v>156.702</v>
      </c>
      <c r="AU30" s="54">
        <f>(('Failure Rates'!$F36)*('Pregnant Outcomes'!$J30))</f>
        <v>14.294280000000001</v>
      </c>
      <c r="AV30" s="54">
        <f>(('Failure Rates'!$G36)*('Pregnant Outcomes'!$K30))</f>
        <v>57.177120000000002</v>
      </c>
      <c r="AW30" s="54">
        <f>(('Failure Rates'!$H36)*('Pregnant Outcomes'!$H30))</f>
        <v>152.88</v>
      </c>
      <c r="AX30" s="54">
        <f>(('Failure Rates'!$I36)*('Pregnant Outcomes'!$H30))</f>
        <v>1.911</v>
      </c>
      <c r="AY30" s="54">
        <f>(('Failure Rates'!$J36)*('Pregnant Outcomes'!$H30))</f>
        <v>321.048</v>
      </c>
      <c r="AZ30" s="54">
        <f>(('Failure Rates'!$K36)*('Pregnant Outcomes'!$H30))</f>
        <v>676.49399999999991</v>
      </c>
      <c r="BA30" s="54">
        <f>('Failure Rates'!$L36)*('Pregnant Outcomes'!$H30)</f>
        <v>3248.7</v>
      </c>
    </row>
    <row r="31" spans="1:53" x14ac:dyDescent="0.2">
      <c r="D31" s="3" t="s">
        <v>97</v>
      </c>
      <c r="E31" s="3"/>
      <c r="F31" s="3"/>
      <c r="N31" s="3" t="s">
        <v>97</v>
      </c>
      <c r="O31" s="3"/>
      <c r="P31" s="3"/>
      <c r="X31" s="3" t="s">
        <v>97</v>
      </c>
      <c r="Y31" s="3"/>
      <c r="Z31" s="3"/>
      <c r="AH31" s="3" t="s">
        <v>97</v>
      </c>
      <c r="AI31" s="3"/>
      <c r="AJ31" s="3"/>
      <c r="AR31" s="3" t="s">
        <v>104</v>
      </c>
      <c r="AS31" s="3"/>
      <c r="AT31" s="3"/>
    </row>
    <row r="33" spans="34:43" x14ac:dyDescent="0.2">
      <c r="AH33" s="3" t="s">
        <v>51</v>
      </c>
      <c r="AI33" s="3"/>
      <c r="AJ33" s="3"/>
      <c r="AK33" s="3"/>
      <c r="AL33" s="3"/>
      <c r="AM33" s="3"/>
      <c r="AN33" s="3"/>
      <c r="AO33" s="3"/>
      <c r="AP33" s="3"/>
      <c r="AQ3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NonPregnant Outcomes</vt:lpstr>
      <vt:lpstr>Failure Rates</vt:lpstr>
      <vt:lpstr>Pregnant Outcomes</vt:lpstr>
      <vt:lpstr>PersonMonthsPregnant</vt:lpstr>
      <vt:lpstr>VTEPersonMonthsPregnant</vt:lpstr>
      <vt:lpstr>Final Outcome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dbishai</dc:creator>
  <cp:lastModifiedBy>Suzanne Bell</cp:lastModifiedBy>
  <dcterms:created xsi:type="dcterms:W3CDTF">2016-06-21T17:02:09Z</dcterms:created>
  <dcterms:modified xsi:type="dcterms:W3CDTF">2018-03-21T15:15:59Z</dcterms:modified>
</cp:coreProperties>
</file>