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385" windowHeight="8025"/>
  </bookViews>
  <sheets>
    <sheet name="开销汇总表" sheetId="9" r:id="rId1"/>
    <sheet name="已付款项" sheetId="3" r:id="rId2"/>
    <sheet name="预算报价" sheetId="1" r:id="rId3"/>
    <sheet name="开关插座" sheetId="2" r:id="rId4"/>
    <sheet name="时间表" sheetId="4" r:id="rId5"/>
    <sheet name="施工进度表" sheetId="5" r:id="rId6"/>
    <sheet name="工期时间" sheetId="6" r:id="rId7"/>
    <sheet name="柜子、地板及硅藻泥面积" sheetId="10" r:id="rId8"/>
  </sheets>
  <definedNames>
    <definedName name="_xlnm.Print_Area" localSheetId="0">开销汇总表!$A$1:$D$9</definedName>
    <definedName name="_xlnm.Print_Area" localSheetId="1">已付款项!$A$1:$J$54</definedName>
    <definedName name="_xlnm.Print_Area" localSheetId="2">预算报价!$A$1:$G$100</definedName>
    <definedName name="_xlnm.Print_Titles" localSheetId="1">已付款项!$1:$2</definedName>
    <definedName name="_xlnm.Print_Titles" localSheetId="2">预算报价!$1:$2</definedName>
  </definedNames>
  <calcPr calcId="125725"/>
</workbook>
</file>

<file path=xl/calcChain.xml><?xml version="1.0" encoding="utf-8"?>
<calcChain xmlns="http://schemas.openxmlformats.org/spreadsheetml/2006/main">
  <c r="D94" i="3"/>
  <c r="G94" s="1"/>
  <c r="G93"/>
  <c r="G92"/>
  <c r="G91"/>
  <c r="G90"/>
  <c r="D89"/>
  <c r="G89" s="1"/>
  <c r="D88"/>
  <c r="G88" s="1"/>
  <c r="G87"/>
  <c r="D87"/>
  <c r="G53"/>
  <c r="D85"/>
  <c r="G85" s="1"/>
  <c r="G86"/>
  <c r="D84"/>
  <c r="G84" s="1"/>
  <c r="D83"/>
  <c r="G83" s="1"/>
  <c r="D143"/>
  <c r="D147" s="1"/>
  <c r="C8" i="9" s="1"/>
  <c r="D82" i="3"/>
  <c r="G82" s="1"/>
  <c r="F5"/>
  <c r="G66"/>
  <c r="E57"/>
  <c r="G57" s="1"/>
  <c r="G52"/>
  <c r="G51"/>
  <c r="D50"/>
  <c r="G50" s="1"/>
  <c r="D81"/>
  <c r="G81" s="1"/>
  <c r="D80"/>
  <c r="G80" s="1"/>
  <c r="D74"/>
  <c r="G74" s="1"/>
  <c r="G49"/>
  <c r="D48"/>
  <c r="G48" s="1"/>
  <c r="E56"/>
  <c r="G56" s="1"/>
  <c r="D47"/>
  <c r="G47" s="1"/>
  <c r="D45"/>
  <c r="G45" s="1"/>
  <c r="G46"/>
  <c r="G52" i="1"/>
  <c r="G79" i="3"/>
  <c r="E9"/>
  <c r="G9" s="1"/>
  <c r="D126"/>
  <c r="G44"/>
  <c r="D127"/>
  <c r="E4"/>
  <c r="G78"/>
  <c r="D1" i="9"/>
  <c r="C24" i="10"/>
  <c r="C26"/>
  <c r="C25"/>
  <c r="D46" i="1"/>
  <c r="E24" i="10"/>
  <c r="G51" i="1"/>
  <c r="G50"/>
  <c r="E25" i="10"/>
  <c r="C18"/>
  <c r="C17"/>
  <c r="E17"/>
  <c r="E18"/>
  <c r="E19"/>
  <c r="C16"/>
  <c r="E16"/>
  <c r="E20" s="1"/>
  <c r="E12"/>
  <c r="D12"/>
  <c r="C12"/>
  <c r="E11"/>
  <c r="D11"/>
  <c r="C11"/>
  <c r="E10"/>
  <c r="D10"/>
  <c r="C10"/>
  <c r="E9"/>
  <c r="D9"/>
  <c r="C9"/>
  <c r="C8"/>
  <c r="E7"/>
  <c r="D7"/>
  <c r="C7"/>
  <c r="E6"/>
  <c r="D6"/>
  <c r="C6"/>
  <c r="E5"/>
  <c r="D5"/>
  <c r="C5"/>
  <c r="E4"/>
  <c r="D4"/>
  <c r="C4"/>
  <c r="D3"/>
  <c r="C3"/>
  <c r="E2"/>
  <c r="D2"/>
  <c r="C2"/>
  <c r="G61" i="3"/>
  <c r="G77"/>
  <c r="H51" i="1"/>
  <c r="H52" s="1"/>
  <c r="H50"/>
  <c r="E8" i="3"/>
  <c r="G8" s="1"/>
  <c r="E5"/>
  <c r="G39"/>
  <c r="D43"/>
  <c r="G43" s="1"/>
  <c r="D76"/>
  <c r="G76" s="1"/>
  <c r="G75"/>
  <c r="F89" i="1"/>
  <c r="D50"/>
  <c r="D42" i="3"/>
  <c r="G42" s="1"/>
  <c r="D123"/>
  <c r="E18" i="1" s="1"/>
  <c r="D47"/>
  <c r="F47" s="1"/>
  <c r="D48"/>
  <c r="F46"/>
  <c r="D41" i="3"/>
  <c r="G41" s="1"/>
  <c r="F45" i="1"/>
  <c r="G40" i="3"/>
  <c r="D73"/>
  <c r="G73" s="1"/>
  <c r="D72"/>
  <c r="G72" s="1"/>
  <c r="G71"/>
  <c r="G70"/>
  <c r="G69"/>
  <c r="G65"/>
  <c r="G64"/>
  <c r="G63"/>
  <c r="G62"/>
  <c r="D60"/>
  <c r="G60" s="1"/>
  <c r="D59"/>
  <c r="G59" s="1"/>
  <c r="G58"/>
  <c r="E71" i="1"/>
  <c r="F71" s="1"/>
  <c r="E38"/>
  <c r="F38" s="1"/>
  <c r="E6" i="3"/>
  <c r="F40" i="1"/>
  <c r="G38" i="3"/>
  <c r="D28"/>
  <c r="G28" s="1"/>
  <c r="K21" i="1"/>
  <c r="L21" s="1"/>
  <c r="K20"/>
  <c r="L20" s="1"/>
  <c r="F10"/>
  <c r="D100" i="3"/>
  <c r="D134" s="1"/>
  <c r="D37"/>
  <c r="G37" s="1"/>
  <c r="F60" i="1"/>
  <c r="F58"/>
  <c r="F49"/>
  <c r="F53"/>
  <c r="F54"/>
  <c r="F55"/>
  <c r="E59"/>
  <c r="D34"/>
  <c r="F34" s="1"/>
  <c r="F29"/>
  <c r="D17"/>
  <c r="F17" s="1"/>
  <c r="F13"/>
  <c r="D16"/>
  <c r="F16" s="1"/>
  <c r="D15"/>
  <c r="F15" s="1"/>
  <c r="D14"/>
  <c r="F22"/>
  <c r="E7" i="3"/>
  <c r="G7" s="1"/>
  <c r="D52" i="1"/>
  <c r="F52" s="1"/>
  <c r="D51"/>
  <c r="F51" s="1"/>
  <c r="F50"/>
  <c r="E77"/>
  <c r="F77" s="1"/>
  <c r="G36" i="3"/>
  <c r="G35"/>
  <c r="D34"/>
  <c r="G34" s="1"/>
  <c r="E73" i="1"/>
  <c r="F73" s="1"/>
  <c r="E70"/>
  <c r="F70" s="1"/>
  <c r="G27" i="3"/>
  <c r="G33"/>
  <c r="G31"/>
  <c r="G30"/>
  <c r="D29"/>
  <c r="G29" s="1"/>
  <c r="F83" i="1"/>
  <c r="F39"/>
  <c r="F41"/>
  <c r="G26" i="3"/>
  <c r="G25"/>
  <c r="G24"/>
  <c r="E62" i="1"/>
  <c r="F62" s="1"/>
  <c r="E61"/>
  <c r="F61" s="1"/>
  <c r="F67"/>
  <c r="G23" i="3"/>
  <c r="G22"/>
  <c r="F42" i="1"/>
  <c r="F74"/>
  <c r="F75"/>
  <c r="D42"/>
  <c r="G21" i="3"/>
  <c r="D6"/>
  <c r="F57" i="1"/>
  <c r="H57"/>
  <c r="F48"/>
  <c r="D37"/>
  <c r="F37" s="1"/>
  <c r="D36"/>
  <c r="F36" s="1"/>
  <c r="H95"/>
  <c r="G20" i="3"/>
  <c r="F91" i="1"/>
  <c r="L11" i="2"/>
  <c r="D19" i="3"/>
  <c r="G19" s="1"/>
  <c r="E10"/>
  <c r="G10" s="1"/>
  <c r="G16"/>
  <c r="D151"/>
  <c r="D158" s="1"/>
  <c r="D17"/>
  <c r="G17" s="1"/>
  <c r="E92" i="1"/>
  <c r="F92" s="1"/>
  <c r="E78"/>
  <c r="F78" s="1"/>
  <c r="G15" i="3"/>
  <c r="G14"/>
  <c r="G13"/>
  <c r="D11"/>
  <c r="G11" s="1"/>
  <c r="G12"/>
  <c r="E66" i="1"/>
  <c r="G4" i="3"/>
  <c r="F35" i="1"/>
  <c r="F87"/>
  <c r="F88"/>
  <c r="F44"/>
  <c r="D4"/>
  <c r="F4" s="1"/>
  <c r="F43"/>
  <c r="F63"/>
  <c r="F64"/>
  <c r="F65"/>
  <c r="F68"/>
  <c r="F69"/>
  <c r="F56"/>
  <c r="F72"/>
  <c r="F76"/>
  <c r="F82"/>
  <c r="F84"/>
  <c r="F85"/>
  <c r="F86"/>
  <c r="F90"/>
  <c r="F93"/>
  <c r="F94"/>
  <c r="F95"/>
  <c r="D9"/>
  <c r="F9" s="1"/>
  <c r="D8"/>
  <c r="F8" s="1"/>
  <c r="D7"/>
  <c r="F7" s="1"/>
  <c r="D6"/>
  <c r="F6" s="1"/>
  <c r="D5"/>
  <c r="F5" s="1"/>
  <c r="F21"/>
  <c r="F25"/>
  <c r="G5" i="3" l="1"/>
  <c r="G95"/>
  <c r="C7" i="9" s="1"/>
  <c r="G67" i="3"/>
  <c r="C5" i="9"/>
  <c r="E26" i="10"/>
  <c r="C3" i="9"/>
  <c r="F23" i="1"/>
  <c r="G6" i="3"/>
  <c r="F18" i="1"/>
  <c r="E28"/>
  <c r="F28" s="1"/>
  <c r="F30" s="1"/>
  <c r="E42"/>
  <c r="F96"/>
  <c r="F14"/>
  <c r="F26"/>
  <c r="G54" i="3" l="1"/>
  <c r="C4" i="9" s="1"/>
  <c r="F19" i="1"/>
  <c r="F11"/>
  <c r="F79"/>
  <c r="C6" i="9" l="1"/>
  <c r="M95" i="3"/>
  <c r="C31" i="1"/>
  <c r="C97" s="1"/>
  <c r="C100" s="1"/>
  <c r="C9" i="9" l="1"/>
</calcChain>
</file>

<file path=xl/sharedStrings.xml><?xml version="1.0" encoding="utf-8"?>
<sst xmlns="http://schemas.openxmlformats.org/spreadsheetml/2006/main" count="988" uniqueCount="718">
  <si>
    <t>序号</t>
  </si>
  <si>
    <t>项目名称</t>
  </si>
  <si>
    <t>单位</t>
  </si>
  <si>
    <t>工程量</t>
  </si>
  <si>
    <t>项目单价（元)</t>
  </si>
  <si>
    <t>总价（元)</t>
  </si>
  <si>
    <t>材料及工艺说明</t>
  </si>
  <si>
    <r>
      <t>m</t>
    </r>
    <r>
      <rPr>
        <vertAlign val="superscript"/>
        <sz val="12"/>
        <rFont val="宋体"/>
        <charset val="134"/>
      </rPr>
      <t>2</t>
    </r>
  </si>
  <si>
    <t>m</t>
  </si>
  <si>
    <t>小计</t>
  </si>
  <si>
    <t>墙地面防水处理</t>
  </si>
  <si>
    <r>
      <t>m</t>
    </r>
    <r>
      <rPr>
        <vertAlign val="superscript"/>
        <sz val="12"/>
        <color indexed="8"/>
        <rFont val="宋体"/>
        <charset val="134"/>
      </rPr>
      <t>2</t>
    </r>
  </si>
  <si>
    <t>A</t>
  </si>
  <si>
    <t>B</t>
  </si>
  <si>
    <t>C</t>
  </si>
  <si>
    <t>D</t>
  </si>
  <si>
    <t>套</t>
    <phoneticPr fontId="12" type="noConversion"/>
  </si>
  <si>
    <t>项</t>
    <phoneticPr fontId="12" type="noConversion"/>
  </si>
  <si>
    <t>m</t>
    <phoneticPr fontId="12" type="noConversion"/>
  </si>
  <si>
    <t>个</t>
    <phoneticPr fontId="12" type="noConversion"/>
  </si>
  <si>
    <t>筒灯</t>
    <phoneticPr fontId="12" type="noConversion"/>
  </si>
  <si>
    <t>套</t>
    <phoneticPr fontId="12" type="noConversion"/>
  </si>
  <si>
    <t>开关插座</t>
    <phoneticPr fontId="12" type="noConversion"/>
  </si>
  <si>
    <t>项</t>
    <phoneticPr fontId="12" type="noConversion"/>
  </si>
  <si>
    <t>包水管</t>
    <phoneticPr fontId="12" type="noConversion"/>
  </si>
  <si>
    <t>个</t>
    <phoneticPr fontId="12" type="noConversion"/>
  </si>
  <si>
    <t>客厅艺术吊灯</t>
    <phoneticPr fontId="12" type="noConversion"/>
  </si>
  <si>
    <t>拖把池</t>
    <phoneticPr fontId="12" type="noConversion"/>
  </si>
  <si>
    <t>主材报价单</t>
    <phoneticPr fontId="12" type="noConversion"/>
  </si>
  <si>
    <t>次卧吸顶灯</t>
    <phoneticPr fontId="12" type="noConversion"/>
  </si>
  <si>
    <t>m</t>
    <phoneticPr fontId="12" type="noConversion"/>
  </si>
  <si>
    <t>主卧吸顶灯</t>
    <phoneticPr fontId="12" type="noConversion"/>
  </si>
  <si>
    <t>复合地板</t>
  </si>
  <si>
    <r>
      <t>m</t>
    </r>
    <r>
      <rPr>
        <vertAlign val="superscript"/>
        <sz val="8"/>
        <rFont val="宋体"/>
        <family val="3"/>
        <charset val="134"/>
      </rPr>
      <t>2</t>
    </r>
  </si>
  <si>
    <t>套</t>
  </si>
  <si>
    <t>成品门及门套（含五金件）</t>
    <phoneticPr fontId="12" type="noConversion"/>
  </si>
  <si>
    <t>项</t>
    <phoneticPr fontId="12" type="noConversion"/>
  </si>
  <si>
    <t>阳台双边门套</t>
    <phoneticPr fontId="12" type="noConversion"/>
  </si>
  <si>
    <t>书房吸顶灯</t>
    <phoneticPr fontId="12" type="noConversion"/>
  </si>
  <si>
    <t>浴霸</t>
    <phoneticPr fontId="12" type="noConversion"/>
  </si>
  <si>
    <t>电视机</t>
    <phoneticPr fontId="12" type="noConversion"/>
  </si>
  <si>
    <t>套</t>
    <phoneticPr fontId="12" type="noConversion"/>
  </si>
  <si>
    <t>冰箱</t>
    <phoneticPr fontId="12" type="noConversion"/>
  </si>
  <si>
    <t>抽油烟机套装</t>
    <phoneticPr fontId="12" type="noConversion"/>
  </si>
  <si>
    <t>估价</t>
    <phoneticPr fontId="12" type="noConversion"/>
  </si>
  <si>
    <t>穿衣镜</t>
    <phoneticPr fontId="12" type="noConversion"/>
  </si>
  <si>
    <t xml:space="preserve">工地名称：                                                                                                    </t>
    <phoneticPr fontId="12" type="noConversion"/>
  </si>
  <si>
    <t>项</t>
    <phoneticPr fontId="12" type="noConversion"/>
  </si>
  <si>
    <t>厨房及卫生间挂件</t>
    <phoneticPr fontId="12" type="noConversion"/>
  </si>
  <si>
    <t>美的大1P</t>
    <phoneticPr fontId="12" type="noConversion"/>
  </si>
  <si>
    <t>空调（变频）</t>
    <phoneticPr fontId="12" type="noConversion"/>
  </si>
  <si>
    <t>松下</t>
    <phoneticPr fontId="12" type="noConversion"/>
  </si>
  <si>
    <t>餐厅艺术吊灯</t>
    <phoneticPr fontId="12" type="noConversion"/>
  </si>
  <si>
    <t>燃气热水器(冷凝、变频）</t>
    <phoneticPr fontId="12" type="noConversion"/>
  </si>
  <si>
    <t>小计</t>
    <phoneticPr fontId="12" type="noConversion"/>
  </si>
  <si>
    <t>柜子部分</t>
    <phoneticPr fontId="12" type="noConversion"/>
  </si>
  <si>
    <t>硅藻泥</t>
    <phoneticPr fontId="12" type="noConversion"/>
  </si>
  <si>
    <t>封阳台</t>
    <phoneticPr fontId="12" type="noConversion"/>
  </si>
  <si>
    <t>项</t>
    <phoneticPr fontId="12" type="noConversion"/>
  </si>
  <si>
    <t>立式空调（变频）</t>
    <phoneticPr fontId="12" type="noConversion"/>
  </si>
  <si>
    <t>528元/平方，一个窗户400元</t>
    <phoneticPr fontId="12" type="noConversion"/>
  </si>
  <si>
    <t>水槽含龙头</t>
    <phoneticPr fontId="12" type="noConversion"/>
  </si>
  <si>
    <t>主卧</t>
  </si>
  <si>
    <t>次卧</t>
  </si>
  <si>
    <t>书房</t>
  </si>
  <si>
    <t>客厅</t>
  </si>
  <si>
    <t>餐厅</t>
  </si>
  <si>
    <t>过道</t>
  </si>
  <si>
    <t>厨房</t>
  </si>
  <si>
    <t>卫生间</t>
  </si>
  <si>
    <t>生活阳台</t>
  </si>
  <si>
    <t>大阳台</t>
  </si>
  <si>
    <t>数量合计</t>
  </si>
  <si>
    <t>网络插座</t>
  </si>
  <si>
    <t>有线电视插座</t>
  </si>
  <si>
    <t>电话插座</t>
  </si>
  <si>
    <t>一开单控</t>
  </si>
  <si>
    <t>三开双控</t>
  </si>
  <si>
    <t>二开单控</t>
  </si>
  <si>
    <t>空调插座</t>
  </si>
  <si>
    <t>冰箱插座</t>
  </si>
  <si>
    <t>微波炉插座</t>
  </si>
  <si>
    <t>一开双控</t>
  </si>
  <si>
    <t>总计</t>
  </si>
  <si>
    <t>下订时间</t>
    <phoneticPr fontId="12" type="noConversion"/>
  </si>
  <si>
    <t>费恩特门窗</t>
    <phoneticPr fontId="12" type="noConversion"/>
  </si>
  <si>
    <t>盼盼</t>
    <phoneticPr fontId="12" type="noConversion"/>
  </si>
  <si>
    <t>汉阳钟家村</t>
    <phoneticPr fontId="12" type="noConversion"/>
  </si>
  <si>
    <t>汉口竹叶山</t>
    <phoneticPr fontId="12" type="noConversion"/>
  </si>
  <si>
    <t>备注</t>
    <phoneticPr fontId="12" type="noConversion"/>
  </si>
  <si>
    <t>开关插座</t>
    <phoneticPr fontId="12" type="noConversion"/>
  </si>
  <si>
    <t>踢脚线</t>
    <phoneticPr fontId="12" type="noConversion"/>
  </si>
  <si>
    <t>柜子压边</t>
    <phoneticPr fontId="12" type="noConversion"/>
  </si>
  <si>
    <t>高空安装费</t>
    <phoneticPr fontId="12" type="noConversion"/>
  </si>
  <si>
    <t>项</t>
    <phoneticPr fontId="12" type="noConversion"/>
  </si>
  <si>
    <t>恒洁</t>
    <phoneticPr fontId="12" type="noConversion"/>
  </si>
  <si>
    <t>通铺费</t>
    <phoneticPr fontId="12" type="noConversion"/>
  </si>
  <si>
    <t>恒洁卫浴</t>
    <phoneticPr fontId="12" type="noConversion"/>
  </si>
  <si>
    <t>菲林格尔</t>
    <phoneticPr fontId="12" type="noConversion"/>
  </si>
  <si>
    <t>老板不锈钢燃气灶（天然气）65A5+58G6   18m³/min-19m³/min</t>
    <phoneticPr fontId="12" type="noConversion"/>
  </si>
  <si>
    <t xml:space="preserve"> </t>
    <phoneticPr fontId="12" type="noConversion"/>
  </si>
  <si>
    <t>松下（Panasonic）HHLA0605CBW01 LED灯阳台玄关吸顶灯具 圆形8W</t>
    <phoneticPr fontId="12" type="noConversion"/>
  </si>
  <si>
    <t>打电话</t>
    <phoneticPr fontId="12" type="noConversion"/>
  </si>
  <si>
    <t>怡萧行</t>
    <phoneticPr fontId="12" type="noConversion"/>
  </si>
  <si>
    <t>二期款（元）</t>
    <phoneticPr fontId="12" type="noConversion"/>
  </si>
  <si>
    <t>已 付 款 项 明 细 及 说 明</t>
    <phoneticPr fontId="12" type="noConversion"/>
  </si>
  <si>
    <t>悍高</t>
    <phoneticPr fontId="12" type="noConversion"/>
  </si>
  <si>
    <t>京东（已到货）</t>
    <phoneticPr fontId="12" type="noConversion"/>
  </si>
  <si>
    <t>烟机灶</t>
    <phoneticPr fontId="12" type="noConversion"/>
  </si>
  <si>
    <t>自购清单</t>
    <phoneticPr fontId="12" type="noConversion"/>
  </si>
  <si>
    <t>松下（Panasonic）NNNC75091 逸放系列家用小型金属筒灯 3W （含炭包6kg）</t>
    <phoneticPr fontId="12" type="noConversion"/>
  </si>
  <si>
    <t>炭包</t>
    <phoneticPr fontId="12" type="noConversion"/>
  </si>
  <si>
    <t>绿润</t>
    <phoneticPr fontId="12" type="noConversion"/>
  </si>
  <si>
    <t>6kg炭包</t>
    <phoneticPr fontId="12" type="noConversion"/>
  </si>
  <si>
    <t>直接费</t>
    <phoneticPr fontId="12" type="noConversion"/>
  </si>
  <si>
    <t>管理费（A*5%）</t>
    <phoneticPr fontId="12" type="noConversion"/>
  </si>
  <si>
    <t>税金=（A+B）*6.34%</t>
    <phoneticPr fontId="12" type="noConversion"/>
  </si>
  <si>
    <t>装饰造价=A+B+C</t>
    <phoneticPr fontId="12" type="noConversion"/>
  </si>
  <si>
    <t>序号</t>
    <phoneticPr fontId="12" type="noConversion"/>
  </si>
  <si>
    <t>项目</t>
    <phoneticPr fontId="12" type="noConversion"/>
  </si>
  <si>
    <t>已付款（元）</t>
    <phoneticPr fontId="12" type="noConversion"/>
  </si>
  <si>
    <t>活动细则</t>
    <phoneticPr fontId="12" type="noConversion"/>
  </si>
  <si>
    <t>全屋定制</t>
    <phoneticPr fontId="12" type="noConversion"/>
  </si>
  <si>
    <t>木德木作</t>
    <phoneticPr fontId="12" type="noConversion"/>
  </si>
  <si>
    <t>瓷砖</t>
    <phoneticPr fontId="12" type="noConversion"/>
  </si>
  <si>
    <t>美的</t>
    <phoneticPr fontId="12" type="noConversion"/>
  </si>
  <si>
    <t>南国家装南湖</t>
    <phoneticPr fontId="12" type="noConversion"/>
  </si>
  <si>
    <t>天猫（通知发货）</t>
    <phoneticPr fontId="12" type="noConversion"/>
  </si>
  <si>
    <t>三个149，均价49.5元/个</t>
    <phoneticPr fontId="12" type="noConversion"/>
  </si>
  <si>
    <t>合计</t>
    <phoneticPr fontId="12" type="noConversion"/>
  </si>
  <si>
    <t>淋浴隔断+升降衣架</t>
    <phoneticPr fontId="12" type="noConversion"/>
  </si>
  <si>
    <t>家具套装</t>
    <phoneticPr fontId="12" type="noConversion"/>
  </si>
  <si>
    <t>沙发+茶几+电视柜+餐桌+餐桌椅*4+床*2+床垫*2+床头柜*3</t>
    <phoneticPr fontId="12" type="noConversion"/>
  </si>
  <si>
    <t>晾衣架</t>
    <phoneticPr fontId="12" type="noConversion"/>
  </si>
  <si>
    <t>红杏</t>
    <phoneticPr fontId="12" type="noConversion"/>
  </si>
  <si>
    <t>家具</t>
    <phoneticPr fontId="12" type="noConversion"/>
  </si>
  <si>
    <t>舒眠博士</t>
    <phoneticPr fontId="12" type="noConversion"/>
  </si>
  <si>
    <t>钟家村齐家</t>
  </si>
  <si>
    <t>帝王</t>
    <phoneticPr fontId="12" type="noConversion"/>
  </si>
  <si>
    <t>厨房挂件</t>
    <phoneticPr fontId="12" type="noConversion"/>
  </si>
  <si>
    <t>淘宝（已到货）</t>
    <phoneticPr fontId="12" type="noConversion"/>
  </si>
  <si>
    <t>梳妆台+书桌</t>
    <phoneticPr fontId="12" type="noConversion"/>
  </si>
  <si>
    <t>梳妆台+妆凳+书桌+书桌椅</t>
    <phoneticPr fontId="12" type="noConversion"/>
  </si>
  <si>
    <t>松下5孔带开关，9.9元/个</t>
    <phoneticPr fontId="12" type="noConversion"/>
  </si>
  <si>
    <t>窗帘</t>
    <phoneticPr fontId="12" type="noConversion"/>
  </si>
  <si>
    <t>项</t>
    <phoneticPr fontId="12" type="noConversion"/>
  </si>
  <si>
    <t>估价</t>
    <phoneticPr fontId="12" type="noConversion"/>
  </si>
  <si>
    <t>热水器安装费</t>
    <phoneticPr fontId="12" type="noConversion"/>
  </si>
  <si>
    <t>品牌名称</t>
    <phoneticPr fontId="12" type="noConversion"/>
  </si>
  <si>
    <t>订金（元）</t>
    <phoneticPr fontId="12" type="noConversion"/>
  </si>
  <si>
    <t>差价（元）</t>
    <phoneticPr fontId="12" type="noConversion"/>
  </si>
  <si>
    <t>兰舍</t>
    <phoneticPr fontId="12" type="noConversion"/>
  </si>
  <si>
    <t>4月22日南国大家装江南店店庆返利30%价格为70元/㎡</t>
    <phoneticPr fontId="12" type="noConversion"/>
  </si>
  <si>
    <t>武昌南湖</t>
    <phoneticPr fontId="12" type="noConversion"/>
  </si>
  <si>
    <t>汉西</t>
    <phoneticPr fontId="12" type="noConversion"/>
  </si>
  <si>
    <t>窗帘</t>
    <phoneticPr fontId="12" type="noConversion"/>
  </si>
  <si>
    <t>纸尚美学</t>
    <phoneticPr fontId="12" type="noConversion"/>
  </si>
  <si>
    <t>门</t>
    <phoneticPr fontId="12" type="noConversion"/>
  </si>
  <si>
    <t>空调</t>
    <phoneticPr fontId="12" type="noConversion"/>
  </si>
  <si>
    <t>卫浴</t>
    <phoneticPr fontId="12" type="noConversion"/>
  </si>
  <si>
    <t>居然之家</t>
    <phoneticPr fontId="12" type="noConversion"/>
  </si>
  <si>
    <t>地板</t>
    <phoneticPr fontId="12" type="noConversion"/>
  </si>
  <si>
    <t>开关插座</t>
    <phoneticPr fontId="12" type="noConversion"/>
  </si>
  <si>
    <t>水槽</t>
    <phoneticPr fontId="12" type="noConversion"/>
  </si>
  <si>
    <t>老板</t>
    <phoneticPr fontId="12" type="noConversion"/>
  </si>
  <si>
    <t>阳台玄关灯</t>
    <phoneticPr fontId="12" type="noConversion"/>
  </si>
  <si>
    <t>筒灯</t>
    <phoneticPr fontId="12" type="noConversion"/>
  </si>
  <si>
    <t>五个119，均价23.8元/个</t>
    <phoneticPr fontId="12" type="noConversion"/>
  </si>
  <si>
    <t>卡贝</t>
    <phoneticPr fontId="12" type="noConversion"/>
  </si>
  <si>
    <t>淋浴房</t>
    <phoneticPr fontId="12" type="noConversion"/>
  </si>
  <si>
    <t>洁扬</t>
    <phoneticPr fontId="12" type="noConversion"/>
  </si>
  <si>
    <t>1）沙发3+1+贵妃，总长3.6米，贵妃位长1.8米；
2）茶几1.35米；
3）电视柜2米；
4）餐桌1.35*0.85米；
5）餐椅4把；
6）实木美式床1.8米*2套；
7）双面弹簧棕垫床垫1.8米*2套；
8）实木美式床头柜*3个；
9）实际价格为：8999+2999*2+300=15297，红杏衣架返现151元后价格为15146元，会员9.7折后付款14690元，返现8%即1120元，最终价格为13570元。</t>
    <phoneticPr fontId="12" type="noConversion"/>
  </si>
  <si>
    <t>钟家村齐家</t>
    <phoneticPr fontId="12" type="noConversion"/>
  </si>
  <si>
    <t xml:space="preserve">1）梳妆台1米长+妆凳2200元；
2）写字台1.38米长+座椅带把手2800元；
3）合计5000元，会员9.7折后4850元，返现200元，最终价格4650元；
4）赠送：皮凳一个，抱枕两个（未取）
</t>
    <phoneticPr fontId="12" type="noConversion"/>
  </si>
  <si>
    <t>热水器</t>
    <phoneticPr fontId="12" type="noConversion"/>
  </si>
  <si>
    <t>万和</t>
    <phoneticPr fontId="12" type="noConversion"/>
  </si>
  <si>
    <t>万和13L燃气热水器</t>
    <phoneticPr fontId="12" type="noConversion"/>
  </si>
  <si>
    <t>洁具</t>
    <phoneticPr fontId="12" type="noConversion"/>
  </si>
  <si>
    <t>米</t>
    <phoneticPr fontId="12" type="noConversion"/>
  </si>
  <si>
    <t>1）松下底盒6.8元/个*87个；
2）松下防溅水盖22.1元/个；
3）松下单开双控开关11.39元/个；
4）满599减15元，付款599赠工具一套</t>
    <phoneticPr fontId="12" type="noConversion"/>
  </si>
  <si>
    <t>购买渠道</t>
    <phoneticPr fontId="12" type="noConversion"/>
  </si>
  <si>
    <t>已退（已到账）</t>
    <phoneticPr fontId="12" type="noConversion"/>
  </si>
  <si>
    <t>到账金额为497，被扣3元手续费不开心</t>
    <phoneticPr fontId="12" type="noConversion"/>
  </si>
  <si>
    <t>全额到账退还至原信用卡</t>
    <phoneticPr fontId="12" type="noConversion"/>
  </si>
  <si>
    <t>金属底盒</t>
    <phoneticPr fontId="12" type="noConversion"/>
  </si>
  <si>
    <t>五孔带开关</t>
    <phoneticPr fontId="12" type="noConversion"/>
  </si>
  <si>
    <t>防水盒盖板</t>
    <phoneticPr fontId="12" type="noConversion"/>
  </si>
  <si>
    <t>数量</t>
    <phoneticPr fontId="12" type="noConversion"/>
  </si>
  <si>
    <t>单价（元)</t>
    <phoneticPr fontId="12" type="noConversion"/>
  </si>
  <si>
    <t>洁扬+红杏</t>
    <phoneticPr fontId="12" type="noConversion"/>
  </si>
  <si>
    <t>天猫松下电工旗舰店（已到货）</t>
    <phoneticPr fontId="12" type="noConversion"/>
  </si>
  <si>
    <t>阳台、过道吸顶灯</t>
    <phoneticPr fontId="12" type="noConversion"/>
  </si>
  <si>
    <t>玄关吸顶灯</t>
    <phoneticPr fontId="12" type="noConversion"/>
  </si>
  <si>
    <t>美的3P  4月20日家博会7300元，5月20日安团家博会6949，销售员承诺按最低价。</t>
    <phoneticPr fontId="12" type="noConversion"/>
  </si>
  <si>
    <t>礼品</t>
    <phoneticPr fontId="12" type="noConversion"/>
  </si>
  <si>
    <t>1）康佳立式电扇*1
2）美的烧水壶*2
3）金龙鱼5L食用油*2</t>
    <phoneticPr fontId="12" type="noConversion"/>
  </si>
  <si>
    <t>1）欧普吸顶灯*1</t>
    <phoneticPr fontId="12" type="noConversion"/>
  </si>
  <si>
    <t>1）罗莱枕头*2</t>
    <phoneticPr fontId="12" type="noConversion"/>
  </si>
  <si>
    <t>1）烟灰缸*1
2）洗漱四件套*2（随货发）</t>
    <phoneticPr fontId="12" type="noConversion"/>
  </si>
  <si>
    <t>1）蚕丝被*1
2）地垫*3
3）烟灰缸*1
4）烟灰缸*1（答应给，未拿)
5)青花瓷六件套（随货发）</t>
    <phoneticPr fontId="12" type="noConversion"/>
  </si>
  <si>
    <t>1）蚕丝被*1
2）乳胶枕*2
3）皮圆凳*2（随货发）
4）赠送绿色抱枕*2（随货发）
5）抱枕*1</t>
    <phoneticPr fontId="12" type="noConversion"/>
  </si>
  <si>
    <t>卫生间挂件</t>
    <phoneticPr fontId="12" type="noConversion"/>
  </si>
  <si>
    <t>铝扣板吊顶</t>
    <phoneticPr fontId="12" type="noConversion"/>
  </si>
  <si>
    <t>地漏</t>
    <phoneticPr fontId="12" type="noConversion"/>
  </si>
  <si>
    <t>三角阀</t>
    <phoneticPr fontId="12" type="noConversion"/>
  </si>
  <si>
    <t>厨房烟道止逆阀</t>
    <phoneticPr fontId="12" type="noConversion"/>
  </si>
  <si>
    <t>套</t>
    <phoneticPr fontId="12" type="noConversion"/>
  </si>
  <si>
    <t>潜水艇 厨房烟道止逆阀</t>
    <phoneticPr fontId="12" type="noConversion"/>
  </si>
  <si>
    <t>潜水艇 浴室柜1冷1热，马桶1冷，阳台面盆1冷1热，热水器1冷1热，共7个</t>
    <phoneticPr fontId="12" type="noConversion"/>
  </si>
  <si>
    <t>注：此进度表仅供参考，实际时间按照工程量及现场施工实际情况修改进度</t>
  </si>
  <si>
    <t>水电改造</t>
    <phoneticPr fontId="12" type="noConversion"/>
  </si>
  <si>
    <t>油漆工程（刮腻子）</t>
    <phoneticPr fontId="12" type="noConversion"/>
  </si>
  <si>
    <t>拆飘窗，铲保温层</t>
    <phoneticPr fontId="12" type="noConversion"/>
  </si>
  <si>
    <t>橱柜测量尺寸出插座图</t>
    <phoneticPr fontId="12" type="noConversion"/>
  </si>
  <si>
    <t>卫浴测量尺寸出水路图</t>
    <phoneticPr fontId="12" type="noConversion"/>
  </si>
  <si>
    <t>定制柜子量尺寸</t>
    <phoneticPr fontId="12" type="noConversion"/>
  </si>
  <si>
    <t>定制柜子安装</t>
    <phoneticPr fontId="12" type="noConversion"/>
  </si>
  <si>
    <t>地板安装</t>
    <phoneticPr fontId="12" type="noConversion"/>
  </si>
  <si>
    <t>铝合金门量尺寸</t>
    <phoneticPr fontId="12" type="noConversion"/>
  </si>
  <si>
    <t>施工进度表</t>
    <phoneticPr fontId="12" type="noConversion"/>
  </si>
  <si>
    <t>所用时间（参考为   天，实际工程日期安装工程和大小安排来调整）</t>
    <phoneticPr fontId="12" type="noConversion"/>
  </si>
  <si>
    <t>封阳台测量尺寸</t>
    <phoneticPr fontId="12" type="noConversion"/>
  </si>
  <si>
    <t>盼盼门量尺寸</t>
    <phoneticPr fontId="12" type="noConversion"/>
  </si>
  <si>
    <t>木工吊顶</t>
    <phoneticPr fontId="12" type="noConversion"/>
  </si>
  <si>
    <t>家具通知制作</t>
    <phoneticPr fontId="12" type="noConversion"/>
  </si>
  <si>
    <t>家具进场</t>
    <phoneticPr fontId="12" type="noConversion"/>
  </si>
  <si>
    <t>窗帘安装</t>
    <phoneticPr fontId="12" type="noConversion"/>
  </si>
  <si>
    <t>空调安装</t>
    <phoneticPr fontId="12" type="noConversion"/>
  </si>
  <si>
    <t>TCL吊顶</t>
    <phoneticPr fontId="12" type="noConversion"/>
  </si>
  <si>
    <t>淘宝（已到货）</t>
    <phoneticPr fontId="12" type="noConversion"/>
  </si>
  <si>
    <t>1）赠送拖把池龙头（随货发）</t>
    <phoneticPr fontId="12" type="noConversion"/>
  </si>
  <si>
    <t>吊顶</t>
    <phoneticPr fontId="12" type="noConversion"/>
  </si>
  <si>
    <t>TCL</t>
    <phoneticPr fontId="12" type="noConversion"/>
  </si>
  <si>
    <t>全包</t>
    <phoneticPr fontId="12" type="noConversion"/>
  </si>
  <si>
    <t>窗帘尺寸</t>
    <phoneticPr fontId="12" type="noConversion"/>
  </si>
  <si>
    <t>阳台封闭</t>
    <phoneticPr fontId="12" type="noConversion"/>
  </si>
  <si>
    <t>泥工收场前3天，打电话预约安装防盗门</t>
    <phoneticPr fontId="12" type="noConversion"/>
  </si>
  <si>
    <t>防盗门</t>
    <phoneticPr fontId="12" type="noConversion"/>
  </si>
  <si>
    <t>木门</t>
    <phoneticPr fontId="12" type="noConversion"/>
  </si>
  <si>
    <t>木门制作工期40天</t>
    <phoneticPr fontId="12" type="noConversion"/>
  </si>
  <si>
    <t>窗帘制作工期30天</t>
    <phoneticPr fontId="12" type="noConversion"/>
  </si>
  <si>
    <t>提前5天通知</t>
    <phoneticPr fontId="12" type="noConversion"/>
  </si>
  <si>
    <t>定制柜子</t>
    <phoneticPr fontId="12" type="noConversion"/>
  </si>
  <si>
    <t>制作工期35天</t>
    <phoneticPr fontId="12" type="noConversion"/>
  </si>
  <si>
    <t>铝合金门</t>
    <phoneticPr fontId="12" type="noConversion"/>
  </si>
  <si>
    <t>制作工期25天</t>
    <phoneticPr fontId="12" type="noConversion"/>
  </si>
  <si>
    <t>施工提醒时间</t>
    <phoneticPr fontId="12" type="noConversion"/>
  </si>
  <si>
    <t>序号</t>
    <phoneticPr fontId="12" type="noConversion"/>
  </si>
  <si>
    <t xml:space="preserve">松下（Panasonic）FV-RB13Y1 浴霸 </t>
    <phoneticPr fontId="12" type="noConversion"/>
  </si>
  <si>
    <t>松下（Panasonic）HHLA0417CB LED灯阳台玄关吸顶灯具 圆形5W日亚芯片</t>
    <phoneticPr fontId="12" type="noConversion"/>
  </si>
  <si>
    <t>松下（Panasonic）美式铁艺八头</t>
    <phoneticPr fontId="12" type="noConversion"/>
  </si>
  <si>
    <t>松下（Panasonic）美式铁艺三头</t>
    <phoneticPr fontId="12" type="noConversion"/>
  </si>
  <si>
    <t xml:space="preserve"> 万和（Vanward）13升水气双调 变频精控恒温 燃气热水器（天然气）JSQ25-530W13</t>
    <phoneticPr fontId="12" type="noConversion"/>
  </si>
  <si>
    <t>松下</t>
    <phoneticPr fontId="12" type="noConversion"/>
  </si>
  <si>
    <t>1）松下阳台吸顶灯5W日亚芯片*1个；
2）松下一开双控开关*1个；
3）松下餐厅三头铁艺吊灯*1个；
4）松下客厅八头铁艺吊灯*1个。
5）跨店三件7.5折使用25元优惠券</t>
    <phoneticPr fontId="12" type="noConversion"/>
  </si>
  <si>
    <t>灯具</t>
    <phoneticPr fontId="12" type="noConversion"/>
  </si>
  <si>
    <t>浴霸</t>
    <phoneticPr fontId="12" type="noConversion"/>
  </si>
  <si>
    <t>1）松下浴霸*1个（包安装）；
2）松下一开双控开关*2个；
3）三件7.5折使用25元优惠券</t>
    <phoneticPr fontId="12" type="noConversion"/>
  </si>
  <si>
    <t>玻璃胶</t>
    <phoneticPr fontId="12" type="noConversion"/>
  </si>
  <si>
    <t>项</t>
    <phoneticPr fontId="12" type="noConversion"/>
  </si>
  <si>
    <t>松下（Panasonic）LED吸顶灯遥控无极调光调色卧室灯客厅灯具HHLAZ1796 香槟金色装饰框</t>
    <phoneticPr fontId="12" type="noConversion"/>
  </si>
  <si>
    <t>家庭影院</t>
    <phoneticPr fontId="12" type="noConversion"/>
  </si>
  <si>
    <t>JBL STV125 无线回音壁系统 蓝牙音响 低音炮 Soundbar 条形音箱 家庭影院电视音响 黑色</t>
    <phoneticPr fontId="12" type="noConversion"/>
  </si>
  <si>
    <t>小米电视4A 标准版 65英寸</t>
    <phoneticPr fontId="12" type="noConversion"/>
  </si>
  <si>
    <t>UBL</t>
    <phoneticPr fontId="12" type="noConversion"/>
  </si>
  <si>
    <t>低音炮+音响（满1499-400）</t>
    <phoneticPr fontId="12" type="noConversion"/>
  </si>
  <si>
    <t>1）松下厨房灯*1个；
2）松下书房灯*1个；
3）使用20元优惠券</t>
    <phoneticPr fontId="12" type="noConversion"/>
  </si>
  <si>
    <t>备注</t>
    <phoneticPr fontId="12" type="noConversion"/>
  </si>
  <si>
    <t>卫生间+厨房LED灯</t>
    <phoneticPr fontId="12" type="noConversion"/>
  </si>
  <si>
    <t>松下（Panasonic）HHLA1203 （20W 300*600）+HHLA0810 10W 300*300mm</t>
    <phoneticPr fontId="12" type="noConversion"/>
  </si>
  <si>
    <t>电视</t>
    <phoneticPr fontId="12" type="noConversion"/>
  </si>
  <si>
    <t>小米</t>
    <phoneticPr fontId="12" type="noConversion"/>
  </si>
  <si>
    <t>小米4A 65吋（满5799-1000-80）</t>
    <phoneticPr fontId="12" type="noConversion"/>
  </si>
  <si>
    <t>1）松下厨房灯*1个；
2）松下卫生间灯*1个；
3）使用50元优惠券</t>
    <phoneticPr fontId="12" type="noConversion"/>
  </si>
  <si>
    <t>开关插座</t>
    <phoneticPr fontId="12" type="noConversion"/>
  </si>
  <si>
    <t>下水</t>
    <phoneticPr fontId="12" type="noConversion"/>
  </si>
  <si>
    <t>潜水艇</t>
    <phoneticPr fontId="12" type="noConversion"/>
  </si>
  <si>
    <t>1）松下双开单控*1个；
2）松下单开双控*4个；
3）松下16A插座带开关*6；
4）潜水艇全铜下水器*1；
5）潜水艇下水管*1；
6）立白洗洁精（凑单）
7）满200-50-9</t>
    <phoneticPr fontId="12" type="noConversion"/>
  </si>
  <si>
    <t>松下卧室灯*2（满299-50）两个账号下单，共减100元</t>
    <phoneticPr fontId="12" type="noConversion"/>
  </si>
  <si>
    <t>餐具</t>
    <phoneticPr fontId="12" type="noConversion"/>
  </si>
  <si>
    <t>韵唐</t>
    <phoneticPr fontId="12" type="noConversion"/>
  </si>
  <si>
    <t>30头+8寸汤盘*4+6寸碗*2
满399-200元</t>
    <phoneticPr fontId="12" type="noConversion"/>
  </si>
  <si>
    <t>玻璃胶</t>
    <phoneticPr fontId="12" type="noConversion"/>
  </si>
  <si>
    <t>汉高百得</t>
    <phoneticPr fontId="12" type="noConversion"/>
  </si>
  <si>
    <t>德高</t>
    <phoneticPr fontId="12" type="noConversion"/>
  </si>
  <si>
    <t>止逆阀</t>
    <phoneticPr fontId="12" type="noConversion"/>
  </si>
  <si>
    <t>淘宝（已到货）</t>
    <phoneticPr fontId="12" type="noConversion"/>
  </si>
  <si>
    <t>地漏三角阀</t>
    <phoneticPr fontId="12" type="noConversion"/>
  </si>
  <si>
    <t>纯铜地漏*4+纯铜三角阀*7</t>
    <phoneticPr fontId="12" type="noConversion"/>
  </si>
  <si>
    <t>亚马逊（已到货）</t>
    <phoneticPr fontId="12" type="noConversion"/>
  </si>
  <si>
    <t>坐便器+浴室柜+淋浴柱+立柱面盆+下水</t>
    <phoneticPr fontId="12" type="noConversion"/>
  </si>
  <si>
    <t>拖把池下水</t>
    <phoneticPr fontId="12" type="noConversion"/>
  </si>
  <si>
    <t>套</t>
    <phoneticPr fontId="12" type="noConversion"/>
  </si>
  <si>
    <t>潜水艇（与开关插座凑单减50元）</t>
    <phoneticPr fontId="12" type="noConversion"/>
  </si>
  <si>
    <t>卫生间扶手</t>
    <phoneticPr fontId="12" type="noConversion"/>
  </si>
  <si>
    <t>580mm长扶手*2个</t>
    <phoneticPr fontId="12" type="noConversion"/>
  </si>
  <si>
    <t>京东（已到货）</t>
    <phoneticPr fontId="12" type="noConversion"/>
  </si>
  <si>
    <t>松下（Panasonic）HHLA1624CBW01 LED吸顶灯印花卧室书房灯具灯 19W</t>
    <phoneticPr fontId="12" type="noConversion"/>
  </si>
  <si>
    <t>小米4A 65吋（满4999-300-80）</t>
    <phoneticPr fontId="12" type="noConversion"/>
  </si>
  <si>
    <t>京东（已到货）</t>
    <phoneticPr fontId="12" type="noConversion"/>
  </si>
  <si>
    <t>淘宝（已到货）</t>
    <phoneticPr fontId="12" type="noConversion"/>
  </si>
  <si>
    <t>灯具</t>
    <phoneticPr fontId="12" type="noConversion"/>
  </si>
  <si>
    <t>松下</t>
    <phoneticPr fontId="12" type="noConversion"/>
  </si>
  <si>
    <t>书房吸顶灯19W（满169-50）</t>
    <phoneticPr fontId="12" type="noConversion"/>
  </si>
  <si>
    <t>镜子</t>
    <phoneticPr fontId="12" type="noConversion"/>
  </si>
  <si>
    <t>卡贝浴室旋转化妆镜</t>
    <phoneticPr fontId="12" type="noConversion"/>
  </si>
  <si>
    <t>拆墙</t>
    <phoneticPr fontId="12" type="noConversion"/>
  </si>
  <si>
    <t>半包费用明细表</t>
    <phoneticPr fontId="12" type="noConversion"/>
  </si>
  <si>
    <t>1）保温层铲除；
2）主卧及次卧飘窗拆除；
3）大阳台门洞扩大；
4）大阳台生活阳台墙面打毛；
5）墙面及顶面墙皮铲除；
6）大阳台生活阳台门拆除；
7）清渣。</t>
    <phoneticPr fontId="12" type="noConversion"/>
  </si>
  <si>
    <t>水电材料</t>
    <phoneticPr fontId="12" type="noConversion"/>
  </si>
  <si>
    <t>封阳台开窗</t>
    <phoneticPr fontId="12" type="noConversion"/>
  </si>
  <si>
    <t>个</t>
    <phoneticPr fontId="12" type="noConversion"/>
  </si>
  <si>
    <t>厨房门</t>
    <phoneticPr fontId="12" type="noConversion"/>
  </si>
  <si>
    <t>客厅阳台门</t>
    <phoneticPr fontId="12" type="noConversion"/>
  </si>
  <si>
    <t>卫生间铝合金门</t>
    <phoneticPr fontId="12" type="noConversion"/>
  </si>
  <si>
    <t>套</t>
    <phoneticPr fontId="12" type="noConversion"/>
  </si>
  <si>
    <t>含单边门套、装饰隔条及把手</t>
    <phoneticPr fontId="12" type="noConversion"/>
  </si>
  <si>
    <t>铝合金门套</t>
    <phoneticPr fontId="12" type="noConversion"/>
  </si>
  <si>
    <t>盼盼门安装</t>
    <phoneticPr fontId="12" type="noConversion"/>
  </si>
  <si>
    <t>木梯子、泥桶</t>
    <phoneticPr fontId="12" type="noConversion"/>
  </si>
  <si>
    <t>木梯子60元，泥桶4元/个*2个</t>
    <phoneticPr fontId="12" type="noConversion"/>
  </si>
  <si>
    <t>三位空开盒</t>
    <phoneticPr fontId="12" type="noConversion"/>
  </si>
  <si>
    <t>增加管线材料</t>
    <phoneticPr fontId="12" type="noConversion"/>
  </si>
  <si>
    <t>大号泥桶</t>
    <phoneticPr fontId="12" type="noConversion"/>
  </si>
  <si>
    <t>Ronshen 容声 BCD-636WD11HPA  对开门冰箱 636L</t>
    <phoneticPr fontId="12" type="noConversion"/>
  </si>
  <si>
    <t>冰箱</t>
    <phoneticPr fontId="12" type="noConversion"/>
  </si>
  <si>
    <t>容声</t>
    <phoneticPr fontId="12" type="noConversion"/>
  </si>
  <si>
    <t>容声 BCD-636WD11HPA 636升 矢量变频 省电节能 （收货后返1万京豆）</t>
    <phoneticPr fontId="12" type="noConversion"/>
  </si>
  <si>
    <t>瓷砖胶</t>
    <phoneticPr fontId="12" type="noConversion"/>
  </si>
  <si>
    <t>淘宝买3包</t>
    <phoneticPr fontId="12" type="noConversion"/>
  </si>
  <si>
    <t>详情</t>
    <phoneticPr fontId="12" type="noConversion"/>
  </si>
  <si>
    <t>已收货</t>
    <phoneticPr fontId="12" type="noConversion"/>
  </si>
  <si>
    <t>时间</t>
    <phoneticPr fontId="12" type="noConversion"/>
  </si>
  <si>
    <t>项</t>
    <phoneticPr fontId="12" type="noConversion"/>
  </si>
  <si>
    <t>淘宝（已到货）</t>
    <phoneticPr fontId="12" type="noConversion"/>
  </si>
  <si>
    <t>水泥沙</t>
    <phoneticPr fontId="12" type="noConversion"/>
  </si>
  <si>
    <t>水泥27元*2包+沙4元*20包=134元</t>
    <phoneticPr fontId="12" type="noConversion"/>
  </si>
  <si>
    <t>付款方式</t>
    <phoneticPr fontId="12" type="noConversion"/>
  </si>
  <si>
    <t>现金</t>
    <phoneticPr fontId="12" type="noConversion"/>
  </si>
  <si>
    <t>微信转账</t>
    <phoneticPr fontId="12" type="noConversion"/>
  </si>
  <si>
    <t>瓷砖加工</t>
    <phoneticPr fontId="12" type="noConversion"/>
  </si>
  <si>
    <t>泥工</t>
    <phoneticPr fontId="12" type="noConversion"/>
  </si>
  <si>
    <t>烟管、热水器安装</t>
    <phoneticPr fontId="12" type="noConversion"/>
  </si>
  <si>
    <t>吊顶安装</t>
    <phoneticPr fontId="12" type="noConversion"/>
  </si>
  <si>
    <t>保利爱康20热熔管2根</t>
    <phoneticPr fontId="12" type="noConversion"/>
  </si>
  <si>
    <t>水泥27元*1包+沙4元*10包=67元</t>
    <phoneticPr fontId="12" type="noConversion"/>
  </si>
  <si>
    <t>水电工钱</t>
    <phoneticPr fontId="12" type="noConversion"/>
  </si>
  <si>
    <t>支付宝</t>
    <phoneticPr fontId="12" type="noConversion"/>
  </si>
  <si>
    <t>封阳台增加</t>
    <phoneticPr fontId="12" type="noConversion"/>
  </si>
  <si>
    <t>商家误下单，原定65型，下成100型纱窗一体，增加1500元</t>
    <phoneticPr fontId="12" type="noConversion"/>
  </si>
  <si>
    <t>1）承诺签合同时赠送茶具一套（已拿6月9日）
2）误下单赠送2把雨伞</t>
    <phoneticPr fontId="12" type="noConversion"/>
  </si>
  <si>
    <t>木工材料</t>
    <phoneticPr fontId="12" type="noConversion"/>
  </si>
  <si>
    <t>材料费970元，运输及上楼费用100元</t>
    <phoneticPr fontId="12" type="noConversion"/>
  </si>
  <si>
    <t>信用卡</t>
    <phoneticPr fontId="12" type="noConversion"/>
  </si>
  <si>
    <t>项</t>
    <phoneticPr fontId="12" type="noConversion"/>
  </si>
  <si>
    <t>泥工材料</t>
    <phoneticPr fontId="12" type="noConversion"/>
  </si>
  <si>
    <t>清渣</t>
    <phoneticPr fontId="12" type="noConversion"/>
  </si>
  <si>
    <t>清渣费用</t>
    <phoneticPr fontId="12" type="noConversion"/>
  </si>
  <si>
    <t>水泥砂</t>
    <phoneticPr fontId="12" type="noConversion"/>
  </si>
  <si>
    <t>水泥27*15包+沙4*120包+小砖0.5*135块=952元</t>
    <phoneticPr fontId="12" type="noConversion"/>
  </si>
  <si>
    <t>滚筒刷20*1个，老妈给现金</t>
    <phoneticPr fontId="12" type="noConversion"/>
  </si>
  <si>
    <t>德高瓷砖胶三型65*6包+胶水60*2桶+十字卡5*6包+网子70*1卷=610元</t>
    <phoneticPr fontId="12" type="noConversion"/>
  </si>
  <si>
    <t>碳包</t>
    <phoneticPr fontId="12" type="noConversion"/>
  </si>
  <si>
    <t>绿驰</t>
    <phoneticPr fontId="12" type="noConversion"/>
  </si>
  <si>
    <t>6kg炭包*2+3kg碳包+20樟脑丸</t>
    <phoneticPr fontId="12" type="noConversion"/>
  </si>
  <si>
    <t>衣架</t>
    <phoneticPr fontId="12" type="noConversion"/>
  </si>
  <si>
    <t>木衣架*6*15+塑胶衣架*10</t>
    <phoneticPr fontId="12" type="noConversion"/>
  </si>
  <si>
    <t>木工人工费</t>
    <phoneticPr fontId="12" type="noConversion"/>
  </si>
  <si>
    <t>人工费</t>
    <phoneticPr fontId="12" type="noConversion"/>
  </si>
  <si>
    <t>美纹纸、灯泡</t>
    <phoneticPr fontId="12" type="noConversion"/>
  </si>
  <si>
    <t>美纹纸2*3卷=6元，200W灯泡1个</t>
    <phoneticPr fontId="12" type="noConversion"/>
  </si>
  <si>
    <t>装修押金</t>
    <phoneticPr fontId="12" type="noConversion"/>
  </si>
  <si>
    <t>装修完成后退款</t>
    <phoneticPr fontId="12" type="noConversion"/>
  </si>
  <si>
    <t>出入证押金</t>
    <phoneticPr fontId="12" type="noConversion"/>
  </si>
  <si>
    <t>6月6日-6月7日</t>
    <phoneticPr fontId="12" type="noConversion"/>
  </si>
  <si>
    <t>工期时间</t>
    <phoneticPr fontId="35" type="noConversion"/>
  </si>
  <si>
    <t>物业办理手续</t>
    <phoneticPr fontId="35" type="noConversion"/>
  </si>
  <si>
    <t>项目</t>
    <phoneticPr fontId="35" type="noConversion"/>
  </si>
  <si>
    <t>拆砌墙保温层铲除</t>
    <phoneticPr fontId="35" type="noConversion"/>
  </si>
  <si>
    <t>6月6日-6月7日</t>
    <phoneticPr fontId="35" type="noConversion"/>
  </si>
  <si>
    <t>水电材料进场</t>
    <phoneticPr fontId="35" type="noConversion"/>
  </si>
  <si>
    <t>水电工进场弹线</t>
    <phoneticPr fontId="35" type="noConversion"/>
  </si>
  <si>
    <t>水电开槽</t>
    <phoneticPr fontId="35" type="noConversion"/>
  </si>
  <si>
    <t>6月12日-6月13日</t>
    <phoneticPr fontId="35" type="noConversion"/>
  </si>
  <si>
    <t>水电走线</t>
    <phoneticPr fontId="35" type="noConversion"/>
  </si>
  <si>
    <t>6月14日-6月15日</t>
    <phoneticPr fontId="35" type="noConversion"/>
  </si>
  <si>
    <t>木工材料</t>
    <phoneticPr fontId="35" type="noConversion"/>
  </si>
  <si>
    <t>泥工进场包水管</t>
    <phoneticPr fontId="35" type="noConversion"/>
  </si>
  <si>
    <t>泥工粉墙</t>
    <phoneticPr fontId="35" type="noConversion"/>
  </si>
  <si>
    <t>阳台框安装</t>
    <phoneticPr fontId="35" type="noConversion"/>
  </si>
  <si>
    <t>封阳台量尺寸</t>
    <phoneticPr fontId="35" type="noConversion"/>
  </si>
  <si>
    <t>客餐厅墙、顶面基层抹灰处理</t>
    <phoneticPr fontId="12" type="noConversion"/>
  </si>
  <si>
    <t>主卧墙、顶面基层抹灰处理</t>
    <phoneticPr fontId="12" type="noConversion"/>
  </si>
  <si>
    <t>次卧墙、顶面基层抹灰处理</t>
    <phoneticPr fontId="12" type="noConversion"/>
  </si>
  <si>
    <t>书房墙、顶面基层抹灰处理</t>
    <phoneticPr fontId="12" type="noConversion"/>
  </si>
  <si>
    <t>大阳台顶面基层抹灰处理</t>
    <phoneticPr fontId="12" type="noConversion"/>
  </si>
  <si>
    <t>生活阳台顶面基层抹灰处理</t>
    <phoneticPr fontId="12" type="noConversion"/>
  </si>
  <si>
    <t>一、油漆工工程</t>
    <phoneticPr fontId="12" type="noConversion"/>
  </si>
  <si>
    <t>腻子粉</t>
    <phoneticPr fontId="12" type="noConversion"/>
  </si>
  <si>
    <t>袋</t>
    <phoneticPr fontId="12" type="noConversion"/>
  </si>
  <si>
    <t>过道吊顶及房间石膏板材料费</t>
    <phoneticPr fontId="12" type="noConversion"/>
  </si>
  <si>
    <t>木工工钱</t>
    <phoneticPr fontId="12" type="noConversion"/>
  </si>
  <si>
    <t>三、木工工程</t>
    <phoneticPr fontId="12" type="noConversion"/>
  </si>
  <si>
    <t>二、泥工工程</t>
    <phoneticPr fontId="12" type="noConversion"/>
  </si>
  <si>
    <t>地面找平</t>
    <phoneticPr fontId="12" type="noConversion"/>
  </si>
  <si>
    <t>贴砖</t>
    <phoneticPr fontId="12" type="noConversion"/>
  </si>
  <si>
    <t>粉墙</t>
    <phoneticPr fontId="12" type="noConversion"/>
  </si>
  <si>
    <t>水泥砂浆辅料</t>
    <phoneticPr fontId="12" type="noConversion"/>
  </si>
  <si>
    <t>项</t>
    <phoneticPr fontId="12" type="noConversion"/>
  </si>
  <si>
    <t>保温层铲除飘窗拆除刮灰打毛墙体拆除清渣</t>
    <phoneticPr fontId="12" type="noConversion"/>
  </si>
  <si>
    <t>水电材料费</t>
    <phoneticPr fontId="12" type="noConversion"/>
  </si>
  <si>
    <t>水电工钱</t>
    <phoneticPr fontId="12" type="noConversion"/>
  </si>
  <si>
    <t>四、基础工程</t>
    <phoneticPr fontId="12" type="noConversion"/>
  </si>
  <si>
    <t>五、水电路工程</t>
    <phoneticPr fontId="12" type="noConversion"/>
  </si>
  <si>
    <t>合计</t>
    <phoneticPr fontId="12" type="noConversion"/>
  </si>
  <si>
    <t>卧室台灯</t>
    <phoneticPr fontId="12" type="noConversion"/>
  </si>
  <si>
    <t>松下（Panasonic）台灯LED触摸六段/连续调光阅读工作学习简约台灯 HHLT0620</t>
    <phoneticPr fontId="12" type="noConversion"/>
  </si>
  <si>
    <t>松下卧室台灯*2,99元/个，凑单减10元</t>
    <phoneticPr fontId="12" type="noConversion"/>
  </si>
  <si>
    <t>欧神诺</t>
    <phoneticPr fontId="12" type="noConversion"/>
  </si>
  <si>
    <t>水电材料费
剩余材料拿去店里退款170元（已减）6月26日</t>
    <phoneticPr fontId="12" type="noConversion"/>
  </si>
  <si>
    <t>木工进场</t>
    <phoneticPr fontId="35" type="noConversion"/>
  </si>
  <si>
    <t>木工完工</t>
    <phoneticPr fontId="35" type="noConversion"/>
  </si>
  <si>
    <t>潜水艇 淋浴区1个，干区1个，洗衣机1个</t>
    <phoneticPr fontId="12" type="noConversion"/>
  </si>
  <si>
    <t>膏灰</t>
    <phoneticPr fontId="12" type="noConversion"/>
  </si>
  <si>
    <t>膏灰10*2袋=20元</t>
    <phoneticPr fontId="12" type="noConversion"/>
  </si>
  <si>
    <t>水泥27*15包+沙4*50包=605元</t>
    <phoneticPr fontId="12" type="noConversion"/>
  </si>
  <si>
    <t>现金</t>
    <phoneticPr fontId="12" type="noConversion"/>
  </si>
  <si>
    <t>美缝工具</t>
    <phoneticPr fontId="12" type="noConversion"/>
  </si>
  <si>
    <t>阴阳角压条+铲刀*2+刀片*1盒</t>
    <phoneticPr fontId="12" type="noConversion"/>
  </si>
  <si>
    <t>淘宝（已到货）</t>
    <phoneticPr fontId="12" type="noConversion"/>
  </si>
  <si>
    <t>美缝</t>
    <phoneticPr fontId="12" type="noConversion"/>
  </si>
  <si>
    <t>移燃气表</t>
    <phoneticPr fontId="12" type="noConversion"/>
  </si>
  <si>
    <t>项</t>
    <phoneticPr fontId="12" type="noConversion"/>
  </si>
  <si>
    <t>原价1168，更换龙头补差价170元</t>
    <phoneticPr fontId="12" type="noConversion"/>
  </si>
  <si>
    <t>泥工卫生间墙面防水</t>
    <phoneticPr fontId="35" type="noConversion"/>
  </si>
  <si>
    <t>泥工贴厨房墙砖卫生间墙砖阳台防水</t>
    <phoneticPr fontId="35" type="noConversion"/>
  </si>
  <si>
    <t>序号</t>
    <phoneticPr fontId="35" type="noConversion"/>
  </si>
  <si>
    <t>时间</t>
    <phoneticPr fontId="35" type="noConversion"/>
  </si>
  <si>
    <t>备注</t>
    <phoneticPr fontId="35" type="noConversion"/>
  </si>
  <si>
    <t>移燃气表</t>
    <phoneticPr fontId="35" type="noConversion"/>
  </si>
  <si>
    <t>墙地砖</t>
    <phoneticPr fontId="12" type="noConversion"/>
  </si>
  <si>
    <t>排刷中号</t>
    <phoneticPr fontId="12" type="noConversion"/>
  </si>
  <si>
    <t xml:space="preserve">容声 BCD-636WD11HPA 636升 矢量变频 省电节能 </t>
    <phoneticPr fontId="12" type="noConversion"/>
  </si>
  <si>
    <t>锅具</t>
    <phoneticPr fontId="12" type="noConversion"/>
  </si>
  <si>
    <t>珍珠生活日本进口炒锅原装无涂层熟铁锅轻巧家用锅具30cmH-2530</t>
    <phoneticPr fontId="12" type="noConversion"/>
  </si>
  <si>
    <t>珍珠生活日本30cm炒锅 玻璃透明锅盖 不锈钢边缘钢圈设计</t>
    <phoneticPr fontId="12" type="noConversion"/>
  </si>
  <si>
    <t>补砖到货</t>
    <phoneticPr fontId="35" type="noConversion"/>
  </si>
  <si>
    <t>泥工贴阳台厨房墙砖卫生间阳台地面防水</t>
    <phoneticPr fontId="35" type="noConversion"/>
  </si>
  <si>
    <t>德高瓷砖胶二型45*1包</t>
    <phoneticPr fontId="12" type="noConversion"/>
  </si>
  <si>
    <t>倒角刀片</t>
    <phoneticPr fontId="12" type="noConversion"/>
  </si>
  <si>
    <t>泥工倒角费</t>
    <phoneticPr fontId="12" type="noConversion"/>
  </si>
  <si>
    <t>工厂加工缺少倒角，泥工现场加工（费用欧神诺瓷砖微信已转60元）</t>
    <phoneticPr fontId="12" type="noConversion"/>
  </si>
  <si>
    <t>1）600*600加工砖29.9元/片，140片=4186元；
2）110片加工300*600共220片，其中48片300单边倒45°角，32片加工300*300共120片，加工费466元+38.4元，合计4690元；
3）300双边倒角32片+600单边倒角20片+300单边倒角6片=132元；
4）600*600加工砖29.9元/片，50片=1495元；
5）17片加工300*600共34片；
6）19片加工300*600共38片，300单边倒角；
7）9片加工300*300共36片，300对边双边倒角；
8）5片加工300*600共10片，600双边对边倒角；
9）加工费321.6元+1495=1816.6元；
10）4月15日预存5000返现500,5000-4690-132=178元余款，1816.6-178=1638元，SVIP打97折，1638-49=1589元；
11）合计4500+1589=6089元。
12）缺少6米倒角，工厂漏加工，欧神诺瓷砖退60元加工费，已给泥工（微信转账）</t>
    <phoneticPr fontId="12" type="noConversion"/>
  </si>
  <si>
    <t>无赠品，乱加价，大坑商户，见一次黑一次</t>
    <phoneticPr fontId="12" type="noConversion"/>
  </si>
  <si>
    <t>物业费</t>
    <phoneticPr fontId="12" type="noConversion"/>
  </si>
  <si>
    <t>刷卡</t>
    <phoneticPr fontId="12" type="noConversion"/>
  </si>
  <si>
    <t>预存水费</t>
    <phoneticPr fontId="12" type="noConversion"/>
  </si>
  <si>
    <t>预存电费</t>
    <phoneticPr fontId="12" type="noConversion"/>
  </si>
  <si>
    <t>住宅专项维修基金</t>
    <phoneticPr fontId="12" type="noConversion"/>
  </si>
  <si>
    <t>装修垃圾清运费</t>
    <phoneticPr fontId="12" type="noConversion"/>
  </si>
  <si>
    <t>出入证工本费</t>
    <phoneticPr fontId="12" type="noConversion"/>
  </si>
  <si>
    <t>悍高水槽（已定悍高966元，型号：953141Z）升级龙头，加170元</t>
    <phoneticPr fontId="12" type="noConversion"/>
  </si>
  <si>
    <t>清渣</t>
    <phoneticPr fontId="12" type="noConversion"/>
  </si>
  <si>
    <t>清渣费用</t>
    <phoneticPr fontId="12" type="noConversion"/>
  </si>
  <si>
    <t>装修花费</t>
    <phoneticPr fontId="12" type="noConversion"/>
  </si>
  <si>
    <t>半包费用</t>
    <phoneticPr fontId="12" type="noConversion"/>
  </si>
  <si>
    <t>主材费用</t>
    <phoneticPr fontId="12" type="noConversion"/>
  </si>
  <si>
    <t>房屋费用</t>
    <phoneticPr fontId="12" type="noConversion"/>
  </si>
  <si>
    <t>人工及辅材</t>
    <phoneticPr fontId="12" type="noConversion"/>
  </si>
  <si>
    <t>家具家电</t>
    <phoneticPr fontId="12" type="noConversion"/>
  </si>
  <si>
    <t>生活用品</t>
    <phoneticPr fontId="12" type="noConversion"/>
  </si>
  <si>
    <t>分项</t>
    <phoneticPr fontId="12" type="noConversion"/>
  </si>
  <si>
    <t>价格（元）</t>
    <phoneticPr fontId="12" type="noConversion"/>
  </si>
  <si>
    <t>说明</t>
    <phoneticPr fontId="12" type="noConversion"/>
  </si>
  <si>
    <t>主材部分</t>
    <phoneticPr fontId="12" type="noConversion"/>
  </si>
  <si>
    <t>家电家具部分</t>
    <phoneticPr fontId="12" type="noConversion"/>
  </si>
  <si>
    <t>生活用品部分</t>
    <phoneticPr fontId="12" type="noConversion"/>
  </si>
  <si>
    <t>房屋费用明细表</t>
    <phoneticPr fontId="12" type="noConversion"/>
  </si>
  <si>
    <t>生活用品</t>
    <phoneticPr fontId="12" type="noConversion"/>
  </si>
  <si>
    <t>家具家电</t>
    <phoneticPr fontId="12" type="noConversion"/>
  </si>
  <si>
    <t>主材</t>
    <phoneticPr fontId="12" type="noConversion"/>
  </si>
  <si>
    <t>小计</t>
    <phoneticPr fontId="12" type="noConversion"/>
  </si>
  <si>
    <t>退货费用明细表</t>
    <phoneticPr fontId="12" type="noConversion"/>
  </si>
  <si>
    <t>淘宝（已到货）</t>
    <phoneticPr fontId="12" type="noConversion"/>
  </si>
  <si>
    <t>泥工贴厨房地砖，卫生间阳台墙砖</t>
    <phoneticPr fontId="35" type="noConversion"/>
  </si>
  <si>
    <t>盼盼安装防盗门</t>
    <phoneticPr fontId="35" type="noConversion"/>
  </si>
  <si>
    <t>泥工贴卫生间阳台地砖，防盗门灌浆</t>
    <phoneticPr fontId="35" type="noConversion"/>
  </si>
  <si>
    <t>泥工全房找平</t>
    <phoneticPr fontId="35" type="noConversion"/>
  </si>
  <si>
    <t>开关插座挂件灯具安装</t>
    <phoneticPr fontId="12" type="noConversion"/>
  </si>
  <si>
    <t>制作工期40天</t>
    <phoneticPr fontId="12" type="noConversion"/>
  </si>
  <si>
    <t>石材</t>
    <phoneticPr fontId="12" type="noConversion"/>
  </si>
  <si>
    <t>门槛石窗台石</t>
    <phoneticPr fontId="12" type="noConversion"/>
  </si>
  <si>
    <t>门槛石及窗台石</t>
    <phoneticPr fontId="12" type="noConversion"/>
  </si>
  <si>
    <t>汉丰（小区门口）</t>
    <phoneticPr fontId="12" type="noConversion"/>
  </si>
  <si>
    <t>门槛石及窗台大理石（含磨边吊边）</t>
    <phoneticPr fontId="12" type="noConversion"/>
  </si>
  <si>
    <t>防盗门（含五金件）</t>
    <phoneticPr fontId="12" type="noConversion"/>
  </si>
  <si>
    <t>旧防盗门拆除</t>
    <phoneticPr fontId="12" type="noConversion"/>
  </si>
  <si>
    <t>项</t>
    <phoneticPr fontId="12" type="noConversion"/>
  </si>
  <si>
    <t>蚂蚁花呗</t>
    <phoneticPr fontId="12" type="noConversion"/>
  </si>
  <si>
    <t>防水</t>
    <phoneticPr fontId="12" type="noConversion"/>
  </si>
  <si>
    <t>德高防水聚划算购买</t>
    <phoneticPr fontId="12" type="noConversion"/>
  </si>
  <si>
    <t>泥工工钱</t>
    <phoneticPr fontId="12" type="noConversion"/>
  </si>
  <si>
    <t>银行卡</t>
    <phoneticPr fontId="12" type="noConversion"/>
  </si>
  <si>
    <t>软管</t>
    <phoneticPr fontId="12" type="noConversion"/>
  </si>
  <si>
    <t>潜水艇</t>
    <phoneticPr fontId="12" type="noConversion"/>
  </si>
  <si>
    <t>潜水艇软管2根30cm</t>
    <phoneticPr fontId="12" type="noConversion"/>
  </si>
  <si>
    <t>入户门套</t>
    <phoneticPr fontId="12" type="noConversion"/>
  </si>
  <si>
    <t>书房窗套</t>
    <phoneticPr fontId="12" type="noConversion"/>
  </si>
  <si>
    <t>松下卧室台灯*1,99元/个，减3元</t>
    <phoneticPr fontId="12" type="noConversion"/>
  </si>
  <si>
    <t>水泥27*14包+沙4*110包=830元，剩余25*3+3=78退掉</t>
    <phoneticPr fontId="12" type="noConversion"/>
  </si>
  <si>
    <t>退款老妈转微信我</t>
    <phoneticPr fontId="12" type="noConversion"/>
  </si>
  <si>
    <t>原价5480，安装止逆阀25元7月20日</t>
    <phoneticPr fontId="12" type="noConversion"/>
  </si>
  <si>
    <t>盼盼房门量尺寸</t>
    <phoneticPr fontId="35" type="noConversion"/>
  </si>
  <si>
    <t>热水器安装、抽油烟机管道预埋、阳台玻璃安装</t>
    <phoneticPr fontId="35" type="noConversion"/>
  </si>
  <si>
    <t>集成吊顶铝扣板安装</t>
    <phoneticPr fontId="35" type="noConversion"/>
  </si>
  <si>
    <t>168元/平方全包价，齐家97折，店家95折。按8.5平方计算付款，实际使用99片，差价免了。</t>
    <phoneticPr fontId="12" type="noConversion"/>
  </si>
  <si>
    <t>抽油烟机安装止逆阀安装费</t>
    <phoneticPr fontId="12" type="noConversion"/>
  </si>
  <si>
    <t>项</t>
    <phoneticPr fontId="12" type="noConversion"/>
  </si>
  <si>
    <t xml:space="preserve">1）贴砖：
阳台：19.17+2.55=21.72*40元=868
厨房：23.28+5.425=28.7*40=1148
卫生间：18.72+3.7625=22.48*40=899
2）粉墙：
主卧：4.2+3.4+0.7=8.3
小房间：2.4+2.85=5.25
进门房：2.75+0.65=3.4
大阳台：3.7
小阳台：2.65
合计：23.3*2.7*15=943
3）大阳台小阳台刮灰：200元
4）4个柱子：600元
5）卫生间阳台防水：300元
6）3个门槛石：100元
7）地面找平：1000元
</t>
    <phoneticPr fontId="12" type="noConversion"/>
  </si>
  <si>
    <t>全屋定制精量尺寸</t>
    <phoneticPr fontId="35" type="noConversion"/>
  </si>
  <si>
    <t>淋浴间上门量尺寸</t>
    <phoneticPr fontId="35" type="noConversion"/>
  </si>
  <si>
    <t>铝合金门上门复尺寸</t>
    <phoneticPr fontId="35" type="noConversion"/>
  </si>
  <si>
    <t>浴霸安装</t>
    <phoneticPr fontId="35" type="noConversion"/>
  </si>
  <si>
    <t>材料</t>
    <phoneticPr fontId="12" type="noConversion"/>
  </si>
  <si>
    <t>泡沫胶</t>
    <phoneticPr fontId="12" type="noConversion"/>
  </si>
  <si>
    <t>安装费付现金</t>
    <phoneticPr fontId="12" type="noConversion"/>
  </si>
  <si>
    <t>珍珠生活</t>
    <phoneticPr fontId="12" type="noConversion"/>
  </si>
  <si>
    <t>米桶</t>
    <phoneticPr fontId="12" type="noConversion"/>
  </si>
  <si>
    <t>日本ASVEL</t>
    <phoneticPr fontId="12" type="noConversion"/>
  </si>
  <si>
    <t>拖鞋</t>
    <phoneticPr fontId="12" type="noConversion"/>
  </si>
  <si>
    <t>LOVO</t>
    <phoneticPr fontId="12" type="noConversion"/>
  </si>
  <si>
    <t>日本ASVEL 阿司倍鹭 计量带盖防虫防潮米桶 密封带盒米箱 杂粮收纳箱 (12kg)</t>
    <phoneticPr fontId="12" type="noConversion"/>
  </si>
  <si>
    <t>lovo家纺罗莱生活出品防滑轻盈简约家居拖竖条纹浴室拖JTX91 3双</t>
    <phoneticPr fontId="12" type="noConversion"/>
  </si>
  <si>
    <t>亚马逊（已到货）</t>
    <phoneticPr fontId="12" type="noConversion"/>
  </si>
  <si>
    <t>淘宝（已到货）</t>
    <phoneticPr fontId="12" type="noConversion"/>
  </si>
  <si>
    <t>油漆材料</t>
    <phoneticPr fontId="12" type="noConversion"/>
  </si>
  <si>
    <t>微信转账</t>
    <phoneticPr fontId="12" type="noConversion"/>
  </si>
  <si>
    <t>油漆工钱</t>
    <phoneticPr fontId="12" type="noConversion"/>
  </si>
  <si>
    <t>美缝剂</t>
    <phoneticPr fontId="12" type="noConversion"/>
  </si>
  <si>
    <t>德高</t>
    <phoneticPr fontId="12" type="noConversion"/>
  </si>
  <si>
    <t>85元/支*8支=680元</t>
    <phoneticPr fontId="12" type="noConversion"/>
  </si>
  <si>
    <t>燃气表</t>
    <phoneticPr fontId="12" type="noConversion"/>
  </si>
  <si>
    <t>移燃气表</t>
    <phoneticPr fontId="12" type="noConversion"/>
  </si>
  <si>
    <t>现金支付</t>
    <phoneticPr fontId="12" type="noConversion"/>
  </si>
  <si>
    <r>
      <t>1)房门YPA7706*3套*1160元（原价1100元/套，超厚加60元/套）=3480元；
2）入户门套2.18*2+0.98=5.34*100元（三方单包）=534元；</t>
    </r>
    <r>
      <rPr>
        <sz val="10"/>
        <color rgb="FFFF0000"/>
        <rFont val="宋体"/>
        <family val="3"/>
        <charset val="134"/>
      </rPr>
      <t>实际尺寸：2.05*2+0.96=5.06*100=506元</t>
    </r>
    <r>
      <rPr>
        <sz val="10"/>
        <rFont val="宋体"/>
        <family val="3"/>
        <charset val="134"/>
      </rPr>
      <t xml:space="preserve">
3）阳台门套2.35*2+2.25=6.95*130元（三方双包）=903.5元；</t>
    </r>
    <r>
      <rPr>
        <sz val="10"/>
        <color rgb="FFFF0000"/>
        <rFont val="宋体"/>
        <family val="3"/>
        <charset val="134"/>
      </rPr>
      <t>实际尺寸：2.33*2+2.16=6.82*130=886.6元</t>
    </r>
    <r>
      <rPr>
        <sz val="10"/>
        <rFont val="宋体"/>
        <family val="3"/>
        <charset val="134"/>
      </rPr>
      <t xml:space="preserve">
4）书房窗套1.45*2+1.2=4.1*100元（三方单包）=410元；</t>
    </r>
    <r>
      <rPr>
        <sz val="10"/>
        <color rgb="FFFF0000"/>
        <rFont val="宋体"/>
        <family val="3"/>
        <charset val="134"/>
      </rPr>
      <t>实际尺寸：1.37*2+1.13=3.87*100=387元</t>
    </r>
    <r>
      <rPr>
        <sz val="10"/>
        <rFont val="宋体"/>
        <family val="3"/>
        <charset val="134"/>
      </rPr>
      <t xml:space="preserve">
5）盼盼防盗门43N*1*2580=2580元；
6）合计7907.5，尾款：7907.5-1000（4月15日订金）=6907.5元；
7）齐家SVIP9.7折后付尾款6699元；
8）木门及门套35天左右发货安装，防盗门泥工退场前3天联系安装。
9）安装费100元，灌浆费200元（未让其灌浆），旧门拖走50元（未让其拖走）
10）门套未按实际尺寸退余款（差价60元，懒得扯了）
11）找楼下清渣拖走80元搬运费（已付）</t>
    </r>
    <phoneticPr fontId="12" type="noConversion"/>
  </si>
  <si>
    <t>接线板</t>
    <phoneticPr fontId="12" type="noConversion"/>
  </si>
  <si>
    <t>两脚2项二相插头</t>
    <phoneticPr fontId="12" type="noConversion"/>
  </si>
  <si>
    <t>全屋定制下单</t>
    <phoneticPr fontId="35" type="noConversion"/>
  </si>
  <si>
    <t>增加穿鞋凳下单</t>
    <phoneticPr fontId="35" type="noConversion"/>
  </si>
  <si>
    <t>油漆工上门列单子</t>
    <phoneticPr fontId="35" type="noConversion"/>
  </si>
  <si>
    <t>油漆工开工</t>
    <phoneticPr fontId="35" type="noConversion"/>
  </si>
  <si>
    <t>矿泉水</t>
    <phoneticPr fontId="12" type="noConversion"/>
  </si>
  <si>
    <t>24瓶农夫山泉，苏宁易购购买，含运费</t>
    <phoneticPr fontId="12" type="noConversion"/>
  </si>
  <si>
    <t>信用卡</t>
    <phoneticPr fontId="12" type="noConversion"/>
  </si>
  <si>
    <t>老虎椅1500元，退1个床头柜300元，付款1200</t>
    <phoneticPr fontId="12" type="noConversion"/>
  </si>
  <si>
    <t>下单时间：8月4日</t>
    <phoneticPr fontId="12" type="noConversion"/>
  </si>
  <si>
    <t>阴阳角9根，13元</t>
    <phoneticPr fontId="12" type="noConversion"/>
  </si>
  <si>
    <t>家具确定下单</t>
    <phoneticPr fontId="35" type="noConversion"/>
  </si>
  <si>
    <t>1）石膏粉：15*2袋=30元；
2）胶水：30*1桶=30元；合计60元</t>
    <phoneticPr fontId="12" type="noConversion"/>
  </si>
  <si>
    <t>灯泡</t>
    <phoneticPr fontId="12" type="noConversion"/>
  </si>
  <si>
    <t>灯泡2个5元钱</t>
    <phoneticPr fontId="12" type="noConversion"/>
  </si>
  <si>
    <t>主卧衣柜</t>
    <phoneticPr fontId="12" type="noConversion"/>
  </si>
  <si>
    <t>序号</t>
    <phoneticPr fontId="12" type="noConversion"/>
  </si>
  <si>
    <t>项目</t>
    <phoneticPr fontId="12" type="noConversion"/>
  </si>
  <si>
    <t>投影面积</t>
    <phoneticPr fontId="12" type="noConversion"/>
  </si>
  <si>
    <t>占地面积</t>
    <phoneticPr fontId="12" type="noConversion"/>
  </si>
  <si>
    <t>占顶面积</t>
    <phoneticPr fontId="12" type="noConversion"/>
  </si>
  <si>
    <t>次卧衣柜</t>
    <phoneticPr fontId="12" type="noConversion"/>
  </si>
  <si>
    <t>次卧飘窗柜</t>
    <phoneticPr fontId="12" type="noConversion"/>
  </si>
  <si>
    <t>主卧飘窗柜</t>
    <phoneticPr fontId="12" type="noConversion"/>
  </si>
  <si>
    <t>客厅酒柜</t>
    <phoneticPr fontId="12" type="noConversion"/>
  </si>
  <si>
    <t>进门储物柜</t>
    <phoneticPr fontId="12" type="noConversion"/>
  </si>
  <si>
    <t>鞋柜</t>
    <phoneticPr fontId="12" type="noConversion"/>
  </si>
  <si>
    <t>书柜</t>
    <phoneticPr fontId="12" type="noConversion"/>
  </si>
  <si>
    <t>小阳台吊柜</t>
    <phoneticPr fontId="12" type="noConversion"/>
  </si>
  <si>
    <t>大阳台储物柜</t>
    <phoneticPr fontId="12" type="noConversion"/>
  </si>
  <si>
    <t>合计</t>
    <phoneticPr fontId="12" type="noConversion"/>
  </si>
  <si>
    <t>地板面积</t>
    <phoneticPr fontId="12" type="noConversion"/>
  </si>
  <si>
    <t>单价</t>
    <phoneticPr fontId="12" type="noConversion"/>
  </si>
  <si>
    <t>总价</t>
    <phoneticPr fontId="12" type="noConversion"/>
  </si>
  <si>
    <t>柜子压边</t>
    <phoneticPr fontId="12" type="noConversion"/>
  </si>
  <si>
    <t>通铺费</t>
    <phoneticPr fontId="12" type="noConversion"/>
  </si>
  <si>
    <t>硅藻泥面积</t>
    <phoneticPr fontId="12" type="noConversion"/>
  </si>
  <si>
    <t>墙面</t>
    <phoneticPr fontId="12" type="noConversion"/>
  </si>
  <si>
    <t>顶面</t>
    <phoneticPr fontId="12" type="noConversion"/>
  </si>
  <si>
    <t>开销汇总表</t>
    <phoneticPr fontId="12" type="noConversion"/>
  </si>
  <si>
    <t>厨具</t>
    <phoneticPr fontId="12" type="noConversion"/>
  </si>
  <si>
    <t>松下</t>
    <phoneticPr fontId="12" type="noConversion"/>
  </si>
  <si>
    <t>Panasonic/松下 SR-G10C1-K智能电饭煲预约电饭锅正品3-4人家庭</t>
    <phoneticPr fontId="12" type="noConversion"/>
  </si>
  <si>
    <t>1）洁扬淋浴间JY902，价格2580元；
2）红杏晾衣架HX698，价格478元；
3）合计返现优惠后总价2787元</t>
    <phoneticPr fontId="12" type="noConversion"/>
  </si>
  <si>
    <t>硅藻泥量尺寸</t>
    <phoneticPr fontId="12" type="noConversion"/>
  </si>
  <si>
    <t>冰箱进场</t>
    <phoneticPr fontId="35" type="noConversion"/>
  </si>
  <si>
    <t>硅藻泥量尺寸</t>
    <phoneticPr fontId="35" type="noConversion"/>
  </si>
  <si>
    <t>窗帘量尺寸</t>
    <phoneticPr fontId="35" type="noConversion"/>
  </si>
  <si>
    <t>淋浴房下单制作</t>
    <phoneticPr fontId="35" type="noConversion"/>
  </si>
  <si>
    <t>16元/平方*260平方=4160元,抹零头
8月5日支付1000元，有收条，8月14日付清尾款3000元</t>
    <phoneticPr fontId="12" type="noConversion"/>
  </si>
  <si>
    <t>复合地板量尺寸</t>
    <phoneticPr fontId="35" type="noConversion"/>
  </si>
  <si>
    <t>硅藻泥确定颜色图案补尾款</t>
    <phoneticPr fontId="35" type="noConversion"/>
  </si>
  <si>
    <t>硅藻泥下单</t>
    <phoneticPr fontId="35" type="noConversion"/>
  </si>
  <si>
    <t>油漆工完工，付3000元尾款</t>
    <phoneticPr fontId="35" type="noConversion"/>
  </si>
  <si>
    <t xml:space="preserve"> </t>
    <phoneticPr fontId="12" type="noConversion"/>
  </si>
  <si>
    <t>1）德高内抢房潮防霉腻子：40*16袋=640元
2）生态家园粉刷石膏：25*6袋=150元；
3）赠送4号铲刀铁板
4)8月20日退腻子粉1袋，40元已减</t>
    <phoneticPr fontId="12" type="noConversion"/>
  </si>
  <si>
    <t>阳台窗台石</t>
    <phoneticPr fontId="12" type="noConversion"/>
  </si>
  <si>
    <t>楼下</t>
    <phoneticPr fontId="12" type="noConversion"/>
  </si>
  <si>
    <t>1）石膏粉：15*3袋=45元；
2）胶水：30*3桶=90元；
3）阴阳角：1.5*60支=90元；
4）滚筒：10*1支=10元-5元=5元；
5）泥桶：3*2个=6元；
6）牛皮纸：10*1张=10元；
7）网格：10*2卷=20元；8月20日退1卷10元，已减
8）240砂纸：0.5*40张=20元；
合计：286元</t>
    <phoneticPr fontId="12" type="noConversion"/>
  </si>
  <si>
    <t>现金</t>
    <phoneticPr fontId="12" type="noConversion"/>
  </si>
  <si>
    <t>1）浴室柜50090W-100；
2）龙头HL-103-111；
3）花洒HL2000-60；
4）马桶HO142D；
5）立柱盆H212；
总价7372，4月22日订金1000,5月20日6372元。8月20日，加80元下水套件</t>
    <phoneticPr fontId="12" type="noConversion"/>
  </si>
  <si>
    <t>挂钟</t>
    <phoneticPr fontId="12" type="noConversion"/>
  </si>
  <si>
    <t>霸王</t>
    <phoneticPr fontId="12" type="noConversion"/>
  </si>
  <si>
    <t>霸王(POWER)金属挂钟16英寸客厅挂表创意欧式复古钟表静音石英时钟 16英寸钟面阿拉伯字</t>
    <phoneticPr fontId="12" type="noConversion"/>
  </si>
  <si>
    <t xml:space="preserve"> </t>
    <phoneticPr fontId="12" type="noConversion"/>
  </si>
  <si>
    <t>10元运费</t>
    <phoneticPr fontId="12" type="noConversion"/>
  </si>
  <si>
    <t>霸王(POWER)金属挂钟14英寸客厅挂表创意欧式复古钟表静音石英时钟 14英寸钟面阿拉伯字</t>
    <phoneticPr fontId="12" type="noConversion"/>
  </si>
  <si>
    <t>阳台厨房门安装</t>
    <phoneticPr fontId="35" type="noConversion"/>
  </si>
  <si>
    <t>开荒</t>
    <phoneticPr fontId="35" type="noConversion"/>
  </si>
  <si>
    <t>墙地砖美缝</t>
    <phoneticPr fontId="35" type="noConversion"/>
  </si>
  <si>
    <t>卫浴收货</t>
    <phoneticPr fontId="35" type="noConversion"/>
  </si>
  <si>
    <t>淋浴间安装</t>
    <phoneticPr fontId="35" type="noConversion"/>
  </si>
  <si>
    <t>阳台窗台石量尺寸</t>
    <phoneticPr fontId="35" type="noConversion"/>
  </si>
  <si>
    <t>卫浴安装</t>
    <phoneticPr fontId="35" type="noConversion"/>
  </si>
  <si>
    <t>锁芯</t>
    <phoneticPr fontId="12" type="noConversion"/>
  </si>
  <si>
    <t>雪龙神剑</t>
    <phoneticPr fontId="12" type="noConversion"/>
  </si>
  <si>
    <t>盼盼防盗门锁芯坏了，不保修，自行购买</t>
    <phoneticPr fontId="12" type="noConversion"/>
  </si>
  <si>
    <t>支付宝转给老爸</t>
    <phoneticPr fontId="12" type="noConversion"/>
  </si>
  <si>
    <t>1）65型断桥528元/㎡，开窗户400元/扇；
2）厕所门1500元/套；（含把手门套）
3）80型推拉门860元/㎡；
4）门套线160元/m；
5）商家误下单，原定65型，下成100型纱窗一体，增加1500元
6)9月3日退款320元，前期多付款，退回</t>
    <phoneticPr fontId="12" type="noConversion"/>
  </si>
  <si>
    <t>松下卧室台灯*1,129元/个，前2分钟半价，收货后返现，已返</t>
    <phoneticPr fontId="12" type="noConversion"/>
  </si>
  <si>
    <t>天猫（已到货）</t>
    <phoneticPr fontId="12" type="noConversion"/>
  </si>
  <si>
    <t>松下卧室台灯*2,109元/个，前10分钟半价</t>
    <phoneticPr fontId="12" type="noConversion"/>
  </si>
  <si>
    <t>橱柜到货</t>
    <phoneticPr fontId="35" type="noConversion"/>
  </si>
  <si>
    <t>盼盼门部分安装</t>
    <phoneticPr fontId="35" type="noConversion"/>
  </si>
  <si>
    <t>1）抱枕*1
2）卫生间柔纱帘*1套</t>
    <phoneticPr fontId="12" type="noConversion"/>
  </si>
  <si>
    <t xml:space="preserve">1500元18米全包，83元/m多出部分按83元/m计算
1）餐厅阳台：1.82*2*177=644
客厅阳台：2.5*2*177=885
主卧：1.78*2*177=630
次卧：132*2*177=467
书房：1.96*2*177=693
合计：3319元
2）餐厅纱帘：68*2.18*2=296
纱杆：2.18*48=104
辅料（包含白布带、孔环）：2.18*2*28=122
合计：522元
3）总价：3319+522=3841元，实付3500元，赠送卫生间柔纱帘
9月6日支付尾款2500元
4）小阳台窗帘增加200元，9月11日微信转账
</t>
    <phoneticPr fontId="12" type="noConversion"/>
  </si>
  <si>
    <t>304不锈钢转角置物架2层</t>
    <phoneticPr fontId="12" type="noConversion"/>
  </si>
  <si>
    <t>燃气走线</t>
    <phoneticPr fontId="12" type="noConversion"/>
  </si>
  <si>
    <t>线管等</t>
    <phoneticPr fontId="12" type="noConversion"/>
  </si>
  <si>
    <t>1）金属管60元/米，4.5米，270元；
2）专用接头20元/个，4个，80元；
3）燃气阀40元/个，1个，40元；
4）不锈钢三通110元/个，1个，110元；
5）定尺管40元/根，1根，40元；
6）外螺10元/个，1个，10元；
7）服务费50元
合计600元</t>
    <phoneticPr fontId="12" type="noConversion"/>
  </si>
  <si>
    <t>现金</t>
    <phoneticPr fontId="12" type="noConversion"/>
  </si>
  <si>
    <t>梯子</t>
    <phoneticPr fontId="12" type="noConversion"/>
  </si>
  <si>
    <t>稳耐</t>
    <phoneticPr fontId="12" type="noConversion"/>
  </si>
  <si>
    <t>稳耐梯子家用折叠人字梯室内四步梯伸缩铝合金加厚工程梯234T-3CN</t>
    <phoneticPr fontId="12" type="noConversion"/>
  </si>
  <si>
    <t>镜子</t>
    <phoneticPr fontId="12" type="noConversion"/>
  </si>
  <si>
    <t>成泰龙</t>
    <phoneticPr fontId="12" type="noConversion"/>
  </si>
  <si>
    <t>成泰龙仿古穿衣镜壁挂全身镜落地镜试衣镜支架镜子服装店大镜子</t>
    <phoneticPr fontId="12" type="noConversion"/>
  </si>
  <si>
    <t>晾衣杆</t>
    <phoneticPr fontId="12" type="noConversion"/>
  </si>
  <si>
    <t>永固</t>
    <phoneticPr fontId="12" type="noConversion"/>
  </si>
  <si>
    <t>加厚304不锈钢阳台晾衣杆 固定式晾衣架单杆式凉挂衣杆顶装晒衣杆</t>
    <phoneticPr fontId="12" type="noConversion"/>
  </si>
  <si>
    <t>柜子安装</t>
    <phoneticPr fontId="35" type="noConversion"/>
  </si>
  <si>
    <t>柜子安装完成</t>
    <phoneticPr fontId="35" type="noConversion"/>
  </si>
  <si>
    <t>硅藻泥进场</t>
    <phoneticPr fontId="35" type="noConversion"/>
  </si>
  <si>
    <t>橱柜台面测量</t>
    <phoneticPr fontId="35" type="noConversion"/>
  </si>
  <si>
    <t>走燃气管道</t>
    <phoneticPr fontId="35" type="noConversion"/>
  </si>
  <si>
    <t>盼盼门安装完成</t>
    <phoneticPr fontId="35" type="noConversion"/>
  </si>
  <si>
    <t>小阳台挂件</t>
    <phoneticPr fontId="12" type="noConversion"/>
  </si>
  <si>
    <t>挂件及把手</t>
    <phoneticPr fontId="12" type="noConversion"/>
  </si>
  <si>
    <t>玻璃胶</t>
    <phoneticPr fontId="12" type="noConversion"/>
  </si>
  <si>
    <t>杂牌</t>
    <phoneticPr fontId="12" type="noConversion"/>
  </si>
  <si>
    <t>楼下买</t>
    <phoneticPr fontId="12" type="noConversion"/>
  </si>
  <si>
    <t>现金</t>
    <phoneticPr fontId="12" type="noConversion"/>
  </si>
  <si>
    <t>乳白色</t>
    <phoneticPr fontId="12" type="noConversion"/>
  </si>
  <si>
    <t>乳白色*2支</t>
    <phoneticPr fontId="12" type="noConversion"/>
  </si>
  <si>
    <t>移表350元+保险100元+打孔80元=530元
9月17日退款80元（支付宝）</t>
    <phoneticPr fontId="12" type="noConversion"/>
  </si>
  <si>
    <t>1）26变频WPAP3 1999*3台；
2）72BP/YA400  4月20日家博会7300元，5月20日安团家博会6949元，销售员承诺按最低价。
3)9月20日3P圆柱机退单</t>
    <phoneticPr fontId="12" type="noConversion"/>
  </si>
  <si>
    <t>空调</t>
    <phoneticPr fontId="12" type="noConversion"/>
  </si>
  <si>
    <t>美的</t>
    <phoneticPr fontId="12" type="noConversion"/>
  </si>
  <si>
    <t>美的（Midea）3匹 慧行 静音 故障自体检 四维立体送风 WiFi智能二级能效变频圆柱柜机KFR-72LW/WYBA2@</t>
    <phoneticPr fontId="12" type="noConversion"/>
  </si>
  <si>
    <t>圆柱机京东送货</t>
    <phoneticPr fontId="35" type="noConversion"/>
  </si>
  <si>
    <t>地板送货</t>
    <phoneticPr fontId="35" type="noConversion"/>
  </si>
  <si>
    <t>1）订金1000元，返现30元（4月15日齐家家装展）
2）优惠400元（签订合同时减掉）
3）满1万返600，共2400元(已减，已到账）。合计优惠2800元。
4）5月20日安团家装展，500元订金抵用1000元，其中包含500元及200元橱柜券+200元衣柜券+100元特殊五金（均满5000使用，不与套餐叠加）100元安团优惠券，签合同时扣除
5）橱柜6073+全房柜子40425+穿鞋凳259元=46757元，共优惠3500元，实际付款43257元
6）次卧飘窗柜下成颗粒板，退款667元</t>
    <phoneticPr fontId="12" type="noConversion"/>
  </si>
  <si>
    <t>1）9月16日到9月18日窝工3天，师傅撒谎骗人，好在售后态度还可以，承诺保质保量9月21日完工；
2）花型尺寸出现偏差，现场量尺寸错误，发火后才给确切时间
黑一生！
3）晚上九点左右微信打字吵架，扯皮
4）9月21日换设计师出图整改</t>
    <phoneticPr fontId="12" type="noConversion"/>
  </si>
  <si>
    <t>1）洗衣机水龙头（随货发）
2）水龙头+地漏（索取，未拿）
3）炒锅*1</t>
    <phoneticPr fontId="12" type="noConversion"/>
  </si>
  <si>
    <t>电工安装灯具开关插座及挂件</t>
    <phoneticPr fontId="35" type="noConversion"/>
  </si>
  <si>
    <t>水电完工付款3000元，灯具开关插座及挂件安装完成后付1000元 9月27日已付1000元余款</t>
    <phoneticPr fontId="12" type="noConversion"/>
  </si>
  <si>
    <t>电工安装材料</t>
    <phoneticPr fontId="12" type="noConversion"/>
  </si>
  <si>
    <t>生胶带之类</t>
    <phoneticPr fontId="12" type="noConversion"/>
  </si>
  <si>
    <t>安装费150元</t>
    <phoneticPr fontId="12" type="noConversion"/>
  </si>
  <si>
    <t>高空费300元，150元/台，书房没有高空费，不锈钢支架2对，80元/对，合计460元（微信转老妈）</t>
    <phoneticPr fontId="12" type="noConversion"/>
  </si>
  <si>
    <t>餐桌垫</t>
    <phoneticPr fontId="12" type="noConversion"/>
  </si>
  <si>
    <t>掉了1张扣5元，2017年10月12日退款15元</t>
    <phoneticPr fontId="12" type="noConversion"/>
  </si>
  <si>
    <t>地板安装</t>
    <phoneticPr fontId="35" type="noConversion"/>
  </si>
  <si>
    <t>家具送货安装</t>
    <phoneticPr fontId="35" type="noConversion"/>
  </si>
  <si>
    <t>窗帘安装</t>
    <phoneticPr fontId="35" type="noConversion"/>
  </si>
  <si>
    <t>完工</t>
    <phoneticPr fontId="35" type="noConversion"/>
  </si>
  <si>
    <t>空调挂机安装</t>
    <phoneticPr fontId="35" type="noConversion"/>
  </si>
  <si>
    <t>6888秒杀抢到，使用京东支付减5元，到手6883元</t>
    <phoneticPr fontId="12" type="noConversion"/>
  </si>
  <si>
    <t>拖鞋</t>
    <phoneticPr fontId="12" type="noConversion"/>
  </si>
  <si>
    <t>朴西</t>
    <phoneticPr fontId="12" type="noConversion"/>
  </si>
  <si>
    <t>朴西 情侣室内居家月子鞋女 厚底秋冬棉托鞋女冬季韩国家用毛拖鞋（7双）</t>
    <phoneticPr fontId="12" type="noConversion"/>
  </si>
  <si>
    <t>卡通可爱围裙咖啡店餐厅成人棉麻围裙厨房家居工作服防油防污罩衣</t>
    <phoneticPr fontId="12" type="noConversion"/>
  </si>
  <si>
    <t>围裙</t>
    <phoneticPr fontId="12" type="noConversion"/>
  </si>
  <si>
    <t>油画框</t>
    <phoneticPr fontId="12" type="noConversion"/>
  </si>
  <si>
    <t>美式复古画框相框 ps线条 定做 定制 镜框 油画框</t>
    <phoneticPr fontId="12" type="noConversion"/>
  </si>
  <si>
    <t>花瓶</t>
    <phoneticPr fontId="12" type="noConversion"/>
  </si>
  <si>
    <t>开气费</t>
    <phoneticPr fontId="12" type="noConversion"/>
  </si>
  <si>
    <t>华润</t>
    <phoneticPr fontId="12" type="noConversion"/>
  </si>
  <si>
    <t>现金支付</t>
    <phoneticPr fontId="12" type="noConversion"/>
  </si>
  <si>
    <t>景德镇陶瓷器 青花瓷龙纹落地大花瓶 中式家居装饰工艺品客厅摆件</t>
    <phoneticPr fontId="12" type="noConversion"/>
  </si>
  <si>
    <t>1）2000抵2300元（未减300）
2）送蚕丝被（已拿）抽奖餐具（未拿）
3）4月29日付款1万，返现900元（老爸信用卡刷1万，900返现已到账）
4）出库单显示金额11997.35元，退货单显示金额713.6元，前期合计付款10000+2000+300（活动）=12300元，故需退还金额：12300-（11997.35-713.6）=1016.25元
5）2017年10月12日退款716.25元
6)2017年10月19日退款300元</t>
    <phoneticPr fontId="12" type="noConversion"/>
  </si>
  <si>
    <t>契税</t>
    <phoneticPr fontId="12" type="noConversion"/>
  </si>
  <si>
    <t>办房产证契税，刷招行白金信用卡</t>
    <phoneticPr fontId="12" type="noConversion"/>
  </si>
  <si>
    <t>房屋维修基金、契税、物业费、水电费等</t>
    <phoneticPr fontId="12" type="noConversion"/>
  </si>
  <si>
    <t>沙发垫</t>
    <phoneticPr fontId="12" type="noConversion"/>
  </si>
  <si>
    <t>飘窗垫</t>
    <phoneticPr fontId="12" type="noConversion"/>
  </si>
  <si>
    <t>美式春夏斜纹田园乡村防滑沙发垫布艺纯棉沙发巾皮沙发套罩可定制</t>
    <phoneticPr fontId="12" type="noConversion"/>
  </si>
  <si>
    <t>晾衣绳</t>
    <phoneticPr fontId="12" type="noConversion"/>
  </si>
  <si>
    <t>阳台加粗晾衣绳晒被绳户外防晒钢丝晒衣绳晾被绳窗帘绳遮阳网用绳
10米*2根</t>
    <phoneticPr fontId="12" type="noConversion"/>
  </si>
  <si>
    <t>四季纯棉北欧沙发垫布艺通用坐垫简约现代实木防滑全棉皮沙发巾套</t>
    <phoneticPr fontId="12" type="noConversion"/>
  </si>
  <si>
    <t>塑料凳</t>
    <phoneticPr fontId="12" type="noConversion"/>
  </si>
  <si>
    <t>包邮双色加厚塑料凳子防滑凳餐桌凳加厚方凳成人椅子高圆换鞋凳
10个</t>
    <phoneticPr fontId="12" type="noConversion"/>
  </si>
  <si>
    <t>花鸟线毯装饰毯单人躺椅沙发套沙发毯巾盖毯纯棉线布美式乡村
老虎椅盖布尺寸：160*220cm</t>
    <phoneticPr fontId="12" type="noConversion"/>
  </si>
  <si>
    <t>陶瓷摆件米色小猪存钱罐储蓄罐创意礼品生日礼物可爱招财进宝大号
10寸猪长24cm,宽20cm</t>
    <phoneticPr fontId="12" type="noConversion"/>
  </si>
  <si>
    <t>摆件</t>
    <phoneticPr fontId="12" type="noConversion"/>
  </si>
  <si>
    <t>锦格 整块鸡翅木茶盘 实木特大号茶台檀木茶海功夫排水红木茶托盘</t>
    <phoneticPr fontId="12" type="noConversion"/>
  </si>
  <si>
    <t>茶盘</t>
    <phoneticPr fontId="12" type="noConversion"/>
  </si>
  <si>
    <t>白酒</t>
    <phoneticPr fontId="12" type="noConversion"/>
  </si>
  <si>
    <t>洋河蓝色经典 梦之蓝M1 45度100ml 洋河官方直供 白酒小酒 酒版
30元*3瓶</t>
    <phoneticPr fontId="12" type="noConversion"/>
  </si>
  <si>
    <t>备注</t>
    <phoneticPr fontId="12" type="noConversion"/>
  </si>
  <si>
    <t>全房衣柜面积45.2平方
橱柜地柜3.69米吊柜2.26米
橱柜打折前6073元</t>
    <phoneticPr fontId="12" type="noConversion"/>
  </si>
  <si>
    <t>地板使用面积：第一次付款64.112平方，后退款面积为3.475平方，即实际使用面积为：60.637平方</t>
    <phoneticPr fontId="12" type="noConversion"/>
  </si>
</sst>
</file>

<file path=xl/styles.xml><?xml version="1.0" encoding="utf-8"?>
<styleSheet xmlns="http://schemas.openxmlformats.org/spreadsheetml/2006/main">
  <numFmts count="5">
    <numFmt numFmtId="176" formatCode="0_ "/>
    <numFmt numFmtId="177" formatCode="0.00_);[Red]\(0.00\)"/>
    <numFmt numFmtId="178" formatCode="0_ ;[Red]\-0\ "/>
    <numFmt numFmtId="179" formatCode="m/d;@"/>
    <numFmt numFmtId="180" formatCode="0.00_ "/>
  </numFmts>
  <fonts count="66">
    <font>
      <sz val="12"/>
      <name val="宋体"/>
      <charset val="134"/>
    </font>
    <font>
      <sz val="11"/>
      <color theme="1"/>
      <name val="宋体"/>
      <family val="2"/>
      <charset val="134"/>
      <scheme val="minor"/>
    </font>
    <font>
      <b/>
      <sz val="12"/>
      <name val="宋体"/>
      <charset val="134"/>
    </font>
    <font>
      <b/>
      <sz val="9"/>
      <name val="新宋体"/>
      <family val="3"/>
      <charset val="134"/>
    </font>
    <font>
      <b/>
      <sz val="12"/>
      <color indexed="10"/>
      <name val="宋体"/>
      <charset val="134"/>
    </font>
    <font>
      <sz val="12"/>
      <name val="新宋体"/>
      <family val="3"/>
      <charset val="134"/>
    </font>
    <font>
      <sz val="12"/>
      <color indexed="8"/>
      <name val="宋体"/>
      <charset val="134"/>
    </font>
    <font>
      <b/>
      <sz val="12"/>
      <name val="新宋体"/>
      <family val="3"/>
      <charset val="134"/>
    </font>
    <font>
      <b/>
      <sz val="20"/>
      <name val="宋体"/>
      <charset val="134"/>
    </font>
    <font>
      <vertAlign val="superscript"/>
      <sz val="12"/>
      <name val="宋体"/>
      <charset val="134"/>
    </font>
    <font>
      <vertAlign val="superscript"/>
      <sz val="12"/>
      <color indexed="8"/>
      <name val="宋体"/>
      <charset val="134"/>
    </font>
    <font>
      <sz val="12"/>
      <name val="宋体"/>
      <charset val="134"/>
    </font>
    <font>
      <sz val="9"/>
      <name val="宋体"/>
      <charset val="134"/>
    </font>
    <font>
      <sz val="12"/>
      <name val="宋体"/>
      <family val="3"/>
      <charset val="134"/>
    </font>
    <font>
      <b/>
      <sz val="12"/>
      <name val="宋体"/>
      <family val="3"/>
      <charset val="134"/>
    </font>
    <font>
      <sz val="11"/>
      <color indexed="8"/>
      <name val="宋体"/>
      <charset val="134"/>
    </font>
    <font>
      <sz val="11"/>
      <color indexed="9"/>
      <name val="宋体"/>
      <charset val="134"/>
    </font>
    <font>
      <sz val="11"/>
      <color indexed="20"/>
      <name val="宋体"/>
      <charset val="134"/>
    </font>
    <font>
      <sz val="11"/>
      <color indexed="60"/>
      <name val="宋体"/>
      <charset val="134"/>
    </font>
    <font>
      <sz val="11"/>
      <color indexed="62"/>
      <name val="宋体"/>
      <charset val="134"/>
    </font>
    <font>
      <b/>
      <sz val="11"/>
      <color indexed="56"/>
      <name val="宋体"/>
      <charset val="134"/>
    </font>
    <font>
      <sz val="11"/>
      <color indexed="10"/>
      <name val="宋体"/>
      <charset val="134"/>
    </font>
    <font>
      <b/>
      <sz val="15"/>
      <color indexed="56"/>
      <name val="宋体"/>
      <charset val="134"/>
    </font>
    <font>
      <b/>
      <sz val="18"/>
      <color indexed="56"/>
      <name val="宋体"/>
      <charset val="134"/>
    </font>
    <font>
      <i/>
      <sz val="11"/>
      <color indexed="23"/>
      <name val="宋体"/>
      <charset val="134"/>
    </font>
    <font>
      <b/>
      <sz val="13"/>
      <color indexed="56"/>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vertAlign val="superscript"/>
      <sz val="8"/>
      <name val="宋体"/>
      <family val="3"/>
      <charset val="134"/>
    </font>
    <font>
      <sz val="22"/>
      <name val="宋体"/>
      <family val="3"/>
      <charset val="134"/>
    </font>
    <font>
      <sz val="12"/>
      <color rgb="FFFF0000"/>
      <name val="宋体"/>
      <family val="3"/>
      <charset val="134"/>
    </font>
    <font>
      <sz val="9"/>
      <name val="宋体"/>
      <family val="3"/>
      <charset val="134"/>
    </font>
    <font>
      <b/>
      <sz val="20"/>
      <name val="宋体"/>
      <family val="3"/>
      <charset val="134"/>
    </font>
    <font>
      <b/>
      <sz val="16"/>
      <name val="宋体"/>
      <family val="3"/>
      <charset val="134"/>
    </font>
    <font>
      <b/>
      <sz val="10"/>
      <name val="宋体"/>
      <family val="3"/>
      <charset val="134"/>
    </font>
    <font>
      <sz val="10"/>
      <name val="宋体"/>
      <family val="3"/>
      <charset val="134"/>
    </font>
    <font>
      <b/>
      <sz val="14"/>
      <name val="宋体"/>
      <family val="3"/>
      <charset val="134"/>
    </font>
    <font>
      <sz val="12"/>
      <name val="Times New Roman"/>
      <family val="1"/>
    </font>
    <font>
      <sz val="11"/>
      <color indexed="8"/>
      <name val="宋体"/>
      <family val="3"/>
      <charset val="134"/>
    </font>
    <font>
      <b/>
      <sz val="12"/>
      <color indexed="8"/>
      <name val="微软雅黑"/>
      <family val="2"/>
      <charset val="134"/>
    </font>
    <font>
      <sz val="12"/>
      <color indexed="8"/>
      <name val="Tahoma"/>
      <family val="2"/>
      <charset val="134"/>
    </font>
    <font>
      <sz val="11"/>
      <color indexed="9"/>
      <name val="宋体"/>
      <family val="3"/>
      <charset val="134"/>
    </font>
    <font>
      <sz val="11"/>
      <color indexed="20"/>
      <name val="宋体"/>
      <family val="3"/>
      <charset val="134"/>
    </font>
    <font>
      <sz val="11"/>
      <color indexed="60"/>
      <name val="宋体"/>
      <family val="3"/>
      <charset val="134"/>
    </font>
    <font>
      <sz val="11"/>
      <color indexed="62"/>
      <name val="宋体"/>
      <family val="3"/>
      <charset val="134"/>
    </font>
    <font>
      <b/>
      <sz val="11"/>
      <color indexed="56"/>
      <name val="宋体"/>
      <family val="3"/>
      <charset val="134"/>
    </font>
    <font>
      <sz val="11"/>
      <color indexed="10"/>
      <name val="宋体"/>
      <family val="3"/>
      <charset val="134"/>
    </font>
    <font>
      <b/>
      <sz val="15"/>
      <color indexed="56"/>
      <name val="宋体"/>
      <family val="3"/>
      <charset val="134"/>
    </font>
    <font>
      <b/>
      <sz val="18"/>
      <color indexed="56"/>
      <name val="宋体"/>
      <family val="3"/>
      <charset val="134"/>
    </font>
    <font>
      <i/>
      <sz val="11"/>
      <color indexed="23"/>
      <name val="宋体"/>
      <family val="3"/>
      <charset val="134"/>
    </font>
    <font>
      <b/>
      <sz val="13"/>
      <color indexed="56"/>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sz val="11"/>
      <color indexed="52"/>
      <name val="宋体"/>
      <family val="3"/>
      <charset val="134"/>
    </font>
    <font>
      <b/>
      <sz val="11"/>
      <color indexed="8"/>
      <name val="宋体"/>
      <family val="3"/>
      <charset val="134"/>
    </font>
    <font>
      <sz val="11"/>
      <color indexed="17"/>
      <name val="宋体"/>
      <family val="3"/>
      <charset val="134"/>
    </font>
    <font>
      <b/>
      <sz val="11"/>
      <name val="宋体"/>
      <family val="3"/>
      <charset val="134"/>
    </font>
    <font>
      <b/>
      <sz val="18"/>
      <color rgb="FFFF0000"/>
      <name val="宋体"/>
      <family val="3"/>
      <charset val="134"/>
    </font>
    <font>
      <sz val="11"/>
      <name val="宋体"/>
      <family val="3"/>
      <charset val="134"/>
    </font>
    <font>
      <sz val="10"/>
      <color rgb="FFFF0000"/>
      <name val="宋体"/>
      <family val="3"/>
      <charset val="134"/>
    </font>
    <font>
      <b/>
      <sz val="10"/>
      <color rgb="FFFF0000"/>
      <name val="宋体"/>
      <family val="3"/>
      <charset val="134"/>
    </font>
  </fonts>
  <fills count="3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2" tint="-9.9978637043366805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s>
  <cellStyleXfs count="369">
    <xf numFmtId="0" fontId="0" fillId="0" borderId="0">
      <alignment vertical="center"/>
    </xf>
    <xf numFmtId="0" fontId="11" fillId="0" borderId="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23" fillId="0" borderId="0" applyNumberFormat="0" applyFill="0" applyBorder="0" applyAlignment="0" applyProtection="0">
      <alignment vertical="center"/>
    </xf>
    <xf numFmtId="0" fontId="22" fillId="0" borderId="2" applyNumberFormat="0" applyFill="0" applyAlignment="0" applyProtection="0">
      <alignment vertical="center"/>
    </xf>
    <xf numFmtId="0" fontId="25"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17" fillId="5" borderId="0" applyNumberFormat="0" applyBorder="0" applyAlignment="0" applyProtection="0">
      <alignment vertical="center"/>
    </xf>
    <xf numFmtId="0" fontId="11" fillId="0" borderId="0"/>
    <xf numFmtId="0" fontId="11" fillId="0" borderId="0"/>
    <xf numFmtId="0" fontId="11" fillId="0" borderId="0"/>
    <xf numFmtId="0" fontId="11" fillId="0" borderId="0"/>
    <xf numFmtId="0" fontId="11" fillId="0" borderId="0"/>
    <xf numFmtId="0" fontId="31" fillId="6" borderId="0" applyNumberFormat="0" applyBorder="0" applyAlignment="0" applyProtection="0">
      <alignment vertical="center"/>
    </xf>
    <xf numFmtId="0" fontId="30" fillId="0" borderId="5" applyNumberFormat="0" applyFill="0" applyAlignment="0" applyProtection="0">
      <alignment vertical="center"/>
    </xf>
    <xf numFmtId="0" fontId="27" fillId="3" borderId="6" applyNumberFormat="0" applyAlignment="0" applyProtection="0">
      <alignment vertical="center"/>
    </xf>
    <xf numFmtId="0" fontId="28" fillId="18" borderId="7" applyNumberFormat="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8" applyNumberFormat="0" applyFill="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2" borderId="0" applyNumberFormat="0" applyBorder="0" applyAlignment="0" applyProtection="0">
      <alignment vertical="center"/>
    </xf>
    <xf numFmtId="0" fontId="18" fillId="23" borderId="0" applyNumberFormat="0" applyBorder="0" applyAlignment="0" applyProtection="0">
      <alignment vertical="center"/>
    </xf>
    <xf numFmtId="0" fontId="26" fillId="3" borderId="9" applyNumberFormat="0" applyAlignment="0" applyProtection="0">
      <alignment vertical="center"/>
    </xf>
    <xf numFmtId="0" fontId="19" fillId="9" borderId="6" applyNumberFormat="0" applyAlignment="0" applyProtection="0">
      <alignment vertical="center"/>
    </xf>
    <xf numFmtId="0" fontId="11" fillId="24" borderId="10" applyNumberFormat="0" applyFont="0" applyAlignment="0" applyProtection="0">
      <alignment vertical="center"/>
    </xf>
    <xf numFmtId="0" fontId="41" fillId="0" borderId="0">
      <alignment vertical="center"/>
    </xf>
    <xf numFmtId="0" fontId="41" fillId="0" borderId="0"/>
    <xf numFmtId="0" fontId="42" fillId="4" borderId="0" applyNumberFormat="0" applyBorder="0" applyAlignment="0" applyProtection="0">
      <alignment vertical="center"/>
    </xf>
    <xf numFmtId="0" fontId="42" fillId="4" borderId="0" applyNumberFormat="0" applyBorder="0" applyAlignment="0" applyProtection="0">
      <alignment vertical="center"/>
    </xf>
    <xf numFmtId="0" fontId="42" fillId="4" borderId="0" applyNumberFormat="0" applyBorder="0" applyAlignment="0" applyProtection="0">
      <alignment vertical="center"/>
    </xf>
    <xf numFmtId="0" fontId="42" fillId="4" borderId="0" applyNumberFormat="0" applyBorder="0" applyAlignment="0" applyProtection="0">
      <alignment vertical="center"/>
    </xf>
    <xf numFmtId="0" fontId="42" fillId="5" borderId="0" applyNumberFormat="0" applyBorder="0" applyAlignment="0" applyProtection="0">
      <alignment vertical="center"/>
    </xf>
    <xf numFmtId="0" fontId="42" fillId="5" borderId="0" applyNumberFormat="0" applyBorder="0" applyAlignment="0" applyProtection="0">
      <alignment vertical="center"/>
    </xf>
    <xf numFmtId="0" fontId="42" fillId="5" borderId="0" applyNumberFormat="0" applyBorder="0" applyAlignment="0" applyProtection="0">
      <alignment vertical="center"/>
    </xf>
    <xf numFmtId="0" fontId="42" fillId="5" borderId="0" applyNumberFormat="0" applyBorder="0" applyAlignment="0" applyProtection="0">
      <alignment vertical="center"/>
    </xf>
    <xf numFmtId="0" fontId="42" fillId="6" borderId="0" applyNumberFormat="0" applyBorder="0" applyAlignment="0" applyProtection="0">
      <alignment vertical="center"/>
    </xf>
    <xf numFmtId="0" fontId="42" fillId="6" borderId="0" applyNumberFormat="0" applyBorder="0" applyAlignment="0" applyProtection="0">
      <alignment vertical="center"/>
    </xf>
    <xf numFmtId="0" fontId="42" fillId="6" borderId="0" applyNumberFormat="0" applyBorder="0" applyAlignment="0" applyProtection="0">
      <alignment vertical="center"/>
    </xf>
    <xf numFmtId="0" fontId="42" fillId="6" borderId="0" applyNumberFormat="0" applyBorder="0" applyAlignment="0" applyProtection="0">
      <alignment vertical="center"/>
    </xf>
    <xf numFmtId="0" fontId="42" fillId="7" borderId="0" applyNumberFormat="0" applyBorder="0" applyAlignment="0" applyProtection="0">
      <alignment vertical="center"/>
    </xf>
    <xf numFmtId="0" fontId="42" fillId="7" borderId="0" applyNumberFormat="0" applyBorder="0" applyAlignment="0" applyProtection="0">
      <alignment vertical="center"/>
    </xf>
    <xf numFmtId="0" fontId="42" fillId="7" borderId="0" applyNumberFormat="0" applyBorder="0" applyAlignment="0" applyProtection="0">
      <alignment vertical="center"/>
    </xf>
    <xf numFmtId="0" fontId="42" fillId="7"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1" borderId="0" applyNumberFormat="0" applyBorder="0" applyAlignment="0" applyProtection="0">
      <alignment vertical="center"/>
    </xf>
    <xf numFmtId="0" fontId="42" fillId="11" borderId="0" applyNumberFormat="0" applyBorder="0" applyAlignment="0" applyProtection="0">
      <alignment vertical="center"/>
    </xf>
    <xf numFmtId="0" fontId="42" fillId="11" borderId="0" applyNumberFormat="0" applyBorder="0" applyAlignment="0" applyProtection="0">
      <alignment vertical="center"/>
    </xf>
    <xf numFmtId="0" fontId="42" fillId="11"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42" fillId="7" borderId="0" applyNumberFormat="0" applyBorder="0" applyAlignment="0" applyProtection="0">
      <alignment vertical="center"/>
    </xf>
    <xf numFmtId="0" fontId="42" fillId="7" borderId="0" applyNumberFormat="0" applyBorder="0" applyAlignment="0" applyProtection="0">
      <alignment vertical="center"/>
    </xf>
    <xf numFmtId="0" fontId="42" fillId="7" borderId="0" applyNumberFormat="0" applyBorder="0" applyAlignment="0" applyProtection="0">
      <alignment vertical="center"/>
    </xf>
    <xf numFmtId="0" fontId="42" fillId="7"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3" borderId="0" applyNumberFormat="0" applyBorder="0" applyAlignment="0" applyProtection="0">
      <alignment vertical="center"/>
    </xf>
    <xf numFmtId="0" fontId="42" fillId="13" borderId="0" applyNumberFormat="0" applyBorder="0" applyAlignment="0" applyProtection="0">
      <alignment vertical="center"/>
    </xf>
    <xf numFmtId="0" fontId="42" fillId="13" borderId="0" applyNumberFormat="0" applyBorder="0" applyAlignment="0" applyProtection="0">
      <alignment vertical="center"/>
    </xf>
    <xf numFmtId="0" fontId="42" fillId="13" borderId="0" applyNumberFormat="0" applyBorder="0" applyAlignment="0" applyProtection="0">
      <alignment vertical="center"/>
    </xf>
    <xf numFmtId="0" fontId="45" fillId="14"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0" borderId="0" applyNumberFormat="0" applyFill="0" applyBorder="0" applyAlignment="0" applyProtection="0">
      <alignment vertical="center"/>
    </xf>
    <xf numFmtId="0" fontId="51" fillId="0" borderId="2" applyNumberFormat="0" applyFill="0" applyAlignment="0" applyProtection="0">
      <alignment vertical="center"/>
    </xf>
    <xf numFmtId="0" fontId="54" fillId="0" borderId="3" applyNumberFormat="0" applyFill="0" applyAlignment="0" applyProtection="0">
      <alignment vertical="center"/>
    </xf>
    <xf numFmtId="0" fontId="49" fillId="0" borderId="4" applyNumberFormat="0" applyFill="0" applyAlignment="0" applyProtection="0">
      <alignment vertical="center"/>
    </xf>
    <xf numFmtId="0" fontId="49" fillId="0" borderId="0" applyNumberFormat="0" applyFill="0" applyBorder="0" applyAlignment="0" applyProtection="0">
      <alignment vertical="center"/>
    </xf>
    <xf numFmtId="0" fontId="46" fillId="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60" fillId="6" borderId="0" applyNumberFormat="0" applyBorder="0" applyAlignment="0" applyProtection="0">
      <alignment vertical="center"/>
    </xf>
    <xf numFmtId="0" fontId="59" fillId="0" borderId="5" applyNumberFormat="0" applyFill="0" applyAlignment="0" applyProtection="0">
      <alignment vertical="center"/>
    </xf>
    <xf numFmtId="0" fontId="56" fillId="3" borderId="6" applyNumberFormat="0" applyAlignment="0" applyProtection="0">
      <alignment vertical="center"/>
    </xf>
    <xf numFmtId="0" fontId="57" fillId="18" borderId="7" applyNumberFormat="0" applyAlignment="0" applyProtection="0">
      <alignment vertical="center"/>
    </xf>
    <xf numFmtId="0" fontId="53"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8" fillId="0" borderId="8" applyNumberFormat="0" applyFill="0" applyAlignment="0" applyProtection="0">
      <alignment vertical="center"/>
    </xf>
    <xf numFmtId="0" fontId="45"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5" fillId="15" borderId="0" applyNumberFormat="0" applyBorder="0" applyAlignment="0" applyProtection="0">
      <alignment vertical="center"/>
    </xf>
    <xf numFmtId="0" fontId="45" fillId="16" borderId="0" applyNumberFormat="0" applyBorder="0" applyAlignment="0" applyProtection="0">
      <alignment vertical="center"/>
    </xf>
    <xf numFmtId="0" fontId="45" fillId="22" borderId="0" applyNumberFormat="0" applyBorder="0" applyAlignment="0" applyProtection="0">
      <alignment vertical="center"/>
    </xf>
    <xf numFmtId="0" fontId="47" fillId="23" borderId="0" applyNumberFormat="0" applyBorder="0" applyAlignment="0" applyProtection="0">
      <alignment vertical="center"/>
    </xf>
    <xf numFmtId="0" fontId="55" fillId="3" borderId="9" applyNumberFormat="0" applyAlignment="0" applyProtection="0">
      <alignment vertical="center"/>
    </xf>
    <xf numFmtId="0" fontId="48" fillId="9" borderId="6" applyNumberFormat="0" applyAlignment="0" applyProtection="0">
      <alignment vertical="center"/>
    </xf>
    <xf numFmtId="0" fontId="13" fillId="24" borderId="10" applyNumberFormat="0" applyFont="0" applyAlignment="0" applyProtection="0">
      <alignment vertical="center"/>
    </xf>
    <xf numFmtId="0" fontId="15" fillId="5" borderId="0" applyNumberFormat="0" applyBorder="0" applyAlignment="0" applyProtection="0">
      <alignment vertical="center"/>
    </xf>
    <xf numFmtId="0" fontId="24" fillId="0" borderId="0" applyNumberFormat="0" applyFill="0" applyBorder="0" applyAlignment="0" applyProtection="0">
      <alignment vertical="center"/>
    </xf>
    <xf numFmtId="0" fontId="28" fillId="18" borderId="7" applyNumberFormat="0" applyAlignment="0" applyProtection="0">
      <alignment vertical="center"/>
    </xf>
    <xf numFmtId="0" fontId="27" fillId="3" borderId="6" applyNumberFormat="0" applyAlignment="0" applyProtection="0">
      <alignment vertical="center"/>
    </xf>
    <xf numFmtId="0" fontId="30" fillId="0" borderId="5" applyNumberFormat="0" applyFill="0" applyAlignment="0" applyProtection="0">
      <alignment vertical="center"/>
    </xf>
    <xf numFmtId="0" fontId="31" fillId="6" borderId="0" applyNumberFormat="0" applyBorder="0" applyAlignment="0" applyProtection="0">
      <alignment vertical="center"/>
    </xf>
    <xf numFmtId="0" fontId="11" fillId="0" borderId="0"/>
    <xf numFmtId="0" fontId="11" fillId="0" borderId="0"/>
    <xf numFmtId="0" fontId="11" fillId="0" borderId="0"/>
    <xf numFmtId="0" fontId="11" fillId="0" borderId="0"/>
    <xf numFmtId="0" fontId="11" fillId="0" borderId="0"/>
    <xf numFmtId="0" fontId="17" fillId="5"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4" applyNumberFormat="0" applyFill="0" applyAlignment="0" applyProtection="0">
      <alignment vertical="center"/>
    </xf>
    <xf numFmtId="0" fontId="25" fillId="0" borderId="3" applyNumberFormat="0" applyFill="0" applyAlignment="0" applyProtection="0">
      <alignment vertical="center"/>
    </xf>
    <xf numFmtId="0" fontId="22" fillId="0" borderId="2" applyNumberFormat="0" applyFill="0" applyAlignment="0" applyProtection="0">
      <alignment vertical="center"/>
    </xf>
    <xf numFmtId="0" fontId="23" fillId="0" borderId="0" applyNumberFormat="0" applyFill="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6" fillId="17" borderId="0" applyNumberFormat="0" applyBorder="0" applyAlignment="0" applyProtection="0">
      <alignment vertical="center"/>
    </xf>
    <xf numFmtId="0" fontId="16" fillId="16" borderId="0" applyNumberFormat="0" applyBorder="0" applyAlignment="0" applyProtection="0">
      <alignment vertical="center"/>
    </xf>
    <xf numFmtId="0" fontId="16" fillId="15"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4"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3" fillId="0" borderId="0"/>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21" fillId="0" borderId="0" applyNumberFormat="0" applyFill="0" applyBorder="0" applyAlignment="0" applyProtection="0">
      <alignment vertical="center"/>
    </xf>
    <xf numFmtId="0" fontId="29" fillId="0" borderId="8" applyNumberFormat="0" applyFill="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2" borderId="0" applyNumberFormat="0" applyBorder="0" applyAlignment="0" applyProtection="0">
      <alignment vertical="center"/>
    </xf>
    <xf numFmtId="0" fontId="18" fillId="23" borderId="0" applyNumberFormat="0" applyBorder="0" applyAlignment="0" applyProtection="0">
      <alignment vertical="center"/>
    </xf>
    <xf numFmtId="0" fontId="26" fillId="3" borderId="9" applyNumberFormat="0" applyAlignment="0" applyProtection="0">
      <alignment vertical="center"/>
    </xf>
    <xf numFmtId="0" fontId="19" fillId="9" borderId="6" applyNumberFormat="0" applyAlignment="0" applyProtection="0">
      <alignment vertical="center"/>
    </xf>
    <xf numFmtId="0" fontId="11" fillId="24" borderId="10" applyNumberFormat="0" applyFont="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23" fillId="0" borderId="0" applyNumberFormat="0" applyFill="0" applyBorder="0" applyAlignment="0" applyProtection="0">
      <alignment vertical="center"/>
    </xf>
    <xf numFmtId="0" fontId="22" fillId="0" borderId="2" applyNumberFormat="0" applyFill="0" applyAlignment="0" applyProtection="0">
      <alignment vertical="center"/>
    </xf>
    <xf numFmtId="0" fontId="25"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17" fillId="5" borderId="0" applyNumberFormat="0" applyBorder="0" applyAlignment="0" applyProtection="0">
      <alignment vertical="center"/>
    </xf>
    <xf numFmtId="0" fontId="11" fillId="0" borderId="0"/>
    <xf numFmtId="0" fontId="11" fillId="0" borderId="0"/>
    <xf numFmtId="0" fontId="11" fillId="0" borderId="0"/>
    <xf numFmtId="0" fontId="11" fillId="0" borderId="0"/>
    <xf numFmtId="0" fontId="11" fillId="0" borderId="0"/>
    <xf numFmtId="0" fontId="31" fillId="6" borderId="0" applyNumberFormat="0" applyBorder="0" applyAlignment="0" applyProtection="0">
      <alignment vertical="center"/>
    </xf>
    <xf numFmtId="0" fontId="30" fillId="0" borderId="5" applyNumberFormat="0" applyFill="0" applyAlignment="0" applyProtection="0">
      <alignment vertical="center"/>
    </xf>
    <xf numFmtId="0" fontId="27" fillId="3" borderId="6" applyNumberFormat="0" applyAlignment="0" applyProtection="0">
      <alignment vertical="center"/>
    </xf>
    <xf numFmtId="0" fontId="28" fillId="18" borderId="7" applyNumberFormat="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8" applyNumberFormat="0" applyFill="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2" borderId="0" applyNumberFormat="0" applyBorder="0" applyAlignment="0" applyProtection="0">
      <alignment vertical="center"/>
    </xf>
    <xf numFmtId="0" fontId="18" fillId="23" borderId="0" applyNumberFormat="0" applyBorder="0" applyAlignment="0" applyProtection="0">
      <alignment vertical="center"/>
    </xf>
    <xf numFmtId="0" fontId="26" fillId="3" borderId="9" applyNumberFormat="0" applyAlignment="0" applyProtection="0">
      <alignment vertical="center"/>
    </xf>
    <xf numFmtId="0" fontId="19" fillId="9" borderId="6" applyNumberFormat="0" applyAlignment="0" applyProtection="0">
      <alignment vertical="center"/>
    </xf>
    <xf numFmtId="0" fontId="11" fillId="24" borderId="10" applyNumberFormat="0" applyFont="0" applyAlignment="0" applyProtection="0">
      <alignment vertical="center"/>
    </xf>
    <xf numFmtId="0" fontId="41" fillId="0" borderId="0"/>
    <xf numFmtId="0" fontId="41" fillId="0" borderId="0"/>
    <xf numFmtId="0" fontId="41" fillId="0" borderId="0"/>
    <xf numFmtId="0" fontId="41" fillId="0" borderId="0"/>
    <xf numFmtId="0" fontId="41" fillId="0" borderId="0"/>
    <xf numFmtId="0" fontId="13" fillId="0" borderId="0">
      <alignment vertical="center"/>
    </xf>
    <xf numFmtId="0" fontId="13" fillId="0" borderId="0">
      <alignment vertical="center"/>
    </xf>
    <xf numFmtId="0" fontId="1" fillId="0" borderId="0">
      <alignment vertical="center"/>
    </xf>
  </cellStyleXfs>
  <cellXfs count="456">
    <xf numFmtId="0" fontId="0" fillId="0" borderId="0" xfId="0">
      <alignment vertical="center"/>
    </xf>
    <xf numFmtId="0" fontId="0" fillId="0" borderId="0" xfId="0" applyFont="1" applyBorder="1">
      <alignment vertical="center"/>
    </xf>
    <xf numFmtId="0" fontId="0" fillId="0" borderId="1" xfId="0" applyNumberFormat="1" applyBorder="1">
      <alignment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5" fillId="0" borderId="1" xfId="1" applyFont="1" applyFill="1" applyBorder="1" applyAlignment="1">
      <alignment horizontal="left" vertical="center" wrapText="1"/>
    </xf>
    <xf numFmtId="0" fontId="6" fillId="0" borderId="1" xfId="0" applyFont="1" applyBorder="1" applyAlignment="1">
      <alignment horizontal="center" vertical="center"/>
    </xf>
    <xf numFmtId="0" fontId="2" fillId="0" borderId="1" xfId="1" applyFont="1" applyFill="1" applyBorder="1" applyAlignment="1">
      <alignment horizontal="center" vertical="center" wrapText="1"/>
    </xf>
    <xf numFmtId="0" fontId="7" fillId="0" borderId="1" xfId="1"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0" fontId="13" fillId="0" borderId="1" xfId="0" applyNumberFormat="1" applyFont="1" applyBorder="1" applyAlignment="1">
      <alignment horizontal="center" vertical="center"/>
    </xf>
    <xf numFmtId="0" fontId="13" fillId="0" borderId="1" xfId="0" applyNumberFormat="1" applyFont="1" applyBorder="1" applyAlignment="1">
      <alignment horizontal="left" vertical="center" wrapText="1"/>
    </xf>
    <xf numFmtId="0" fontId="13" fillId="2" borderId="1" xfId="0" applyFont="1" applyFill="1" applyBorder="1" applyAlignment="1">
      <alignment vertical="center" wrapText="1"/>
    </xf>
    <xf numFmtId="0" fontId="13" fillId="0" borderId="1" xfId="0" applyNumberFormat="1" applyFont="1" applyBorder="1" applyAlignment="1">
      <alignment vertical="center"/>
    </xf>
    <xf numFmtId="0" fontId="13" fillId="0" borderId="0" xfId="0" applyFont="1" applyAlignment="1">
      <alignment vertical="center"/>
    </xf>
    <xf numFmtId="177" fontId="0" fillId="0" borderId="1" xfId="0" applyNumberFormat="1" applyBorder="1" applyAlignment="1">
      <alignment horizontal="center" vertical="center" wrapText="1"/>
    </xf>
    <xf numFmtId="177" fontId="0" fillId="0" borderId="1" xfId="0" applyNumberFormat="1" applyFont="1" applyBorder="1" applyAlignment="1">
      <alignment horizontal="center" vertical="center"/>
    </xf>
    <xf numFmtId="177" fontId="0" fillId="0" borderId="1" xfId="0" applyNumberFormat="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7" fontId="4" fillId="0" borderId="1" xfId="0" applyNumberFormat="1" applyFont="1" applyBorder="1" applyAlignment="1">
      <alignment horizontal="center" vertical="center"/>
    </xf>
    <xf numFmtId="177" fontId="0" fillId="0" borderId="1" xfId="0" applyNumberFormat="1" applyFont="1" applyBorder="1" applyAlignment="1">
      <alignment horizontal="center" vertical="center" wrapText="1"/>
    </xf>
    <xf numFmtId="177" fontId="2" fillId="0" borderId="1" xfId="0" applyNumberFormat="1" applyFont="1" applyBorder="1" applyAlignment="1">
      <alignment horizontal="center" vertical="center" wrapText="1"/>
    </xf>
    <xf numFmtId="177" fontId="5" fillId="0" borderId="1" xfId="1" applyNumberFormat="1" applyFont="1" applyFill="1" applyBorder="1" applyAlignment="1">
      <alignment horizontal="center" vertical="center" wrapText="1"/>
    </xf>
    <xf numFmtId="177" fontId="0" fillId="0" borderId="0" xfId="0" applyNumberFormat="1" applyAlignment="1">
      <alignment horizontal="center" vertical="center"/>
    </xf>
    <xf numFmtId="0" fontId="0" fillId="0" borderId="1" xfId="0" applyNumberFormat="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vertical="center" wrapText="1"/>
    </xf>
    <xf numFmtId="0" fontId="0" fillId="0" borderId="0" xfId="0" applyAlignment="1">
      <alignment horizontal="center" vertical="center"/>
    </xf>
    <xf numFmtId="0" fontId="0" fillId="0" borderId="1" xfId="0" applyFill="1" applyBorder="1" applyAlignment="1">
      <alignment horizontal="center" vertical="center"/>
    </xf>
    <xf numFmtId="0" fontId="0" fillId="25" borderId="1" xfId="0" applyFill="1" applyBorder="1" applyAlignment="1">
      <alignment horizontal="center" vertical="center"/>
    </xf>
    <xf numFmtId="177" fontId="0" fillId="25" borderId="1" xfId="0" applyNumberFormat="1" applyFill="1" applyBorder="1" applyAlignment="1">
      <alignment horizontal="center" vertical="center"/>
    </xf>
    <xf numFmtId="177" fontId="0" fillId="25" borderId="1" xfId="0" applyNumberFormat="1" applyFont="1" applyFill="1" applyBorder="1" applyAlignment="1">
      <alignment horizontal="center" vertical="center" wrapText="1"/>
    </xf>
    <xf numFmtId="177" fontId="5" fillId="25" borderId="1" xfId="1" applyNumberFormat="1" applyFont="1" applyFill="1" applyBorder="1" applyAlignment="1">
      <alignment horizontal="center" vertical="center" wrapText="1"/>
    </xf>
    <xf numFmtId="0" fontId="13" fillId="25" borderId="1" xfId="0" applyFont="1" applyFill="1" applyBorder="1" applyAlignment="1">
      <alignment horizontal="left" vertical="center" wrapText="1"/>
    </xf>
    <xf numFmtId="0" fontId="13" fillId="25" borderId="1" xfId="0" applyFont="1" applyFill="1" applyBorder="1" applyAlignment="1">
      <alignment vertical="center" wrapText="1"/>
    </xf>
    <xf numFmtId="0" fontId="0" fillId="0" borderId="1" xfId="0" applyNumberFormat="1" applyBorder="1" applyAlignment="1">
      <alignment horizontal="center" vertical="center"/>
    </xf>
    <xf numFmtId="0" fontId="5" fillId="26" borderId="1" xfId="1" applyFont="1" applyFill="1" applyBorder="1" applyAlignment="1">
      <alignment horizontal="left" vertical="center" wrapText="1"/>
    </xf>
    <xf numFmtId="0" fontId="0" fillId="26" borderId="1" xfId="0" applyFill="1" applyBorder="1" applyAlignment="1">
      <alignment horizontal="center" vertical="center"/>
    </xf>
    <xf numFmtId="177" fontId="0" fillId="26" borderId="1" xfId="0" applyNumberFormat="1" applyFill="1" applyBorder="1" applyAlignment="1">
      <alignment horizontal="center" vertical="center"/>
    </xf>
    <xf numFmtId="177" fontId="0" fillId="26" borderId="1" xfId="0" applyNumberFormat="1" applyFont="1" applyFill="1" applyBorder="1" applyAlignment="1">
      <alignment horizontal="center" vertical="center" wrapText="1"/>
    </xf>
    <xf numFmtId="177" fontId="5" fillId="26" borderId="1" xfId="1" applyNumberFormat="1" applyFont="1" applyFill="1" applyBorder="1" applyAlignment="1">
      <alignment horizontal="center" vertical="center" wrapText="1"/>
    </xf>
    <xf numFmtId="0" fontId="13" fillId="26" borderId="1" xfId="0" applyFont="1" applyFill="1" applyBorder="1" applyAlignment="1">
      <alignment vertical="center" wrapText="1"/>
    </xf>
    <xf numFmtId="0" fontId="0" fillId="0" borderId="0" xfId="0">
      <alignment vertical="center"/>
    </xf>
    <xf numFmtId="0" fontId="0" fillId="0" borderId="1" xfId="0" applyBorder="1" applyAlignment="1">
      <alignment horizontal="center" vertical="center"/>
    </xf>
    <xf numFmtId="0" fontId="13" fillId="0" borderId="1" xfId="0" applyFont="1" applyBorder="1" applyAlignment="1">
      <alignment horizontal="center" vertical="center"/>
    </xf>
    <xf numFmtId="0" fontId="13" fillId="0" borderId="0" xfId="0" applyFont="1">
      <alignment vertical="center"/>
    </xf>
    <xf numFmtId="177" fontId="0" fillId="0" borderId="1" xfId="0" applyNumberFormat="1" applyFont="1" applyBorder="1" applyAlignment="1">
      <alignment horizontal="center" vertical="center" wrapText="1"/>
    </xf>
    <xf numFmtId="0" fontId="13" fillId="0" borderId="1" xfId="0" applyFont="1" applyBorder="1" applyAlignment="1">
      <alignment vertical="center" wrapText="1"/>
    </xf>
    <xf numFmtId="0" fontId="34" fillId="0" borderId="0" xfId="0" applyFont="1" applyFill="1">
      <alignment vertical="center"/>
    </xf>
    <xf numFmtId="0" fontId="14" fillId="27" borderId="1" xfId="0" applyFont="1" applyFill="1" applyBorder="1" applyAlignment="1">
      <alignment horizontal="center" vertical="center"/>
    </xf>
    <xf numFmtId="0" fontId="14"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14" fillId="27"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lignment vertical="center"/>
    </xf>
    <xf numFmtId="0" fontId="13" fillId="26" borderId="1" xfId="0" applyFont="1" applyFill="1" applyBorder="1" applyAlignment="1">
      <alignment horizontal="left" vertical="center" wrapText="1"/>
    </xf>
    <xf numFmtId="0" fontId="13" fillId="26" borderId="1" xfId="0" applyFont="1" applyFill="1" applyBorder="1" applyAlignment="1">
      <alignment horizontal="center" vertical="center"/>
    </xf>
    <xf numFmtId="177" fontId="13" fillId="26" borderId="1" xfId="0" applyNumberFormat="1" applyFont="1" applyFill="1" applyBorder="1" applyAlignment="1">
      <alignment horizontal="center" vertical="center"/>
    </xf>
    <xf numFmtId="0" fontId="13" fillId="28" borderId="1" xfId="0" applyFont="1" applyFill="1" applyBorder="1" applyAlignment="1">
      <alignment horizontal="left" vertical="center" wrapText="1"/>
    </xf>
    <xf numFmtId="0" fontId="0" fillId="28" borderId="1" xfId="0" applyFill="1" applyBorder="1" applyAlignment="1">
      <alignment horizontal="center" vertical="center"/>
    </xf>
    <xf numFmtId="177" fontId="0" fillId="28" borderId="1" xfId="0" applyNumberFormat="1" applyFont="1" applyFill="1" applyBorder="1" applyAlignment="1">
      <alignment horizontal="center" vertical="center"/>
    </xf>
    <xf numFmtId="177" fontId="5" fillId="28" borderId="1" xfId="1" applyNumberFormat="1" applyFont="1" applyFill="1" applyBorder="1" applyAlignment="1">
      <alignment horizontal="center" vertical="center" wrapText="1"/>
    </xf>
    <xf numFmtId="0" fontId="13" fillId="28" borderId="1" xfId="0" applyFont="1" applyFill="1" applyBorder="1" applyAlignment="1">
      <alignment vertical="center" wrapText="1"/>
    </xf>
    <xf numFmtId="0" fontId="5" fillId="28" borderId="1" xfId="1" applyFont="1" applyFill="1" applyBorder="1" applyAlignment="1">
      <alignment horizontal="left" vertical="center" wrapText="1"/>
    </xf>
    <xf numFmtId="177" fontId="0" fillId="28" borderId="1" xfId="0" applyNumberFormat="1" applyFill="1" applyBorder="1" applyAlignment="1">
      <alignment horizontal="center" vertical="center"/>
    </xf>
    <xf numFmtId="177" fontId="0" fillId="28" borderId="1" xfId="0" applyNumberFormat="1" applyFont="1" applyFill="1" applyBorder="1" applyAlignment="1">
      <alignment horizontal="center" vertical="center" wrapText="1"/>
    </xf>
    <xf numFmtId="0" fontId="13" fillId="28" borderId="1" xfId="0" applyFont="1" applyFill="1" applyBorder="1" applyAlignment="1">
      <alignment horizontal="center" vertical="center"/>
    </xf>
    <xf numFmtId="0" fontId="0" fillId="30" borderId="0" xfId="0" applyFill="1">
      <alignment vertical="center"/>
    </xf>
    <xf numFmtId="0" fontId="5" fillId="26" borderId="1" xfId="1" applyFont="1" applyFill="1" applyBorder="1" applyAlignment="1">
      <alignment horizontal="center" vertical="center" wrapText="1"/>
    </xf>
    <xf numFmtId="0" fontId="0" fillId="26" borderId="0" xfId="0" applyFill="1">
      <alignment vertical="center"/>
    </xf>
    <xf numFmtId="0" fontId="0" fillId="26" borderId="1" xfId="0" applyFont="1" applyFill="1" applyBorder="1" applyAlignment="1">
      <alignment horizontal="center" vertical="center"/>
    </xf>
    <xf numFmtId="177" fontId="0" fillId="26" borderId="1" xfId="0" applyNumberFormat="1" applyFont="1" applyFill="1" applyBorder="1" applyAlignment="1">
      <alignment horizontal="center" vertical="center"/>
    </xf>
    <xf numFmtId="0" fontId="0" fillId="26" borderId="1" xfId="0" applyFill="1" applyBorder="1" applyAlignment="1">
      <alignment horizontal="left" vertical="center" wrapText="1"/>
    </xf>
    <xf numFmtId="0" fontId="0" fillId="0" borderId="1" xfId="0" applyNumberFormat="1" applyFill="1" applyBorder="1" applyAlignment="1">
      <alignment horizontal="center" vertical="center"/>
    </xf>
    <xf numFmtId="177" fontId="13" fillId="26" borderId="1" xfId="0" applyNumberFormat="1" applyFont="1" applyFill="1" applyBorder="1" applyAlignment="1">
      <alignment horizontal="center" vertical="center" wrapText="1"/>
    </xf>
    <xf numFmtId="0" fontId="38" fillId="0" borderId="1" xfId="0" applyFont="1" applyBorder="1" applyAlignment="1">
      <alignment horizontal="center" vertical="center"/>
    </xf>
    <xf numFmtId="0" fontId="38" fillId="0" borderId="1" xfId="0" applyFont="1" applyBorder="1" applyAlignment="1">
      <alignment horizontal="center" vertical="center" wrapText="1"/>
    </xf>
    <xf numFmtId="0" fontId="39" fillId="0" borderId="1" xfId="0" applyFont="1" applyBorder="1" applyAlignment="1">
      <alignment horizontal="center" vertical="center"/>
    </xf>
    <xf numFmtId="0" fontId="39" fillId="0" borderId="1" xfId="0" applyFont="1" applyBorder="1" applyAlignment="1">
      <alignment horizontal="center" vertical="center" wrapText="1"/>
    </xf>
    <xf numFmtId="58" fontId="39" fillId="0" borderId="1" xfId="0" applyNumberFormat="1" applyFont="1" applyBorder="1" applyAlignment="1">
      <alignment horizontal="center" vertical="center"/>
    </xf>
    <xf numFmtId="0" fontId="39" fillId="0" borderId="1" xfId="0" applyFont="1" applyBorder="1" applyAlignment="1">
      <alignment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39" fillId="28" borderId="1" xfId="0" applyFont="1" applyFill="1" applyBorder="1" applyAlignment="1">
      <alignment horizontal="center" vertical="center"/>
    </xf>
    <xf numFmtId="0" fontId="39" fillId="28" borderId="1" xfId="0" applyFont="1" applyFill="1" applyBorder="1" applyAlignment="1">
      <alignment horizontal="center" vertical="center" wrapText="1"/>
    </xf>
    <xf numFmtId="0" fontId="39" fillId="28" borderId="1" xfId="0" applyFont="1" applyFill="1" applyBorder="1" applyAlignment="1">
      <alignment vertical="center" wrapText="1"/>
    </xf>
    <xf numFmtId="58" fontId="39" fillId="28" borderId="1" xfId="0" applyNumberFormat="1" applyFont="1" applyFill="1" applyBorder="1" applyAlignment="1">
      <alignment horizontal="center" vertical="center"/>
    </xf>
    <xf numFmtId="0" fontId="39" fillId="25" borderId="1" xfId="0" applyFont="1" applyFill="1" applyBorder="1" applyAlignment="1">
      <alignment vertical="center" wrapText="1"/>
    </xf>
    <xf numFmtId="0" fontId="39" fillId="25" borderId="1" xfId="0" applyFont="1" applyFill="1" applyBorder="1" applyAlignment="1">
      <alignment horizontal="center" vertical="center" wrapText="1"/>
    </xf>
    <xf numFmtId="0" fontId="39" fillId="29" borderId="1" xfId="0" applyFont="1" applyFill="1" applyBorder="1" applyAlignment="1">
      <alignment horizontal="center" vertical="center"/>
    </xf>
    <xf numFmtId="0" fontId="39" fillId="29" borderId="1" xfId="0" applyFont="1" applyFill="1" applyBorder="1" applyAlignment="1">
      <alignment horizontal="center" vertical="center" wrapText="1"/>
    </xf>
    <xf numFmtId="58" fontId="39" fillId="29" borderId="1" xfId="0" applyNumberFormat="1" applyFont="1" applyFill="1" applyBorder="1" applyAlignment="1">
      <alignment horizontal="center" vertical="center"/>
    </xf>
    <xf numFmtId="0" fontId="39" fillId="29" borderId="1" xfId="0" applyFont="1" applyFill="1" applyBorder="1" applyAlignment="1">
      <alignment horizontal="left" vertical="center" wrapText="1"/>
    </xf>
    <xf numFmtId="0" fontId="13"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NumberFormat="1" applyFill="1" applyBorder="1">
      <alignment vertical="center"/>
    </xf>
    <xf numFmtId="0" fontId="0" fillId="0" borderId="1" xfId="0" applyFont="1" applyFill="1" applyBorder="1" applyAlignment="1">
      <alignment horizontal="center" vertical="center"/>
    </xf>
    <xf numFmtId="0" fontId="39" fillId="28" borderId="1" xfId="0" applyFont="1" applyFill="1" applyBorder="1" applyAlignment="1">
      <alignment horizontal="left" vertical="center" wrapText="1"/>
    </xf>
    <xf numFmtId="0" fontId="39" fillId="25" borderId="1"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0" fillId="0" borderId="0" xfId="0" applyAlignment="1">
      <alignment horizontal="left" vertical="center" wrapText="1"/>
    </xf>
    <xf numFmtId="0" fontId="0" fillId="31" borderId="1" xfId="0" applyFill="1" applyBorder="1" applyAlignment="1">
      <alignment horizontal="center" vertical="center" wrapText="1"/>
    </xf>
    <xf numFmtId="0" fontId="13" fillId="31"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0" fillId="0" borderId="0" xfId="0">
      <alignment vertical="center"/>
    </xf>
    <xf numFmtId="49" fontId="0" fillId="0" borderId="0" xfId="0" applyNumberFormat="1">
      <alignment vertical="center"/>
    </xf>
    <xf numFmtId="0" fontId="39" fillId="0" borderId="1" xfId="0" applyFont="1" applyBorder="1">
      <alignment vertical="center"/>
    </xf>
    <xf numFmtId="179" fontId="39" fillId="0" borderId="1" xfId="0" applyNumberFormat="1" applyFont="1" applyBorder="1" applyAlignment="1">
      <alignment horizontal="center" vertical="center"/>
    </xf>
    <xf numFmtId="0" fontId="39" fillId="0" borderId="17" xfId="0" applyNumberFormat="1" applyFont="1" applyBorder="1" applyAlignment="1">
      <alignment horizontal="center" vertical="center"/>
    </xf>
    <xf numFmtId="0" fontId="39" fillId="0" borderId="16" xfId="0" applyNumberFormat="1" applyFont="1" applyBorder="1" applyAlignment="1">
      <alignment vertical="center" wrapText="1"/>
    </xf>
    <xf numFmtId="49" fontId="39" fillId="0" borderId="1" xfId="0" applyNumberFormat="1" applyFont="1" applyBorder="1" applyAlignment="1">
      <alignment horizontal="center" vertical="center"/>
    </xf>
    <xf numFmtId="0" fontId="39" fillId="0" borderId="11" xfId="0" applyFont="1" applyBorder="1" applyAlignment="1">
      <alignment horizontal="center" vertical="center"/>
    </xf>
    <xf numFmtId="0" fontId="39" fillId="0" borderId="1" xfId="0" applyNumberFormat="1" applyFont="1" applyBorder="1" applyAlignment="1">
      <alignment vertical="center" wrapText="1"/>
    </xf>
    <xf numFmtId="0" fontId="39" fillId="0" borderId="1" xfId="0" applyNumberFormat="1" applyFont="1" applyFill="1" applyBorder="1">
      <alignment vertical="center"/>
    </xf>
    <xf numFmtId="0" fontId="39" fillId="0" borderId="1" xfId="0" applyNumberFormat="1" applyFont="1" applyBorder="1">
      <alignment vertical="center"/>
    </xf>
    <xf numFmtId="0" fontId="39" fillId="0" borderId="11" xfId="0" applyNumberFormat="1" applyFont="1" applyBorder="1">
      <alignment vertical="center"/>
    </xf>
    <xf numFmtId="49" fontId="39" fillId="0" borderId="1" xfId="0" applyNumberFormat="1" applyFont="1" applyFill="1" applyBorder="1">
      <alignment vertical="center"/>
    </xf>
    <xf numFmtId="0" fontId="39" fillId="0" borderId="11" xfId="0" applyFont="1" applyBorder="1">
      <alignment vertical="center"/>
    </xf>
    <xf numFmtId="0" fontId="39" fillId="25" borderId="1" xfId="0" applyFont="1" applyFill="1" applyBorder="1">
      <alignment vertical="center"/>
    </xf>
    <xf numFmtId="0" fontId="39" fillId="0" borderId="1" xfId="0" applyFont="1" applyFill="1" applyBorder="1">
      <alignment vertical="center"/>
    </xf>
    <xf numFmtId="0" fontId="39" fillId="0" borderId="11" xfId="0" applyFont="1" applyFill="1" applyBorder="1">
      <alignment vertical="center"/>
    </xf>
    <xf numFmtId="0" fontId="39" fillId="0" borderId="1" xfId="0" applyNumberFormat="1" applyFont="1" applyBorder="1" applyAlignment="1">
      <alignment horizontal="center" vertical="center"/>
    </xf>
    <xf numFmtId="0" fontId="0" fillId="28" borderId="1" xfId="0" applyFill="1" applyBorder="1" applyAlignment="1">
      <alignment horizontal="left" vertical="center" wrapText="1"/>
    </xf>
    <xf numFmtId="0" fontId="0" fillId="0" borderId="1" xfId="0" applyBorder="1">
      <alignment vertical="center"/>
    </xf>
    <xf numFmtId="0" fontId="0" fillId="0" borderId="1" xfId="0" applyBorder="1" applyAlignment="1">
      <alignment horizontal="left" vertical="center"/>
    </xf>
    <xf numFmtId="0" fontId="0" fillId="0" borderId="0" xfId="0" applyAlignment="1">
      <alignment horizontal="left" vertical="center"/>
    </xf>
    <xf numFmtId="0" fontId="39" fillId="29" borderId="1" xfId="0" applyFont="1" applyFill="1" applyBorder="1" applyAlignment="1">
      <alignment vertical="center" wrapText="1"/>
    </xf>
    <xf numFmtId="0" fontId="39" fillId="25" borderId="1" xfId="0" applyFont="1" applyFill="1" applyBorder="1" applyAlignment="1">
      <alignment horizontal="center" vertical="center"/>
    </xf>
    <xf numFmtId="0" fontId="38" fillId="0" borderId="1"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0" xfId="0" applyFont="1" applyFill="1" applyBorder="1" applyAlignment="1">
      <alignment horizontal="center" vertical="center" wrapText="1"/>
    </xf>
    <xf numFmtId="0" fontId="39" fillId="0" borderId="0" xfId="0" applyFont="1" applyFill="1" applyBorder="1" applyAlignment="1">
      <alignment vertical="center" wrapText="1"/>
    </xf>
    <xf numFmtId="0" fontId="0" fillId="29" borderId="1" xfId="0" applyFill="1" applyBorder="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44" fillId="0" borderId="0" xfId="0" applyFont="1" applyAlignment="1"/>
    <xf numFmtId="0" fontId="43" fillId="0" borderId="0" xfId="0" applyFont="1" applyBorder="1" applyAlignment="1"/>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0" fillId="0" borderId="1" xfId="0" applyFill="1" applyBorder="1">
      <alignment vertical="center"/>
    </xf>
    <xf numFmtId="0" fontId="39" fillId="28"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8" fillId="0" borderId="1" xfId="0" applyFont="1" applyBorder="1" applyAlignment="1">
      <alignment vertical="center" wrapText="1"/>
    </xf>
    <xf numFmtId="1" fontId="0" fillId="0" borderId="0" xfId="0" applyNumberFormat="1">
      <alignment vertical="center"/>
    </xf>
    <xf numFmtId="0" fontId="13" fillId="0" borderId="0" xfId="0" applyFont="1" applyFill="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0" borderId="1" xfId="0" applyBorder="1" applyAlignment="1">
      <alignment vertical="center" wrapText="1"/>
    </xf>
    <xf numFmtId="0" fontId="43" fillId="0" borderId="0" xfId="0" applyFont="1" applyFill="1" applyBorder="1" applyAlignment="1"/>
    <xf numFmtId="0" fontId="44" fillId="0" borderId="0" xfId="0" applyFont="1" applyFill="1" applyAlignment="1"/>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58" fontId="39" fillId="0" borderId="1" xfId="0" applyNumberFormat="1" applyFont="1" applyBorder="1" applyAlignment="1">
      <alignment horizontal="left" vertical="center"/>
    </xf>
    <xf numFmtId="0" fontId="39" fillId="0" borderId="0" xfId="0" applyFont="1" applyAlignment="1">
      <alignment horizontal="center" vertical="center"/>
    </xf>
    <xf numFmtId="0" fontId="39" fillId="0" borderId="0" xfId="0" applyFont="1">
      <alignment vertical="center"/>
    </xf>
    <xf numFmtId="0" fontId="39" fillId="0" borderId="0" xfId="0" applyFont="1" applyAlignment="1">
      <alignment horizontal="left" vertical="center"/>
    </xf>
    <xf numFmtId="0" fontId="39" fillId="0" borderId="1" xfId="0" applyFont="1" applyFill="1" applyBorder="1" applyAlignment="1">
      <alignment vertical="center" wrapText="1"/>
    </xf>
    <xf numFmtId="0" fontId="39" fillId="0" borderId="0" xfId="0" applyFont="1" applyAlignment="1">
      <alignment vertical="center" wrapText="1"/>
    </xf>
    <xf numFmtId="0" fontId="61" fillId="0" borderId="1" xfId="0" applyFont="1" applyBorder="1" applyAlignment="1">
      <alignment horizontal="center" vertical="center"/>
    </xf>
    <xf numFmtId="0" fontId="61" fillId="0" borderId="1" xfId="0" applyFont="1" applyBorder="1" applyAlignment="1">
      <alignment vertical="center" wrapText="1"/>
    </xf>
    <xf numFmtId="0" fontId="61" fillId="0" borderId="1" xfId="0" applyFont="1" applyBorder="1" applyAlignment="1">
      <alignment horizontal="left" vertical="center"/>
    </xf>
    <xf numFmtId="0" fontId="61" fillId="0" borderId="1" xfId="0" applyFont="1" applyBorder="1">
      <alignment vertical="center"/>
    </xf>
    <xf numFmtId="0" fontId="61" fillId="0" borderId="0" xfId="0" applyFont="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0" fillId="28" borderId="1" xfId="0" applyFont="1" applyFill="1" applyBorder="1" applyAlignment="1">
      <alignment horizontal="center" vertical="center"/>
    </xf>
    <xf numFmtId="177" fontId="13" fillId="28" borderId="1" xfId="0" applyNumberFormat="1" applyFont="1" applyFill="1" applyBorder="1" applyAlignment="1">
      <alignment horizontal="center" vertical="center"/>
    </xf>
    <xf numFmtId="0" fontId="5" fillId="28" borderId="1" xfId="1" applyFont="1" applyFill="1" applyBorder="1" applyAlignment="1">
      <alignment horizontal="center" vertical="center" wrapText="1"/>
    </xf>
    <xf numFmtId="0" fontId="39" fillId="25" borderId="1" xfId="0" applyFont="1" applyFill="1" applyBorder="1" applyAlignment="1">
      <alignment horizontal="center" vertical="center"/>
    </xf>
    <xf numFmtId="58" fontId="39" fillId="0" borderId="1" xfId="0" applyNumberFormat="1" applyFont="1" applyFill="1" applyBorder="1" applyAlignment="1">
      <alignment horizontal="center" vertical="center"/>
    </xf>
    <xf numFmtId="58" fontId="39" fillId="0" borderId="0" xfId="0" applyNumberFormat="1" applyFont="1" applyFill="1" applyBorder="1" applyAlignment="1">
      <alignment horizontal="center" vertical="center"/>
    </xf>
    <xf numFmtId="0" fontId="39" fillId="32" borderId="1" xfId="0" applyFont="1" applyFill="1" applyBorder="1" applyAlignment="1">
      <alignment horizontal="center" vertical="center"/>
    </xf>
    <xf numFmtId="0" fontId="39" fillId="32" borderId="1" xfId="0" applyFont="1" applyFill="1" applyBorder="1" applyAlignment="1">
      <alignment vertical="center" wrapText="1"/>
    </xf>
    <xf numFmtId="0" fontId="39" fillId="32" borderId="1" xfId="0" applyFont="1" applyFill="1" applyBorder="1" applyAlignment="1">
      <alignment horizontal="center" vertical="center" wrapText="1"/>
    </xf>
    <xf numFmtId="58" fontId="39" fillId="32" borderId="1" xfId="0" applyNumberFormat="1" applyFont="1" applyFill="1" applyBorder="1" applyAlignment="1">
      <alignment horizontal="center" vertical="center"/>
    </xf>
    <xf numFmtId="0" fontId="39" fillId="32" borderId="1" xfId="0" applyFont="1" applyFill="1" applyBorder="1" applyAlignment="1">
      <alignment horizontal="center" vertical="center" wrapText="1"/>
    </xf>
    <xf numFmtId="0" fontId="39" fillId="25" borderId="1" xfId="0" applyFont="1" applyFill="1" applyBorder="1" applyAlignment="1">
      <alignment horizontal="center" vertical="center"/>
    </xf>
    <xf numFmtId="0" fontId="39" fillId="32"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5"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13" fillId="0" borderId="1" xfId="0" applyFont="1" applyBorder="1" applyAlignment="1">
      <alignment horizontal="lef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0" fillId="25" borderId="0" xfId="0" applyFill="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0" borderId="1" xfId="0" applyFont="1" applyFill="1" applyBorder="1" applyAlignment="1">
      <alignment horizontal="center" vertical="center"/>
    </xf>
    <xf numFmtId="0" fontId="14"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63" fillId="0" borderId="1" xfId="0" applyFont="1" applyBorder="1" applyAlignment="1">
      <alignment vertical="center" wrapText="1"/>
    </xf>
    <xf numFmtId="0" fontId="63" fillId="25" borderId="1" xfId="0" applyFont="1" applyFill="1" applyBorder="1" applyAlignment="1">
      <alignment vertical="center" wrapText="1"/>
    </xf>
    <xf numFmtId="0" fontId="63" fillId="25"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0" borderId="1" xfId="0" applyNumberFormat="1" applyFont="1" applyBorder="1" applyAlignment="1">
      <alignment horizontal="center" vertical="center"/>
    </xf>
    <xf numFmtId="0" fontId="5" fillId="25" borderId="1" xfId="1" applyFont="1" applyFill="1" applyBorder="1" applyAlignment="1">
      <alignment horizontal="left" vertical="center" wrapText="1"/>
    </xf>
    <xf numFmtId="0" fontId="0" fillId="25" borderId="1" xfId="0" applyFont="1" applyFill="1" applyBorder="1" applyAlignment="1">
      <alignment horizontal="center" vertical="center"/>
    </xf>
    <xf numFmtId="177" fontId="0" fillId="25" borderId="1" xfId="0" applyNumberFormat="1" applyFont="1" applyFill="1" applyBorder="1" applyAlignment="1">
      <alignment horizontal="center" vertical="center"/>
    </xf>
    <xf numFmtId="0" fontId="39" fillId="33" borderId="1" xfId="0" applyFont="1" applyFill="1" applyBorder="1" applyAlignment="1">
      <alignment horizontal="center" vertical="center"/>
    </xf>
    <xf numFmtId="0" fontId="39" fillId="33" borderId="1" xfId="0" applyNumberFormat="1" applyFont="1" applyFill="1" applyBorder="1">
      <alignment vertical="center"/>
    </xf>
    <xf numFmtId="0" fontId="39" fillId="33" borderId="1" xfId="0" applyFont="1" applyFill="1" applyBorder="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32"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32" borderId="1"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13" fillId="25"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177" fontId="0" fillId="26" borderId="0" xfId="0" applyNumberFormat="1" applyFill="1">
      <alignment vertical="center"/>
    </xf>
    <xf numFmtId="0" fontId="39" fillId="0" borderId="1" xfId="0" applyFont="1" applyFill="1" applyBorder="1" applyAlignment="1">
      <alignment horizontal="center" vertical="center" wrapText="1"/>
    </xf>
    <xf numFmtId="0" fontId="39" fillId="25"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32"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6" fillId="28" borderId="1" xfId="0" applyFont="1" applyFill="1" applyBorder="1" applyAlignment="1">
      <alignment horizontal="center" vertical="center"/>
    </xf>
    <xf numFmtId="0" fontId="39" fillId="28" borderId="16" xfId="0" applyFont="1" applyFill="1" applyBorder="1" applyAlignment="1">
      <alignment horizontal="left" vertical="center" wrapText="1"/>
    </xf>
    <xf numFmtId="0" fontId="39" fillId="0" borderId="1" xfId="0" applyFont="1" applyFill="1" applyBorder="1" applyAlignment="1">
      <alignment horizontal="center" vertical="center"/>
    </xf>
    <xf numFmtId="0" fontId="39" fillId="32" borderId="1" xfId="0" applyFont="1" applyFill="1" applyBorder="1" applyAlignment="1">
      <alignment horizontal="center" vertical="center" wrapText="1"/>
    </xf>
    <xf numFmtId="0" fontId="39" fillId="32" borderId="1" xfId="0" applyFont="1" applyFill="1" applyBorder="1" applyAlignment="1">
      <alignment horizontal="center" vertical="center"/>
    </xf>
    <xf numFmtId="0" fontId="39" fillId="32" borderId="1" xfId="0" applyFont="1" applyFill="1" applyBorder="1" applyAlignment="1">
      <alignment horizontal="left" vertical="center" wrapText="1"/>
    </xf>
    <xf numFmtId="0" fontId="39" fillId="0" borderId="1" xfId="0" applyFont="1" applyFill="1" applyBorder="1" applyAlignment="1">
      <alignment horizontal="center" vertical="center" wrapText="1"/>
    </xf>
    <xf numFmtId="0" fontId="39" fillId="32" borderId="1" xfId="0" applyFont="1" applyFill="1" applyBorder="1" applyAlignment="1">
      <alignment horizontal="center" vertical="center" wrapText="1"/>
    </xf>
    <xf numFmtId="180" fontId="0" fillId="0" borderId="0" xfId="0" applyNumberFormat="1" applyAlignment="1">
      <alignment horizontal="center" vertical="center"/>
    </xf>
    <xf numFmtId="180" fontId="0" fillId="0" borderId="1" xfId="0" applyNumberFormat="1" applyBorder="1" applyAlignment="1">
      <alignment horizontal="center" vertical="center"/>
    </xf>
    <xf numFmtId="180" fontId="13" fillId="0" borderId="1" xfId="0" applyNumberFormat="1" applyFont="1" applyBorder="1" applyAlignment="1">
      <alignment horizontal="center" vertical="center"/>
    </xf>
    <xf numFmtId="31" fontId="40" fillId="0" borderId="12" xfId="0" applyNumberFormat="1" applyFont="1" applyBorder="1" applyAlignment="1">
      <alignment vertical="center" wrapText="1"/>
    </xf>
    <xf numFmtId="0" fontId="39" fillId="25" borderId="0" xfId="0" applyFont="1" applyFill="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32" borderId="1" xfId="0" applyFont="1" applyFill="1" applyBorder="1" applyAlignment="1">
      <alignment horizontal="center" vertical="center" wrapText="1"/>
    </xf>
    <xf numFmtId="0" fontId="39" fillId="32" borderId="1" xfId="0" applyFont="1" applyFill="1" applyBorder="1" applyAlignment="1">
      <alignment horizontal="center" vertical="center" wrapText="1"/>
    </xf>
    <xf numFmtId="0" fontId="39" fillId="32" borderId="1" xfId="0" applyFont="1" applyFill="1" applyBorder="1" applyAlignment="1">
      <alignment horizontal="center" vertical="center"/>
    </xf>
    <xf numFmtId="0" fontId="39" fillId="32" borderId="1" xfId="0" applyFont="1" applyFill="1" applyBorder="1" applyAlignment="1">
      <alignment horizontal="left" vertical="center" wrapText="1"/>
    </xf>
    <xf numFmtId="0" fontId="39" fillId="0" borderId="1" xfId="0" applyFont="1" applyFill="1" applyBorder="1" applyAlignment="1">
      <alignment horizontal="center" vertical="center"/>
    </xf>
    <xf numFmtId="0" fontId="0" fillId="33" borderId="1" xfId="0" applyFill="1" applyBorder="1">
      <alignment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32" borderId="1" xfId="0" applyFont="1" applyFill="1" applyBorder="1" applyAlignment="1">
      <alignment horizontal="center" vertical="center"/>
    </xf>
    <xf numFmtId="0" fontId="39" fillId="32" borderId="1" xfId="0" applyFont="1" applyFill="1" applyBorder="1" applyAlignment="1">
      <alignment horizontal="left" vertical="center" wrapText="1"/>
    </xf>
    <xf numFmtId="0" fontId="39" fillId="32"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5" borderId="12" xfId="0" applyFont="1" applyFill="1" applyBorder="1">
      <alignment vertical="center"/>
    </xf>
    <xf numFmtId="0" fontId="39" fillId="33" borderId="15" xfId="0" applyNumberFormat="1" applyFont="1" applyFill="1" applyBorder="1">
      <alignment vertical="center"/>
    </xf>
    <xf numFmtId="0" fontId="0" fillId="33" borderId="0" xfId="0" applyFill="1">
      <alignment vertical="center"/>
    </xf>
    <xf numFmtId="0" fontId="39" fillId="32" borderId="1" xfId="0" applyFont="1" applyFill="1" applyBorder="1" applyAlignment="1">
      <alignment horizontal="center" vertical="center" wrapText="1"/>
    </xf>
    <xf numFmtId="0" fontId="39" fillId="32" borderId="1" xfId="0" applyFont="1" applyFill="1" applyBorder="1" applyAlignment="1">
      <alignment horizontal="center" vertical="center"/>
    </xf>
    <xf numFmtId="0" fontId="39" fillId="32"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0" fontId="38" fillId="25"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65" fillId="28" borderId="1" xfId="0" applyFont="1" applyFill="1" applyBorder="1" applyAlignment="1">
      <alignment horizontal="left" vertical="center" wrapText="1"/>
    </xf>
    <xf numFmtId="0" fontId="39" fillId="0" borderId="1" xfId="0" applyFont="1" applyFill="1" applyBorder="1" applyAlignment="1">
      <alignment horizontal="center" vertical="center"/>
    </xf>
    <xf numFmtId="0" fontId="39" fillId="32"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0" borderId="1" xfId="0"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left"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58" fontId="39" fillId="34" borderId="1" xfId="0" applyNumberFormat="1" applyFont="1" applyFill="1" applyBorder="1" applyAlignment="1">
      <alignment horizontal="center" vertical="center"/>
    </xf>
    <xf numFmtId="0" fontId="39" fillId="34" borderId="1" xfId="0" applyFont="1" applyFill="1" applyBorder="1" applyAlignment="1">
      <alignment vertical="center" wrapText="1"/>
    </xf>
    <xf numFmtId="0" fontId="39" fillId="34" borderId="1" xfId="0" applyFont="1" applyFill="1" applyBorder="1" applyAlignment="1">
      <alignment horizontal="center" vertical="center" wrapText="1"/>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39" fillId="32" borderId="1" xfId="0" applyFont="1" applyFill="1" applyBorder="1" applyAlignment="1">
      <alignment horizontal="center" vertical="center"/>
    </xf>
    <xf numFmtId="0" fontId="39" fillId="32" borderId="1" xfId="0" applyFont="1" applyFill="1" applyBorder="1" applyAlignment="1">
      <alignment horizontal="left" vertical="center" wrapText="1"/>
    </xf>
    <xf numFmtId="0" fontId="39" fillId="32" borderId="1"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 xfId="0" applyFont="1" applyFill="1" applyBorder="1" applyAlignment="1">
      <alignment horizontal="left" vertical="center" wrapText="1"/>
    </xf>
    <xf numFmtId="0" fontId="39" fillId="28" borderId="15" xfId="0" applyFont="1" applyFill="1" applyBorder="1" applyAlignment="1">
      <alignment horizontal="left" vertical="center" wrapText="1"/>
    </xf>
    <xf numFmtId="0" fontId="39" fillId="28" borderId="15" xfId="0" applyFont="1" applyFill="1" applyBorder="1" applyAlignment="1">
      <alignment horizontal="center" vertical="center" wrapText="1"/>
    </xf>
    <xf numFmtId="0" fontId="39" fillId="0" borderId="15" xfId="0" applyFont="1" applyFill="1" applyBorder="1" applyAlignment="1">
      <alignment horizontal="center" vertical="center"/>
    </xf>
    <xf numFmtId="0" fontId="39" fillId="28" borderId="15" xfId="0" applyFont="1" applyFill="1" applyBorder="1" applyAlignment="1">
      <alignment horizontal="center" vertical="center"/>
    </xf>
    <xf numFmtId="58" fontId="39" fillId="28" borderId="15" xfId="0" applyNumberFormat="1" applyFont="1" applyFill="1" applyBorder="1" applyAlignment="1">
      <alignment horizontal="center" vertical="center"/>
    </xf>
    <xf numFmtId="0" fontId="39" fillId="28" borderId="15" xfId="0" applyFont="1" applyFill="1" applyBorder="1" applyAlignment="1">
      <alignment horizontal="left" vertical="top" wrapText="1"/>
    </xf>
    <xf numFmtId="0" fontId="39" fillId="28" borderId="15" xfId="0" applyFont="1" applyFill="1" applyBorder="1" applyAlignment="1">
      <alignment horizontal="center" vertical="top" wrapText="1"/>
    </xf>
    <xf numFmtId="0" fontId="61" fillId="25" borderId="11" xfId="0" applyFont="1" applyFill="1" applyBorder="1" applyAlignment="1">
      <alignment horizontal="center" vertical="center" wrapText="1"/>
    </xf>
    <xf numFmtId="0" fontId="61" fillId="25" borderId="12" xfId="0" applyFont="1" applyFill="1" applyBorder="1" applyAlignment="1">
      <alignment horizontal="center" vertical="center" wrapText="1"/>
    </xf>
    <xf numFmtId="0" fontId="61" fillId="0" borderId="13" xfId="0" applyFont="1" applyBorder="1" applyAlignment="1">
      <alignment horizontal="center" vertical="center" wrapText="1"/>
    </xf>
    <xf numFmtId="0" fontId="61" fillId="0" borderId="12" xfId="0" applyFont="1" applyBorder="1" applyAlignment="1">
      <alignment horizontal="center" vertical="center" wrapText="1"/>
    </xf>
    <xf numFmtId="0" fontId="40" fillId="0" borderId="11" xfId="0" applyFont="1" applyBorder="1" applyAlignment="1">
      <alignment horizontal="center" vertical="center" wrapText="1"/>
    </xf>
    <xf numFmtId="0" fontId="40" fillId="0" borderId="13" xfId="0" applyFont="1" applyBorder="1" applyAlignment="1">
      <alignment horizontal="center" vertical="center" wrapText="1"/>
    </xf>
    <xf numFmtId="0" fontId="61" fillId="0" borderId="15" xfId="0" applyFont="1" applyBorder="1" applyAlignment="1">
      <alignment horizontal="center" vertical="center" wrapText="1"/>
    </xf>
    <xf numFmtId="0" fontId="61" fillId="0" borderId="21" xfId="0" applyFont="1" applyBorder="1" applyAlignment="1">
      <alignment horizontal="center" vertical="center" wrapText="1"/>
    </xf>
    <xf numFmtId="0" fontId="61" fillId="0" borderId="11" xfId="0" applyFont="1" applyBorder="1" applyAlignment="1">
      <alignment horizontal="center" vertical="center" wrapText="1"/>
    </xf>
    <xf numFmtId="0" fontId="39" fillId="0" borderId="1" xfId="0" applyFont="1" applyFill="1" applyBorder="1" applyAlignment="1">
      <alignment horizontal="left" vertical="center" wrapText="1"/>
    </xf>
    <xf numFmtId="0" fontId="39" fillId="32" borderId="11" xfId="0" applyFont="1" applyFill="1" applyBorder="1" applyAlignment="1">
      <alignment horizontal="center" vertical="center"/>
    </xf>
    <xf numFmtId="0" fontId="39" fillId="32" borderId="13" xfId="0" applyFont="1" applyFill="1" applyBorder="1" applyAlignment="1">
      <alignment horizontal="center" vertical="center"/>
    </xf>
    <xf numFmtId="0" fontId="39" fillId="32" borderId="12" xfId="0" applyFont="1" applyFill="1" applyBorder="1" applyAlignment="1">
      <alignment horizontal="center" vertical="center"/>
    </xf>
    <xf numFmtId="0" fontId="39" fillId="0" borderId="11"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11" xfId="0" applyFont="1" applyBorder="1" applyAlignment="1">
      <alignment horizontal="center" vertical="center"/>
    </xf>
    <xf numFmtId="0" fontId="39" fillId="0" borderId="13" xfId="0" applyFont="1" applyBorder="1" applyAlignment="1">
      <alignment horizontal="center" vertical="center"/>
    </xf>
    <xf numFmtId="0" fontId="39" fillId="0" borderId="12" xfId="0" applyFont="1" applyBorder="1" applyAlignment="1">
      <alignment horizontal="center" vertical="center"/>
    </xf>
    <xf numFmtId="0" fontId="39" fillId="0" borderId="11" xfId="0" applyFont="1" applyBorder="1" applyAlignment="1">
      <alignment horizontal="left" vertical="center" wrapText="1"/>
    </xf>
    <xf numFmtId="0" fontId="39" fillId="0" borderId="12" xfId="0" applyFont="1" applyBorder="1" applyAlignment="1">
      <alignment horizontal="left" vertical="center" wrapText="1"/>
    </xf>
    <xf numFmtId="0" fontId="39" fillId="0" borderId="11" xfId="0" applyFont="1" applyFill="1" applyBorder="1" applyAlignment="1">
      <alignment horizontal="center" vertical="center" wrapText="1"/>
    </xf>
    <xf numFmtId="0" fontId="39" fillId="0" borderId="12" xfId="0" applyFont="1" applyFill="1" applyBorder="1" applyAlignment="1">
      <alignment horizontal="center" vertical="center" wrapText="1"/>
    </xf>
    <xf numFmtId="0" fontId="39" fillId="25" borderId="1" xfId="0" applyFont="1" applyFill="1" applyBorder="1" applyAlignment="1">
      <alignment horizontal="center" vertical="center"/>
    </xf>
    <xf numFmtId="0" fontId="39" fillId="25" borderId="1" xfId="0" applyFont="1" applyFill="1" applyBorder="1" applyAlignment="1">
      <alignment horizontal="center" vertical="center" wrapText="1"/>
    </xf>
    <xf numFmtId="0" fontId="39" fillId="32" borderId="11" xfId="0" applyFont="1" applyFill="1" applyBorder="1" applyAlignment="1">
      <alignment horizontal="left" vertical="center" wrapText="1"/>
    </xf>
    <xf numFmtId="0" fontId="39" fillId="32" borderId="12" xfId="0" applyFont="1" applyFill="1" applyBorder="1" applyAlignment="1">
      <alignment horizontal="left" vertical="center" wrapText="1"/>
    </xf>
    <xf numFmtId="0" fontId="39" fillId="0" borderId="11" xfId="0" applyFont="1" applyFill="1" applyBorder="1" applyAlignment="1">
      <alignment horizontal="center" vertical="center"/>
    </xf>
    <xf numFmtId="0" fontId="39" fillId="0" borderId="13" xfId="0" applyFont="1" applyFill="1" applyBorder="1" applyAlignment="1">
      <alignment horizontal="center" vertical="center"/>
    </xf>
    <xf numFmtId="0" fontId="39" fillId="0" borderId="12" xfId="0" applyFont="1" applyFill="1" applyBorder="1" applyAlignment="1">
      <alignment horizontal="center" vertical="center"/>
    </xf>
    <xf numFmtId="0" fontId="39" fillId="0" borderId="11" xfId="0" applyFont="1" applyFill="1" applyBorder="1" applyAlignment="1">
      <alignment horizontal="left" vertical="center" wrapText="1"/>
    </xf>
    <xf numFmtId="0" fontId="39" fillId="0" borderId="12" xfId="0" applyFont="1" applyFill="1" applyBorder="1" applyAlignment="1">
      <alignment horizontal="left" vertical="center" wrapText="1"/>
    </xf>
    <xf numFmtId="0" fontId="39" fillId="32" borderId="11" xfId="0" applyFont="1" applyFill="1" applyBorder="1" applyAlignment="1">
      <alignment horizontal="center" vertical="center" wrapText="1"/>
    </xf>
    <xf numFmtId="0" fontId="39" fillId="32" borderId="12" xfId="0" applyFont="1" applyFill="1" applyBorder="1" applyAlignment="1">
      <alignment horizontal="center" vertical="center" wrapText="1"/>
    </xf>
    <xf numFmtId="0" fontId="39" fillId="34" borderId="11" xfId="0" applyFont="1" applyFill="1" applyBorder="1" applyAlignment="1">
      <alignment horizontal="center" vertical="center" wrapText="1"/>
    </xf>
    <xf numFmtId="0" fontId="39" fillId="34" borderId="12" xfId="0" applyFont="1" applyFill="1" applyBorder="1" applyAlignment="1">
      <alignment horizontal="center" vertical="center" wrapText="1"/>
    </xf>
    <xf numFmtId="0" fontId="39" fillId="34" borderId="11" xfId="0" applyFont="1" applyFill="1" applyBorder="1" applyAlignment="1">
      <alignment horizontal="center" vertical="center"/>
    </xf>
    <xf numFmtId="0" fontId="39" fillId="34" borderId="13" xfId="0" applyFont="1" applyFill="1" applyBorder="1" applyAlignment="1">
      <alignment horizontal="center" vertical="center"/>
    </xf>
    <xf numFmtId="0" fontId="39" fillId="34" borderId="12" xfId="0" applyFont="1" applyFill="1" applyBorder="1" applyAlignment="1">
      <alignment horizontal="center" vertical="center"/>
    </xf>
    <xf numFmtId="0" fontId="39" fillId="34" borderId="11" xfId="0" applyFont="1" applyFill="1" applyBorder="1" applyAlignment="1">
      <alignment horizontal="left" vertical="center" wrapText="1"/>
    </xf>
    <xf numFmtId="0" fontId="39" fillId="34" borderId="12" xfId="0" applyFont="1" applyFill="1" applyBorder="1" applyAlignment="1">
      <alignment horizontal="left" vertical="center" wrapText="1"/>
    </xf>
    <xf numFmtId="0" fontId="40" fillId="0" borderId="1" xfId="0" applyFont="1" applyBorder="1" applyAlignment="1">
      <alignment horizontal="center" vertical="center"/>
    </xf>
    <xf numFmtId="0" fontId="39" fillId="28" borderId="15" xfId="0" applyFont="1" applyFill="1" applyBorder="1" applyAlignment="1">
      <alignment horizontal="center" vertical="center" wrapText="1"/>
    </xf>
    <xf numFmtId="0" fontId="39" fillId="28" borderId="16" xfId="0" applyFont="1" applyFill="1" applyBorder="1" applyAlignment="1">
      <alignment horizontal="center" vertical="center" wrapText="1"/>
    </xf>
    <xf numFmtId="58" fontId="39" fillId="28" borderId="15" xfId="0" applyNumberFormat="1" applyFont="1" applyFill="1" applyBorder="1" applyAlignment="1">
      <alignment horizontal="center" vertical="center"/>
    </xf>
    <xf numFmtId="58" fontId="39" fillId="28" borderId="16" xfId="0" applyNumberFormat="1" applyFont="1" applyFill="1" applyBorder="1" applyAlignment="1">
      <alignment horizontal="center" vertical="center"/>
    </xf>
    <xf numFmtId="0" fontId="39" fillId="28" borderId="21" xfId="0" applyFont="1" applyFill="1" applyBorder="1" applyAlignment="1">
      <alignment horizontal="center" vertical="center" wrapText="1"/>
    </xf>
    <xf numFmtId="0" fontId="39" fillId="32" borderId="1" xfId="0" applyFont="1" applyFill="1" applyBorder="1" applyAlignment="1">
      <alignment horizontal="center" vertical="center"/>
    </xf>
    <xf numFmtId="0" fontId="39" fillId="32" borderId="1" xfId="0" applyFont="1" applyFill="1" applyBorder="1" applyAlignment="1">
      <alignment horizontal="left" vertical="center" wrapText="1"/>
    </xf>
    <xf numFmtId="0" fontId="40" fillId="0" borderId="19" xfId="0" applyFont="1" applyBorder="1" applyAlignment="1">
      <alignment horizontal="center" vertical="center"/>
    </xf>
    <xf numFmtId="0" fontId="38" fillId="0" borderId="11" xfId="0" applyFont="1" applyBorder="1" applyAlignment="1">
      <alignment horizontal="center" vertical="center" wrapText="1"/>
    </xf>
    <xf numFmtId="0" fontId="38" fillId="0" borderId="12" xfId="0" applyFont="1" applyBorder="1" applyAlignment="1">
      <alignment horizontal="center" vertical="center" wrapText="1"/>
    </xf>
    <xf numFmtId="0" fontId="39" fillId="0" borderId="1" xfId="0" applyFont="1" applyFill="1" applyBorder="1" applyAlignment="1">
      <alignment horizontal="center" vertical="center"/>
    </xf>
    <xf numFmtId="0" fontId="37" fillId="0" borderId="14" xfId="0" applyFont="1" applyBorder="1" applyAlignment="1">
      <alignment horizontal="center" vertical="center"/>
    </xf>
    <xf numFmtId="0" fontId="39" fillId="28" borderId="1" xfId="0" applyFont="1" applyFill="1" applyBorder="1" applyAlignment="1">
      <alignment horizontal="center" vertical="center" wrapText="1"/>
    </xf>
    <xf numFmtId="58" fontId="39" fillId="28" borderId="1" xfId="0" applyNumberFormat="1" applyFont="1" applyFill="1" applyBorder="1" applyAlignment="1">
      <alignment horizontal="center" vertical="center"/>
    </xf>
    <xf numFmtId="0" fontId="39" fillId="28" borderId="1" xfId="0" applyFont="1" applyFill="1" applyBorder="1" applyAlignment="1">
      <alignment horizontal="left" vertical="center" wrapText="1"/>
    </xf>
    <xf numFmtId="0" fontId="39" fillId="28" borderId="15" xfId="0" applyFont="1" applyFill="1" applyBorder="1" applyAlignment="1">
      <alignment horizontal="left" vertical="center" wrapText="1"/>
    </xf>
    <xf numFmtId="0" fontId="39" fillId="28" borderId="16" xfId="0" applyFont="1" applyFill="1" applyBorder="1" applyAlignment="1">
      <alignment horizontal="left" vertical="center" wrapText="1"/>
    </xf>
    <xf numFmtId="0" fontId="37" fillId="0" borderId="11" xfId="0" applyFont="1" applyFill="1" applyBorder="1" applyAlignment="1">
      <alignment horizontal="center" vertical="center"/>
    </xf>
    <xf numFmtId="0" fontId="37" fillId="0" borderId="13" xfId="0" applyFont="1" applyFill="1" applyBorder="1" applyAlignment="1">
      <alignment horizontal="center" vertical="center"/>
    </xf>
    <xf numFmtId="0" fontId="37" fillId="0" borderId="12" xfId="0" applyFont="1" applyFill="1" applyBorder="1" applyAlignment="1">
      <alignment horizontal="center" vertical="center"/>
    </xf>
    <xf numFmtId="0" fontId="62" fillId="28" borderId="11" xfId="0" applyFont="1" applyFill="1" applyBorder="1" applyAlignment="1">
      <alignment horizontal="center" vertical="center" wrapText="1"/>
    </xf>
    <xf numFmtId="0" fontId="62" fillId="28" borderId="12"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38" fillId="0" borderId="13" xfId="0" applyFont="1" applyBorder="1" applyAlignment="1">
      <alignment horizontal="center" vertical="center" wrapText="1"/>
    </xf>
    <xf numFmtId="0" fontId="39" fillId="32" borderId="1" xfId="0" applyFont="1" applyFill="1" applyBorder="1" applyAlignment="1">
      <alignment horizontal="center" vertical="center" wrapText="1"/>
    </xf>
    <xf numFmtId="0" fontId="39" fillId="25" borderId="11" xfId="0" applyFont="1" applyFill="1" applyBorder="1" applyAlignment="1">
      <alignment horizontal="center" vertical="center" wrapText="1"/>
    </xf>
    <xf numFmtId="0" fontId="39" fillId="25" borderId="13" xfId="0" applyFont="1" applyFill="1" applyBorder="1" applyAlignment="1">
      <alignment horizontal="center" vertical="center" wrapText="1"/>
    </xf>
    <xf numFmtId="0" fontId="39" fillId="25" borderId="12" xfId="0" applyFont="1" applyFill="1" applyBorder="1" applyAlignment="1">
      <alignment horizontal="center" vertical="center" wrapText="1"/>
    </xf>
    <xf numFmtId="0" fontId="39" fillId="29" borderId="11" xfId="0" applyFont="1" applyFill="1" applyBorder="1" applyAlignment="1">
      <alignment horizontal="center" vertical="center" wrapText="1"/>
    </xf>
    <xf numFmtId="0" fontId="39" fillId="29" borderId="13" xfId="0" applyFont="1" applyFill="1" applyBorder="1" applyAlignment="1">
      <alignment horizontal="center" vertical="center" wrapText="1"/>
    </xf>
    <xf numFmtId="0" fontId="39" fillId="29" borderId="12" xfId="0" applyFont="1" applyFill="1" applyBorder="1" applyAlignment="1">
      <alignment horizontal="center" vertical="center" wrapText="1"/>
    </xf>
    <xf numFmtId="0" fontId="14" fillId="3" borderId="11" xfId="1" applyFont="1" applyFill="1" applyBorder="1" applyAlignment="1">
      <alignment horizontal="left" vertical="center"/>
    </xf>
    <xf numFmtId="0" fontId="14" fillId="3" borderId="12" xfId="1" applyFont="1" applyFill="1" applyBorder="1" applyAlignment="1">
      <alignment horizontal="left" vertical="center"/>
    </xf>
    <xf numFmtId="0" fontId="2" fillId="0" borderId="11" xfId="1" applyFont="1" applyFill="1" applyBorder="1" applyAlignment="1">
      <alignment horizontal="center" vertical="center" wrapText="1"/>
    </xf>
    <xf numFmtId="0" fontId="2" fillId="0" borderId="12" xfId="1" applyFont="1" applyFill="1" applyBorder="1" applyAlignment="1">
      <alignment horizontal="center" vertical="center" wrapText="1"/>
    </xf>
    <xf numFmtId="0" fontId="13" fillId="0" borderId="1" xfId="0" applyNumberFormat="1" applyFont="1" applyBorder="1" applyAlignment="1">
      <alignment horizontal="left" vertical="center"/>
    </xf>
    <xf numFmtId="0" fontId="0" fillId="0" borderId="1" xfId="0" applyNumberFormat="1" applyBorder="1" applyAlignment="1">
      <alignment horizontal="left" vertical="center"/>
    </xf>
    <xf numFmtId="0" fontId="2" fillId="3" borderId="1" xfId="1" applyFont="1" applyFill="1" applyBorder="1" applyAlignment="1">
      <alignment horizontal="left" vertical="center" wrapText="1"/>
    </xf>
    <xf numFmtId="0" fontId="3" fillId="3" borderId="1" xfId="1" applyFont="1" applyFill="1" applyBorder="1" applyAlignment="1">
      <alignment horizontal="left" vertical="center" wrapText="1"/>
    </xf>
    <xf numFmtId="0" fontId="14" fillId="3" borderId="1" xfId="1" applyFont="1" applyFill="1" applyBorder="1" applyAlignment="1">
      <alignment horizontal="left" vertical="center" wrapText="1"/>
    </xf>
    <xf numFmtId="178" fontId="2" fillId="0" borderId="1" xfId="0" applyNumberFormat="1" applyFont="1" applyBorder="1" applyAlignment="1">
      <alignment horizontal="center" vertical="center"/>
    </xf>
    <xf numFmtId="0" fontId="14" fillId="3" borderId="1" xfId="1" applyFont="1" applyFill="1" applyBorder="1" applyAlignment="1">
      <alignment horizontal="left" vertical="center"/>
    </xf>
    <xf numFmtId="0" fontId="2" fillId="3" borderId="1" xfId="1" applyFont="1" applyFill="1" applyBorder="1" applyAlignment="1">
      <alignment horizontal="left" vertical="center"/>
    </xf>
    <xf numFmtId="0" fontId="8"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 fontId="2" fillId="0" borderId="1" xfId="1" applyNumberFormat="1" applyFont="1" applyFill="1" applyBorder="1" applyAlignment="1">
      <alignment horizontal="center" vertical="center" wrapText="1"/>
    </xf>
    <xf numFmtId="0" fontId="0" fillId="25" borderId="11" xfId="0" applyNumberFormat="1" applyFill="1" applyBorder="1" applyAlignment="1">
      <alignment horizontal="center" vertical="center"/>
    </xf>
    <xf numFmtId="0" fontId="0" fillId="25" borderId="12" xfId="0" applyNumberFormat="1" applyFill="1" applyBorder="1" applyAlignment="1">
      <alignment horizontal="center" vertical="center"/>
    </xf>
    <xf numFmtId="0" fontId="33" fillId="0" borderId="11" xfId="0" applyNumberFormat="1" applyFont="1" applyBorder="1" applyAlignment="1">
      <alignment horizontal="center" vertical="center"/>
    </xf>
    <xf numFmtId="0" fontId="33" fillId="0" borderId="13" xfId="0" applyNumberFormat="1" applyFont="1" applyBorder="1" applyAlignment="1">
      <alignment horizontal="center" vertical="center"/>
    </xf>
    <xf numFmtId="0" fontId="33" fillId="0" borderId="12" xfId="0" applyNumberFormat="1" applyFont="1" applyBorder="1" applyAlignment="1">
      <alignment horizontal="center" vertical="center"/>
    </xf>
    <xf numFmtId="0" fontId="13" fillId="25" borderId="11" xfId="0" applyNumberFormat="1" applyFont="1" applyFill="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37" fillId="0" borderId="14" xfId="0" applyFont="1" applyFill="1" applyBorder="1" applyAlignment="1">
      <alignment horizontal="center" vertical="center"/>
    </xf>
    <xf numFmtId="0" fontId="40" fillId="0" borderId="14" xfId="0" applyFont="1" applyBorder="1" applyAlignment="1">
      <alignment horizontal="center" vertical="center"/>
    </xf>
    <xf numFmtId="0" fontId="39" fillId="0" borderId="1" xfId="0" applyNumberFormat="1" applyFont="1" applyBorder="1" applyAlignment="1">
      <alignment horizontal="center" vertical="center" wrapText="1"/>
    </xf>
    <xf numFmtId="0" fontId="39" fillId="0" borderId="1" xfId="0" applyNumberFormat="1" applyFont="1" applyBorder="1" applyAlignment="1">
      <alignment horizontal="center" vertical="center"/>
    </xf>
    <xf numFmtId="0" fontId="39" fillId="0" borderId="18" xfId="0" applyNumberFormat="1" applyFont="1" applyBorder="1" applyAlignment="1">
      <alignment horizontal="center" vertical="center"/>
    </xf>
    <xf numFmtId="0" fontId="39" fillId="0" borderId="19" xfId="0" applyNumberFormat="1" applyFont="1" applyBorder="1" applyAlignment="1">
      <alignment horizontal="center" vertical="center"/>
    </xf>
    <xf numFmtId="0" fontId="38" fillId="0" borderId="20" xfId="0" applyNumberFormat="1" applyFont="1" applyBorder="1" applyAlignment="1">
      <alignment horizontal="center" vertical="center"/>
    </xf>
    <xf numFmtId="0" fontId="38" fillId="0" borderId="0" xfId="0" applyNumberFormat="1" applyFont="1" applyBorder="1" applyAlignment="1">
      <alignment horizontal="center" vertical="center"/>
    </xf>
    <xf numFmtId="0" fontId="36" fillId="0" borderId="11" xfId="0" applyFont="1" applyBorder="1" applyAlignment="1">
      <alignment horizontal="center" vertical="center"/>
    </xf>
    <xf numFmtId="0" fontId="36" fillId="0" borderId="13" xfId="0" applyFont="1" applyBorder="1" applyAlignment="1">
      <alignment horizontal="center" vertical="center"/>
    </xf>
    <xf numFmtId="0" fontId="36" fillId="0" borderId="12" xfId="0" applyFont="1" applyBorder="1" applyAlignment="1">
      <alignment horizontal="center" vertical="center"/>
    </xf>
    <xf numFmtId="0" fontId="13" fillId="0" borderId="1"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cellXfs>
  <cellStyles count="369">
    <cellStyle name="20% - 强调文字颜色 1 2" xfId="2"/>
    <cellStyle name="20% - 强调文字颜色 1 2 2" xfId="3"/>
    <cellStyle name="20% - 强调文字颜色 1 2 2 2" xfId="258"/>
    <cellStyle name="20% - 强调文字颜色 1 2 2 3" xfId="273"/>
    <cellStyle name="20% - 强调文字颜色 1 2 2 4" xfId="94"/>
    <cellStyle name="20% - 强调文字颜色 1 2 3" xfId="4"/>
    <cellStyle name="20% - 强调文字颜色 1 2 3 2" xfId="257"/>
    <cellStyle name="20% - 强调文字颜色 1 2 3 3" xfId="274"/>
    <cellStyle name="20% - 强调文字颜色 1 2 3 4" xfId="95"/>
    <cellStyle name="20% - 强调文字颜色 1 2 4" xfId="5"/>
    <cellStyle name="20% - 强调文字颜色 1 2 4 2" xfId="256"/>
    <cellStyle name="20% - 强调文字颜色 1 2 4 3" xfId="275"/>
    <cellStyle name="20% - 强调文字颜色 1 2 4 4" xfId="96"/>
    <cellStyle name="20% - 强调文字颜色 1 2 5" xfId="259"/>
    <cellStyle name="20% - 强调文字颜色 1 2 6" xfId="272"/>
    <cellStyle name="20% - 强调文字颜色 1 2 7" xfId="93"/>
    <cellStyle name="20% - 强调文字颜色 2 2" xfId="6"/>
    <cellStyle name="20% - 强调文字颜色 2 2 2" xfId="7"/>
    <cellStyle name="20% - 强调文字颜色 2 2 2 2" xfId="182"/>
    <cellStyle name="20% - 强调文字颜色 2 2 2 3" xfId="277"/>
    <cellStyle name="20% - 强调文字颜色 2 2 2 4" xfId="98"/>
    <cellStyle name="20% - 强调文字颜色 2 2 3" xfId="8"/>
    <cellStyle name="20% - 强调文字颜色 2 2 3 2" xfId="254"/>
    <cellStyle name="20% - 强调文字颜色 2 2 3 3" xfId="278"/>
    <cellStyle name="20% - 强调文字颜色 2 2 3 4" xfId="99"/>
    <cellStyle name="20% - 强调文字颜色 2 2 4" xfId="9"/>
    <cellStyle name="20% - 强调文字颜色 2 2 4 2" xfId="253"/>
    <cellStyle name="20% - 强调文字颜色 2 2 4 3" xfId="279"/>
    <cellStyle name="20% - 强调文字颜色 2 2 4 4" xfId="100"/>
    <cellStyle name="20% - 强调文字颜色 2 2 5" xfId="255"/>
    <cellStyle name="20% - 强调文字颜色 2 2 6" xfId="276"/>
    <cellStyle name="20% - 强调文字颜色 2 2 7" xfId="97"/>
    <cellStyle name="20% - 强调文字颜色 3 2" xfId="10"/>
    <cellStyle name="20% - 强调文字颜色 3 2 2" xfId="11"/>
    <cellStyle name="20% - 强调文字颜色 3 2 2 2" xfId="250"/>
    <cellStyle name="20% - 强调文字颜色 3 2 2 3" xfId="281"/>
    <cellStyle name="20% - 强调文字颜色 3 2 2 4" xfId="102"/>
    <cellStyle name="20% - 强调文字颜色 3 2 3" xfId="12"/>
    <cellStyle name="20% - 强调文字颜色 3 2 3 2" xfId="249"/>
    <cellStyle name="20% - 强调文字颜色 3 2 3 3" xfId="282"/>
    <cellStyle name="20% - 强调文字颜色 3 2 3 4" xfId="103"/>
    <cellStyle name="20% - 强调文字颜色 3 2 4" xfId="13"/>
    <cellStyle name="20% - 强调文字颜色 3 2 4 2" xfId="244"/>
    <cellStyle name="20% - 强调文字颜色 3 2 4 3" xfId="283"/>
    <cellStyle name="20% - 强调文字颜色 3 2 4 4" xfId="104"/>
    <cellStyle name="20% - 强调文字颜色 3 2 5" xfId="251"/>
    <cellStyle name="20% - 强调文字颜色 3 2 6" xfId="280"/>
    <cellStyle name="20% - 强调文字颜色 3 2 7" xfId="101"/>
    <cellStyle name="20% - 强调文字颜色 4 2" xfId="14"/>
    <cellStyle name="20% - 强调文字颜色 4 2 2" xfId="15"/>
    <cellStyle name="20% - 强调文字颜色 4 2 2 2" xfId="247"/>
    <cellStyle name="20% - 强调文字颜色 4 2 2 3" xfId="285"/>
    <cellStyle name="20% - 强调文字颜色 4 2 2 4" xfId="106"/>
    <cellStyle name="20% - 强调文字颜色 4 2 3" xfId="16"/>
    <cellStyle name="20% - 强调文字颜色 4 2 3 2" xfId="246"/>
    <cellStyle name="20% - 强调文字颜色 4 2 3 3" xfId="286"/>
    <cellStyle name="20% - 强调文字颜色 4 2 3 4" xfId="107"/>
    <cellStyle name="20% - 强调文字颜色 4 2 4" xfId="17"/>
    <cellStyle name="20% - 强调文字颜色 4 2 4 2" xfId="245"/>
    <cellStyle name="20% - 强调文字颜色 4 2 4 3" xfId="287"/>
    <cellStyle name="20% - 强调文字颜色 4 2 4 4" xfId="108"/>
    <cellStyle name="20% - 强调文字颜色 4 2 5" xfId="248"/>
    <cellStyle name="20% - 强调文字颜色 4 2 6" xfId="284"/>
    <cellStyle name="20% - 强调文字颜色 4 2 7" xfId="105"/>
    <cellStyle name="20% - 强调文字颜色 5 2" xfId="18"/>
    <cellStyle name="20% - 强调文字颜色 5 2 2" xfId="19"/>
    <cellStyle name="20% - 强调文字颜色 5 2 2 2" xfId="242"/>
    <cellStyle name="20% - 强调文字颜色 5 2 2 3" xfId="289"/>
    <cellStyle name="20% - 强调文字颜色 5 2 2 4" xfId="110"/>
    <cellStyle name="20% - 强调文字颜色 5 2 3" xfId="20"/>
    <cellStyle name="20% - 强调文字颜色 5 2 3 2" xfId="241"/>
    <cellStyle name="20% - 强调文字颜色 5 2 3 3" xfId="290"/>
    <cellStyle name="20% - 强调文字颜色 5 2 3 4" xfId="111"/>
    <cellStyle name="20% - 强调文字颜色 5 2 4" xfId="21"/>
    <cellStyle name="20% - 强调文字颜色 5 2 4 2" xfId="240"/>
    <cellStyle name="20% - 强调文字颜色 5 2 4 3" xfId="291"/>
    <cellStyle name="20% - 强调文字颜色 5 2 4 4" xfId="112"/>
    <cellStyle name="20% - 强调文字颜色 5 2 5" xfId="243"/>
    <cellStyle name="20% - 强调文字颜色 5 2 6" xfId="288"/>
    <cellStyle name="20% - 强调文字颜色 5 2 7" xfId="109"/>
    <cellStyle name="20% - 强调文字颜色 6 2" xfId="22"/>
    <cellStyle name="20% - 强调文字颜色 6 2 2" xfId="23"/>
    <cellStyle name="20% - 强调文字颜色 6 2 2 2" xfId="238"/>
    <cellStyle name="20% - 强调文字颜色 6 2 2 3" xfId="293"/>
    <cellStyle name="20% - 强调文字颜色 6 2 2 4" xfId="114"/>
    <cellStyle name="20% - 强调文字颜色 6 2 3" xfId="24"/>
    <cellStyle name="20% - 强调文字颜色 6 2 3 2" xfId="237"/>
    <cellStyle name="20% - 强调文字颜色 6 2 3 3" xfId="294"/>
    <cellStyle name="20% - 强调文字颜色 6 2 3 4" xfId="115"/>
    <cellStyle name="20% - 强调文字颜色 6 2 4" xfId="25"/>
    <cellStyle name="20% - 强调文字颜色 6 2 4 2" xfId="236"/>
    <cellStyle name="20% - 强调文字颜色 6 2 4 3" xfId="295"/>
    <cellStyle name="20% - 强调文字颜色 6 2 4 4" xfId="116"/>
    <cellStyle name="20% - 强调文字颜色 6 2 5" xfId="239"/>
    <cellStyle name="20% - 强调文字颜色 6 2 6" xfId="292"/>
    <cellStyle name="20% - 强调文字颜色 6 2 7" xfId="113"/>
    <cellStyle name="40% - 强调文字颜色 1 2" xfId="26"/>
    <cellStyle name="40% - 强调文字颜色 1 2 2" xfId="27"/>
    <cellStyle name="40% - 强调文字颜色 1 2 2 2" xfId="234"/>
    <cellStyle name="40% - 强调文字颜色 1 2 2 3" xfId="297"/>
    <cellStyle name="40% - 强调文字颜色 1 2 2 4" xfId="118"/>
    <cellStyle name="40% - 强调文字颜色 1 2 3" xfId="28"/>
    <cellStyle name="40% - 强调文字颜色 1 2 3 2" xfId="233"/>
    <cellStyle name="40% - 强调文字颜色 1 2 3 3" xfId="298"/>
    <cellStyle name="40% - 强调文字颜色 1 2 3 4" xfId="119"/>
    <cellStyle name="40% - 强调文字颜色 1 2 4" xfId="29"/>
    <cellStyle name="40% - 强调文字颜色 1 2 4 2" xfId="232"/>
    <cellStyle name="40% - 强调文字颜色 1 2 4 3" xfId="299"/>
    <cellStyle name="40% - 强调文字颜色 1 2 4 4" xfId="120"/>
    <cellStyle name="40% - 强调文字颜色 1 2 5" xfId="235"/>
    <cellStyle name="40% - 强调文字颜色 1 2 6" xfId="296"/>
    <cellStyle name="40% - 强调文字颜色 1 2 7" xfId="117"/>
    <cellStyle name="40% - 强调文字颜色 2 2" xfId="30"/>
    <cellStyle name="40% - 强调文字颜色 2 2 2" xfId="31"/>
    <cellStyle name="40% - 强调文字颜色 2 2 2 2" xfId="230"/>
    <cellStyle name="40% - 强调文字颜色 2 2 2 3" xfId="301"/>
    <cellStyle name="40% - 强调文字颜色 2 2 2 4" xfId="122"/>
    <cellStyle name="40% - 强调文字颜色 2 2 3" xfId="32"/>
    <cellStyle name="40% - 强调文字颜色 2 2 3 2" xfId="229"/>
    <cellStyle name="40% - 强调文字颜色 2 2 3 3" xfId="302"/>
    <cellStyle name="40% - 强调文字颜色 2 2 3 4" xfId="123"/>
    <cellStyle name="40% - 强调文字颜色 2 2 4" xfId="33"/>
    <cellStyle name="40% - 强调文字颜色 2 2 4 2" xfId="228"/>
    <cellStyle name="40% - 强调文字颜色 2 2 4 3" xfId="303"/>
    <cellStyle name="40% - 强调文字颜色 2 2 4 4" xfId="124"/>
    <cellStyle name="40% - 强调文字颜色 2 2 5" xfId="231"/>
    <cellStyle name="40% - 强调文字颜色 2 2 6" xfId="300"/>
    <cellStyle name="40% - 强调文字颜色 2 2 7" xfId="121"/>
    <cellStyle name="40% - 强调文字颜色 3 2" xfId="34"/>
    <cellStyle name="40% - 强调文字颜色 3 2 2" xfId="35"/>
    <cellStyle name="40% - 强调文字颜色 3 2 2 2" xfId="226"/>
    <cellStyle name="40% - 强调文字颜色 3 2 2 3" xfId="305"/>
    <cellStyle name="40% - 强调文字颜色 3 2 2 4" xfId="126"/>
    <cellStyle name="40% - 强调文字颜色 3 2 3" xfId="36"/>
    <cellStyle name="40% - 强调文字颜色 3 2 3 2" xfId="225"/>
    <cellStyle name="40% - 强调文字颜色 3 2 3 3" xfId="306"/>
    <cellStyle name="40% - 强调文字颜色 3 2 3 4" xfId="127"/>
    <cellStyle name="40% - 强调文字颜色 3 2 4" xfId="37"/>
    <cellStyle name="40% - 强调文字颜色 3 2 4 2" xfId="224"/>
    <cellStyle name="40% - 强调文字颜色 3 2 4 3" xfId="307"/>
    <cellStyle name="40% - 强调文字颜色 3 2 4 4" xfId="128"/>
    <cellStyle name="40% - 强调文字颜色 3 2 5" xfId="227"/>
    <cellStyle name="40% - 强调文字颜色 3 2 6" xfId="304"/>
    <cellStyle name="40% - 强调文字颜色 3 2 7" xfId="125"/>
    <cellStyle name="40% - 强调文字颜色 4 2" xfId="38"/>
    <cellStyle name="40% - 强调文字颜色 4 2 2" xfId="39"/>
    <cellStyle name="40% - 强调文字颜色 4 2 2 2" xfId="222"/>
    <cellStyle name="40% - 强调文字颜色 4 2 2 3" xfId="309"/>
    <cellStyle name="40% - 强调文字颜色 4 2 2 4" xfId="130"/>
    <cellStyle name="40% - 强调文字颜色 4 2 3" xfId="40"/>
    <cellStyle name="40% - 强调文字颜色 4 2 3 2" xfId="221"/>
    <cellStyle name="40% - 强调文字颜色 4 2 3 3" xfId="310"/>
    <cellStyle name="40% - 强调文字颜色 4 2 3 4" xfId="131"/>
    <cellStyle name="40% - 强调文字颜色 4 2 4" xfId="41"/>
    <cellStyle name="40% - 强调文字颜色 4 2 4 2" xfId="220"/>
    <cellStyle name="40% - 强调文字颜色 4 2 4 3" xfId="311"/>
    <cellStyle name="40% - 强调文字颜色 4 2 4 4" xfId="132"/>
    <cellStyle name="40% - 强调文字颜色 4 2 5" xfId="223"/>
    <cellStyle name="40% - 强调文字颜色 4 2 6" xfId="308"/>
    <cellStyle name="40% - 强调文字颜色 4 2 7" xfId="129"/>
    <cellStyle name="40% - 强调文字颜色 5 2" xfId="42"/>
    <cellStyle name="40% - 强调文字颜色 5 2 2" xfId="43"/>
    <cellStyle name="40% - 强调文字颜色 5 2 2 2" xfId="218"/>
    <cellStyle name="40% - 强调文字颜色 5 2 2 3" xfId="313"/>
    <cellStyle name="40% - 强调文字颜色 5 2 2 4" xfId="134"/>
    <cellStyle name="40% - 强调文字颜色 5 2 3" xfId="44"/>
    <cellStyle name="40% - 强调文字颜色 5 2 3 2" xfId="217"/>
    <cellStyle name="40% - 强调文字颜色 5 2 3 3" xfId="314"/>
    <cellStyle name="40% - 强调文字颜色 5 2 3 4" xfId="135"/>
    <cellStyle name="40% - 强调文字颜色 5 2 4" xfId="45"/>
    <cellStyle name="40% - 强调文字颜色 5 2 4 2" xfId="216"/>
    <cellStyle name="40% - 强调文字颜色 5 2 4 3" xfId="315"/>
    <cellStyle name="40% - 强调文字颜色 5 2 4 4" xfId="136"/>
    <cellStyle name="40% - 强调文字颜色 5 2 5" xfId="219"/>
    <cellStyle name="40% - 强调文字颜色 5 2 6" xfId="312"/>
    <cellStyle name="40% - 强调文字颜色 5 2 7" xfId="133"/>
    <cellStyle name="40% - 强调文字颜色 6 2" xfId="46"/>
    <cellStyle name="40% - 强调文字颜色 6 2 2" xfId="47"/>
    <cellStyle name="40% - 强调文字颜色 6 2 2 2" xfId="214"/>
    <cellStyle name="40% - 强调文字颜色 6 2 2 3" xfId="317"/>
    <cellStyle name="40% - 强调文字颜色 6 2 2 4" xfId="138"/>
    <cellStyle name="40% - 强调文字颜色 6 2 3" xfId="48"/>
    <cellStyle name="40% - 强调文字颜色 6 2 3 2" xfId="213"/>
    <cellStyle name="40% - 强调文字颜色 6 2 3 3" xfId="318"/>
    <cellStyle name="40% - 强调文字颜色 6 2 3 4" xfId="139"/>
    <cellStyle name="40% - 强调文字颜色 6 2 4" xfId="49"/>
    <cellStyle name="40% - 强调文字颜色 6 2 4 2" xfId="212"/>
    <cellStyle name="40% - 强调文字颜色 6 2 4 3" xfId="319"/>
    <cellStyle name="40% - 强调文字颜色 6 2 4 4" xfId="140"/>
    <cellStyle name="40% - 强调文字颜色 6 2 5" xfId="215"/>
    <cellStyle name="40% - 强调文字颜色 6 2 6" xfId="316"/>
    <cellStyle name="40% - 强调文字颜色 6 2 7" xfId="137"/>
    <cellStyle name="60% - 强调文字颜色 1 2" xfId="50"/>
    <cellStyle name="60% - 强调文字颜色 1 2 2" xfId="211"/>
    <cellStyle name="60% - 强调文字颜色 1 2 3" xfId="320"/>
    <cellStyle name="60% - 强调文字颜色 1 2 4" xfId="141"/>
    <cellStyle name="60% - 强调文字颜色 2 2" xfId="51"/>
    <cellStyle name="60% - 强调文字颜色 2 2 2" xfId="210"/>
    <cellStyle name="60% - 强调文字颜色 2 2 3" xfId="321"/>
    <cellStyle name="60% - 强调文字颜色 2 2 4" xfId="142"/>
    <cellStyle name="60% - 强调文字颜色 3 2" xfId="52"/>
    <cellStyle name="60% - 强调文字颜色 3 2 2" xfId="209"/>
    <cellStyle name="60% - 强调文字颜色 3 2 3" xfId="322"/>
    <cellStyle name="60% - 强调文字颜色 3 2 4" xfId="143"/>
    <cellStyle name="60% - 强调文字颜色 4 2" xfId="53"/>
    <cellStyle name="60% - 强调文字颜色 4 2 2" xfId="208"/>
    <cellStyle name="60% - 强调文字颜色 4 2 3" xfId="323"/>
    <cellStyle name="60% - 强调文字颜色 4 2 4" xfId="144"/>
    <cellStyle name="60% - 强调文字颜色 5 2" xfId="54"/>
    <cellStyle name="60% - 强调文字颜色 5 2 2" xfId="207"/>
    <cellStyle name="60% - 强调文字颜色 5 2 3" xfId="324"/>
    <cellStyle name="60% - 强调文字颜色 5 2 4" xfId="145"/>
    <cellStyle name="60% - 强调文字颜色 6 2" xfId="55"/>
    <cellStyle name="60% - 强调文字颜色 6 2 2" xfId="206"/>
    <cellStyle name="60% - 强调文字颜色 6 2 3" xfId="325"/>
    <cellStyle name="60% - 强调文字颜色 6 2 4" xfId="146"/>
    <cellStyle name="百分比 2" xfId="56"/>
    <cellStyle name="百分比 2 2" xfId="57"/>
    <cellStyle name="百分比 2 2 2" xfId="204"/>
    <cellStyle name="百分比 2 2 3" xfId="327"/>
    <cellStyle name="百分比 2 2 4" xfId="148"/>
    <cellStyle name="百分比 2 3" xfId="58"/>
    <cellStyle name="百分比 2 3 2" xfId="203"/>
    <cellStyle name="百分比 2 3 3" xfId="328"/>
    <cellStyle name="百分比 2 3 4" xfId="149"/>
    <cellStyle name="百分比 2 4" xfId="205"/>
    <cellStyle name="百分比 2 5" xfId="326"/>
    <cellStyle name="百分比 2 6" xfId="147"/>
    <cellStyle name="百分比 3" xfId="59"/>
    <cellStyle name="百分比 3 2" xfId="60"/>
    <cellStyle name="百分比 3 2 2" xfId="201"/>
    <cellStyle name="百分比 3 2 3" xfId="330"/>
    <cellStyle name="百分比 3 2 4" xfId="151"/>
    <cellStyle name="百分比 3 3" xfId="61"/>
    <cellStyle name="百分比 3 3 2" xfId="200"/>
    <cellStyle name="百分比 3 3 3" xfId="331"/>
    <cellStyle name="百分比 3 3 4" xfId="152"/>
    <cellStyle name="百分比 3 4" xfId="202"/>
    <cellStyle name="百分比 3 5" xfId="329"/>
    <cellStyle name="百分比 3 6" xfId="150"/>
    <cellStyle name="百分比 4" xfId="62"/>
    <cellStyle name="百分比 4 2" xfId="199"/>
    <cellStyle name="百分比 4 3" xfId="332"/>
    <cellStyle name="百分比 4 4" xfId="153"/>
    <cellStyle name="标题 1 2" xfId="64"/>
    <cellStyle name="标题 1 2 2" xfId="197"/>
    <cellStyle name="标题 1 2 3" xfId="334"/>
    <cellStyle name="标题 1 2 4" xfId="155"/>
    <cellStyle name="标题 2 2" xfId="65"/>
    <cellStyle name="标题 2 2 2" xfId="196"/>
    <cellStyle name="标题 2 2 3" xfId="335"/>
    <cellStyle name="标题 2 2 4" xfId="156"/>
    <cellStyle name="标题 3 2" xfId="66"/>
    <cellStyle name="标题 3 2 2" xfId="195"/>
    <cellStyle name="标题 3 2 3" xfId="336"/>
    <cellStyle name="标题 3 2 4" xfId="157"/>
    <cellStyle name="标题 4 2" xfId="67"/>
    <cellStyle name="标题 4 2 2" xfId="194"/>
    <cellStyle name="标题 4 2 3" xfId="337"/>
    <cellStyle name="标题 4 2 4" xfId="158"/>
    <cellStyle name="标题 5" xfId="63"/>
    <cellStyle name="标题 5 2" xfId="198"/>
    <cellStyle name="标题 5 3" xfId="333"/>
    <cellStyle name="标题 5 4" xfId="154"/>
    <cellStyle name="差 2" xfId="68"/>
    <cellStyle name="差 2 2" xfId="193"/>
    <cellStyle name="差 2 3" xfId="338"/>
    <cellStyle name="差 2 4" xfId="159"/>
    <cellStyle name="常规" xfId="0" builtinId="0"/>
    <cellStyle name="常规 2" xfId="368"/>
    <cellStyle name="常规 2 2" xfId="69"/>
    <cellStyle name="常规 2 2 2" xfId="192"/>
    <cellStyle name="常规 2 2 3" xfId="339"/>
    <cellStyle name="常规 2 2 4" xfId="160"/>
    <cellStyle name="常规 2 3" xfId="70"/>
    <cellStyle name="常规 2 3 2" xfId="191"/>
    <cellStyle name="常规 2 3 3" xfId="340"/>
    <cellStyle name="常规 2 3 4" xfId="161"/>
    <cellStyle name="常规 2 4" xfId="366"/>
    <cellStyle name="常规 2 5" xfId="367"/>
    <cellStyle name="常规 3" xfId="71"/>
    <cellStyle name="常规 3 2" xfId="162"/>
    <cellStyle name="常规 3 3" xfId="252"/>
    <cellStyle name="常规 3 4" xfId="190"/>
    <cellStyle name="常规 3 5" xfId="341"/>
    <cellStyle name="常规 4" xfId="72"/>
    <cellStyle name="常规 4 2" xfId="189"/>
    <cellStyle name="常规 4 3" xfId="342"/>
    <cellStyle name="常规 4 4" xfId="163"/>
    <cellStyle name="常规 5" xfId="73"/>
    <cellStyle name="常规 5 2" xfId="188"/>
    <cellStyle name="常规 5 3" xfId="343"/>
    <cellStyle name="常规 5 4" xfId="164"/>
    <cellStyle name="常规_2003年预算统一价格" xfId="1"/>
    <cellStyle name="好 2" xfId="74"/>
    <cellStyle name="好 2 2" xfId="187"/>
    <cellStyle name="好 2 3" xfId="344"/>
    <cellStyle name="好 2 4" xfId="165"/>
    <cellStyle name="汇总 2" xfId="75"/>
    <cellStyle name="汇总 2 2" xfId="186"/>
    <cellStyle name="汇总 2 3" xfId="345"/>
    <cellStyle name="汇总 2 4" xfId="166"/>
    <cellStyle name="计算 2" xfId="76"/>
    <cellStyle name="计算 2 2" xfId="185"/>
    <cellStyle name="计算 2 3" xfId="346"/>
    <cellStyle name="计算 2 4" xfId="167"/>
    <cellStyle name="检查单元格 2" xfId="77"/>
    <cellStyle name="检查单元格 2 2" xfId="184"/>
    <cellStyle name="检查单元格 2 3" xfId="347"/>
    <cellStyle name="检查单元格 2 4" xfId="168"/>
    <cellStyle name="解释性文本 2" xfId="78"/>
    <cellStyle name="解释性文本 2 2" xfId="183"/>
    <cellStyle name="解释性文本 2 3" xfId="348"/>
    <cellStyle name="解释性文本 2 4" xfId="169"/>
    <cellStyle name="警告文本 2" xfId="79"/>
    <cellStyle name="警告文本 2 2" xfId="260"/>
    <cellStyle name="警告文本 2 3" xfId="349"/>
    <cellStyle name="警告文本 2 4" xfId="170"/>
    <cellStyle name="链接单元格 2" xfId="80"/>
    <cellStyle name="链接单元格 2 2" xfId="261"/>
    <cellStyle name="链接单元格 2 3" xfId="350"/>
    <cellStyle name="链接单元格 2 4" xfId="171"/>
    <cellStyle name="强调文字颜色 1 2" xfId="81"/>
    <cellStyle name="强调文字颜色 1 2 2" xfId="262"/>
    <cellStyle name="强调文字颜色 1 2 3" xfId="351"/>
    <cellStyle name="强调文字颜色 1 2 4" xfId="172"/>
    <cellStyle name="强调文字颜色 2 2" xfId="82"/>
    <cellStyle name="强调文字颜色 2 2 2" xfId="263"/>
    <cellStyle name="强调文字颜色 2 2 3" xfId="352"/>
    <cellStyle name="强调文字颜色 2 2 4" xfId="173"/>
    <cellStyle name="强调文字颜色 3 2" xfId="83"/>
    <cellStyle name="强调文字颜色 3 2 2" xfId="264"/>
    <cellStyle name="强调文字颜色 3 2 3" xfId="353"/>
    <cellStyle name="强调文字颜色 3 2 4" xfId="174"/>
    <cellStyle name="强调文字颜色 4 2" xfId="84"/>
    <cellStyle name="强调文字颜色 4 2 2" xfId="265"/>
    <cellStyle name="强调文字颜色 4 2 3" xfId="354"/>
    <cellStyle name="强调文字颜色 4 2 4" xfId="175"/>
    <cellStyle name="强调文字颜色 5 2" xfId="85"/>
    <cellStyle name="强调文字颜色 5 2 2" xfId="266"/>
    <cellStyle name="强调文字颜色 5 2 3" xfId="355"/>
    <cellStyle name="强调文字颜色 5 2 4" xfId="176"/>
    <cellStyle name="强调文字颜色 6 2" xfId="86"/>
    <cellStyle name="强调文字颜色 6 2 2" xfId="267"/>
    <cellStyle name="强调文字颜色 6 2 3" xfId="356"/>
    <cellStyle name="强调文字颜色 6 2 4" xfId="177"/>
    <cellStyle name="适中 2" xfId="87"/>
    <cellStyle name="适中 2 2" xfId="268"/>
    <cellStyle name="适中 2 3" xfId="357"/>
    <cellStyle name="适中 2 4" xfId="178"/>
    <cellStyle name="输出 2" xfId="88"/>
    <cellStyle name="输出 2 2" xfId="269"/>
    <cellStyle name="输出 2 3" xfId="358"/>
    <cellStyle name="输出 2 4" xfId="179"/>
    <cellStyle name="输入 2" xfId="89"/>
    <cellStyle name="输入 2 2" xfId="270"/>
    <cellStyle name="输入 2 3" xfId="359"/>
    <cellStyle name="输入 2 4" xfId="180"/>
    <cellStyle name="样式 1" xfId="91"/>
    <cellStyle name="样式 1 2" xfId="92"/>
    <cellStyle name="样式 1 3" xfId="361"/>
    <cellStyle name="样式 1 4" xfId="362"/>
    <cellStyle name="样式 1 5" xfId="363"/>
    <cellStyle name="样式 1 6" xfId="364"/>
    <cellStyle name="样式 1 7" xfId="365"/>
    <cellStyle name="注释 2" xfId="90"/>
    <cellStyle name="注释 2 2" xfId="271"/>
    <cellStyle name="注释 2 3" xfId="360"/>
    <cellStyle name="注释 2 4" xfId="1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J18"/>
  <sheetViews>
    <sheetView tabSelected="1" zoomScaleNormal="100" zoomScaleSheetLayoutView="112" workbookViewId="0">
      <selection activeCell="D14" sqref="D14"/>
    </sheetView>
  </sheetViews>
  <sheetFormatPr defaultRowHeight="14.25"/>
  <cols>
    <col min="1" max="3" width="13.125" style="55" customWidth="1"/>
    <col min="4" max="4" width="30" style="55" customWidth="1"/>
  </cols>
  <sheetData>
    <row r="1" spans="1:10" s="110" customFormat="1" ht="30.75" customHeight="1">
      <c r="A1" s="351" t="s">
        <v>585</v>
      </c>
      <c r="B1" s="352"/>
      <c r="C1" s="352"/>
      <c r="D1" s="263">
        <f ca="1">NOW()</f>
        <v>43094.380693402774</v>
      </c>
    </row>
    <row r="2" spans="1:10" s="110" customFormat="1" ht="33.75" customHeight="1">
      <c r="A2" s="211" t="s">
        <v>119</v>
      </c>
      <c r="B2" s="211" t="s">
        <v>471</v>
      </c>
      <c r="C2" s="211" t="s">
        <v>472</v>
      </c>
      <c r="D2" s="211" t="s">
        <v>473</v>
      </c>
    </row>
    <row r="3" spans="1:10" ht="41.25" customHeight="1">
      <c r="A3" s="353" t="s">
        <v>464</v>
      </c>
      <c r="B3" s="212" t="s">
        <v>465</v>
      </c>
      <c r="C3" s="212">
        <f>已付款项!D134</f>
        <v>26647</v>
      </c>
      <c r="D3" s="213" t="s">
        <v>468</v>
      </c>
    </row>
    <row r="4" spans="1:10" ht="41.25" customHeight="1">
      <c r="A4" s="354"/>
      <c r="B4" s="212" t="s">
        <v>466</v>
      </c>
      <c r="C4" s="212">
        <f>已付款项!G54</f>
        <v>119165.29000000001</v>
      </c>
      <c r="D4" s="213"/>
    </row>
    <row r="5" spans="1:10" s="110" customFormat="1" ht="41.25" customHeight="1">
      <c r="A5" s="354"/>
      <c r="B5" s="212" t="s">
        <v>469</v>
      </c>
      <c r="C5" s="212">
        <f>已付款项!G67</f>
        <v>51209.3</v>
      </c>
      <c r="D5" s="213"/>
    </row>
    <row r="6" spans="1:10" s="110" customFormat="1" ht="27.75" customHeight="1">
      <c r="A6" s="347" t="s">
        <v>481</v>
      </c>
      <c r="B6" s="348"/>
      <c r="C6" s="215">
        <f>SUM(C3:C5)</f>
        <v>197021.59000000003</v>
      </c>
      <c r="D6" s="214"/>
    </row>
    <row r="7" spans="1:10" s="110" customFormat="1" ht="41.25" customHeight="1">
      <c r="A7" s="355" t="s">
        <v>470</v>
      </c>
      <c r="B7" s="350"/>
      <c r="C7" s="212">
        <f>已付款项!G95</f>
        <v>4172.53</v>
      </c>
      <c r="D7" s="213"/>
    </row>
    <row r="8" spans="1:10" ht="39" customHeight="1">
      <c r="A8" s="349" t="s">
        <v>467</v>
      </c>
      <c r="B8" s="350"/>
      <c r="C8" s="212">
        <f>已付款项!D147</f>
        <v>29160.37</v>
      </c>
      <c r="D8" s="213" t="s">
        <v>699</v>
      </c>
    </row>
    <row r="9" spans="1:10" s="110" customFormat="1" ht="27.75" customHeight="1">
      <c r="A9" s="347" t="s">
        <v>129</v>
      </c>
      <c r="B9" s="348"/>
      <c r="C9" s="215">
        <f>C8+C6</f>
        <v>226181.96000000002</v>
      </c>
      <c r="D9" s="214"/>
    </row>
    <row r="10" spans="1:10" ht="30.75" customHeight="1"/>
    <row r="11" spans="1:10" ht="30.75" customHeight="1"/>
    <row r="12" spans="1:10" ht="30.75" customHeight="1"/>
    <row r="14" spans="1:10">
      <c r="I14" s="110"/>
      <c r="J14" s="110"/>
    </row>
    <row r="15" spans="1:10">
      <c r="G15" s="110"/>
      <c r="H15" s="110"/>
      <c r="J15" s="110"/>
    </row>
    <row r="16" spans="1:10">
      <c r="H16" s="110"/>
      <c r="I16" s="110"/>
    </row>
    <row r="18" spans="8:8">
      <c r="H18" s="110"/>
    </row>
  </sheetData>
  <mergeCells count="6">
    <mergeCell ref="A6:B6"/>
    <mergeCell ref="A9:B9"/>
    <mergeCell ref="A8:B8"/>
    <mergeCell ref="A1:C1"/>
    <mergeCell ref="A3:A5"/>
    <mergeCell ref="A7:B7"/>
  </mergeCells>
  <phoneticPr fontId="12"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Sheet3"/>
  <dimension ref="A1:P163"/>
  <sheetViews>
    <sheetView zoomScaleSheetLayoutView="100" workbookViewId="0">
      <pane ySplit="2" topLeftCell="A135" activePane="bottomLeft" state="frozen"/>
      <selection activeCell="D20" sqref="D20"/>
      <selection pane="bottomLeft" activeCell="G160" sqref="G160"/>
    </sheetView>
  </sheetViews>
  <sheetFormatPr defaultColWidth="9" defaultRowHeight="14.25"/>
  <cols>
    <col min="1" max="1" width="4.625" style="60" customWidth="1"/>
    <col min="2" max="2" width="8.875" style="55" customWidth="1"/>
    <col min="3" max="3" width="11.5" customWidth="1"/>
    <col min="4" max="4" width="8.125" style="55" customWidth="1"/>
    <col min="5" max="6" width="8.125" style="56" customWidth="1"/>
    <col min="7" max="7" width="8.125" style="55" customWidth="1"/>
    <col min="8" max="8" width="12.375" style="31" customWidth="1"/>
    <col min="9" max="9" width="29.5" style="55" customWidth="1"/>
    <col min="10" max="10" width="15" style="55" customWidth="1"/>
    <col min="11" max="11" width="23.125" style="106" customWidth="1"/>
    <col min="12" max="12" width="21.25" customWidth="1"/>
    <col min="14" max="14" width="9" customWidth="1"/>
  </cols>
  <sheetData>
    <row r="1" spans="1:15" s="46" customFormat="1" ht="30" customHeight="1">
      <c r="A1" s="399" t="s">
        <v>105</v>
      </c>
      <c r="B1" s="399"/>
      <c r="C1" s="399"/>
      <c r="D1" s="399"/>
      <c r="E1" s="399"/>
      <c r="F1" s="399"/>
      <c r="G1" s="399"/>
      <c r="H1" s="399"/>
      <c r="I1" s="399"/>
      <c r="J1" s="399"/>
      <c r="K1" s="399"/>
      <c r="L1" s="399"/>
    </row>
    <row r="2" spans="1:15" s="54" customFormat="1" ht="36.75" customHeight="1">
      <c r="A2" s="134" t="s">
        <v>118</v>
      </c>
      <c r="B2" s="82" t="s">
        <v>119</v>
      </c>
      <c r="C2" s="81" t="s">
        <v>148</v>
      </c>
      <c r="D2" s="82" t="s">
        <v>149</v>
      </c>
      <c r="E2" s="82" t="s">
        <v>104</v>
      </c>
      <c r="F2" s="82" t="s">
        <v>150</v>
      </c>
      <c r="G2" s="82" t="s">
        <v>120</v>
      </c>
      <c r="H2" s="81" t="s">
        <v>84</v>
      </c>
      <c r="I2" s="82" t="s">
        <v>121</v>
      </c>
      <c r="J2" s="82" t="s">
        <v>180</v>
      </c>
      <c r="K2" s="82" t="s">
        <v>194</v>
      </c>
      <c r="L2" s="82" t="s">
        <v>89</v>
      </c>
    </row>
    <row r="3" spans="1:15" s="54" customFormat="1" ht="36.75" customHeight="1">
      <c r="A3" s="405" t="s">
        <v>474</v>
      </c>
      <c r="B3" s="406"/>
      <c r="C3" s="406"/>
      <c r="D3" s="406"/>
      <c r="E3" s="406"/>
      <c r="F3" s="406"/>
      <c r="G3" s="406"/>
      <c r="H3" s="406"/>
      <c r="I3" s="406"/>
      <c r="J3" s="406"/>
      <c r="K3" s="406"/>
      <c r="L3" s="407"/>
    </row>
    <row r="4" spans="1:15" s="46" customFormat="1" ht="166.5" customHeight="1">
      <c r="A4" s="88">
        <v>1</v>
      </c>
      <c r="B4" s="265" t="s">
        <v>56</v>
      </c>
      <c r="C4" s="89" t="s">
        <v>151</v>
      </c>
      <c r="D4" s="265">
        <v>2000</v>
      </c>
      <c r="E4" s="265">
        <f>17270-2000-5181+1142</f>
        <v>11231</v>
      </c>
      <c r="F4" s="301"/>
      <c r="G4" s="265">
        <f>D4+E4-F4</f>
        <v>13231</v>
      </c>
      <c r="H4" s="266">
        <v>42833</v>
      </c>
      <c r="I4" s="267" t="s">
        <v>152</v>
      </c>
      <c r="J4" s="265" t="s">
        <v>153</v>
      </c>
      <c r="K4" s="267" t="s">
        <v>195</v>
      </c>
      <c r="L4" s="307" t="s">
        <v>668</v>
      </c>
    </row>
    <row r="5" spans="1:15" ht="176.25" customHeight="1">
      <c r="A5" s="88">
        <v>2</v>
      </c>
      <c r="B5" s="230" t="s">
        <v>122</v>
      </c>
      <c r="C5" s="89" t="s">
        <v>123</v>
      </c>
      <c r="D5" s="230"/>
      <c r="E5" s="246">
        <f>40000+1000+500+3898+259</f>
        <v>45657</v>
      </c>
      <c r="F5" s="301">
        <f>2400+667</f>
        <v>3067</v>
      </c>
      <c r="G5" s="230">
        <f t="shared" ref="G5:G12" si="0">D5+E5-F5</f>
        <v>42590</v>
      </c>
      <c r="H5" s="231">
        <v>42847</v>
      </c>
      <c r="I5" s="306" t="s">
        <v>667</v>
      </c>
      <c r="J5" s="230" t="s">
        <v>154</v>
      </c>
      <c r="K5" s="232"/>
      <c r="L5" s="339" t="s">
        <v>716</v>
      </c>
    </row>
    <row r="6" spans="1:15" ht="315" customHeight="1">
      <c r="A6" s="313">
        <v>3</v>
      </c>
      <c r="B6" s="181" t="s">
        <v>124</v>
      </c>
      <c r="C6" s="89" t="s">
        <v>418</v>
      </c>
      <c r="D6" s="181">
        <f>5000-500</f>
        <v>4500</v>
      </c>
      <c r="E6" s="246">
        <f>1638-49</f>
        <v>1589</v>
      </c>
      <c r="F6" s="301">
        <v>60</v>
      </c>
      <c r="G6" s="181">
        <f t="shared" si="0"/>
        <v>6029</v>
      </c>
      <c r="H6" s="182">
        <v>42840</v>
      </c>
      <c r="I6" s="91" t="s">
        <v>452</v>
      </c>
      <c r="J6" s="181" t="s">
        <v>87</v>
      </c>
      <c r="K6" s="183" t="s">
        <v>196</v>
      </c>
      <c r="L6" s="181"/>
      <c r="O6" s="110"/>
    </row>
    <row r="7" spans="1:15" s="60" customFormat="1" ht="106.5" customHeight="1">
      <c r="A7" s="313">
        <v>4</v>
      </c>
      <c r="B7" s="277" t="s">
        <v>57</v>
      </c>
      <c r="C7" s="89" t="s">
        <v>85</v>
      </c>
      <c r="D7" s="277">
        <v>1000</v>
      </c>
      <c r="E7" s="277">
        <f>14200+1500</f>
        <v>15700</v>
      </c>
      <c r="F7" s="301">
        <v>320</v>
      </c>
      <c r="G7" s="277">
        <f>D7+E7-F7</f>
        <v>16380</v>
      </c>
      <c r="H7" s="278">
        <v>42840</v>
      </c>
      <c r="I7" s="91" t="s">
        <v>624</v>
      </c>
      <c r="J7" s="277" t="s">
        <v>88</v>
      </c>
      <c r="K7" s="279" t="s">
        <v>350</v>
      </c>
      <c r="L7" s="277"/>
    </row>
    <row r="8" spans="1:15" ht="280.5" customHeight="1">
      <c r="A8" s="313">
        <v>5</v>
      </c>
      <c r="B8" s="152" t="s">
        <v>157</v>
      </c>
      <c r="C8" s="89" t="s">
        <v>86</v>
      </c>
      <c r="D8" s="152">
        <v>1000</v>
      </c>
      <c r="E8" s="246">
        <f>6699+100+80</f>
        <v>6879</v>
      </c>
      <c r="F8" s="301"/>
      <c r="G8" s="152">
        <f t="shared" si="0"/>
        <v>7879</v>
      </c>
      <c r="H8" s="153">
        <v>42840</v>
      </c>
      <c r="I8" s="91" t="s">
        <v>544</v>
      </c>
      <c r="J8" s="152" t="s">
        <v>87</v>
      </c>
      <c r="K8" s="408" t="s">
        <v>453</v>
      </c>
      <c r="L8" s="409"/>
    </row>
    <row r="9" spans="1:15" ht="93" customHeight="1">
      <c r="A9" s="313">
        <v>6</v>
      </c>
      <c r="B9" s="277" t="s">
        <v>159</v>
      </c>
      <c r="C9" s="89" t="s">
        <v>97</v>
      </c>
      <c r="D9" s="277">
        <v>1000</v>
      </c>
      <c r="E9" s="277">
        <f>6372+80</f>
        <v>6452</v>
      </c>
      <c r="F9" s="301"/>
      <c r="G9" s="277">
        <f t="shared" si="0"/>
        <v>7452</v>
      </c>
      <c r="H9" s="278">
        <v>42847</v>
      </c>
      <c r="I9" s="91" t="s">
        <v>606</v>
      </c>
      <c r="J9" s="277" t="s">
        <v>160</v>
      </c>
      <c r="K9" s="279" t="s">
        <v>198</v>
      </c>
      <c r="L9" s="277"/>
    </row>
    <row r="10" spans="1:15" ht="135.75" customHeight="1">
      <c r="A10" s="342">
        <v>7</v>
      </c>
      <c r="B10" s="341" t="s">
        <v>161</v>
      </c>
      <c r="C10" s="343" t="s">
        <v>98</v>
      </c>
      <c r="D10" s="341">
        <v>2000</v>
      </c>
      <c r="E10" s="341">
        <f>10000-900</f>
        <v>9100</v>
      </c>
      <c r="F10" s="341">
        <v>1016.25</v>
      </c>
      <c r="G10" s="341">
        <f t="shared" si="0"/>
        <v>10083.75</v>
      </c>
      <c r="H10" s="344">
        <v>42847</v>
      </c>
      <c r="I10" s="345" t="s">
        <v>696</v>
      </c>
      <c r="J10" s="346" t="s">
        <v>126</v>
      </c>
      <c r="K10" s="345" t="s">
        <v>199</v>
      </c>
      <c r="L10" s="340" t="s">
        <v>717</v>
      </c>
    </row>
    <row r="11" spans="1:15" s="46" customFormat="1" ht="21.75" customHeight="1">
      <c r="A11" s="313">
        <v>8</v>
      </c>
      <c r="B11" s="90" t="s">
        <v>162</v>
      </c>
      <c r="C11" s="89" t="s">
        <v>51</v>
      </c>
      <c r="D11" s="90">
        <f>207.7+154.8+129</f>
        <v>491.5</v>
      </c>
      <c r="E11" s="246"/>
      <c r="F11" s="301"/>
      <c r="G11" s="90">
        <f t="shared" ref="G11" si="1">D11+E11-F11</f>
        <v>491.5</v>
      </c>
      <c r="H11" s="92">
        <v>42830</v>
      </c>
      <c r="I11" s="91"/>
      <c r="J11" s="90" t="s">
        <v>107</v>
      </c>
      <c r="K11" s="103"/>
      <c r="L11" s="90"/>
    </row>
    <row r="12" spans="1:15" s="46" customFormat="1" ht="21.75" customHeight="1">
      <c r="A12" s="313">
        <v>9</v>
      </c>
      <c r="B12" s="90" t="s">
        <v>163</v>
      </c>
      <c r="C12" s="89" t="s">
        <v>106</v>
      </c>
      <c r="D12" s="90">
        <v>966</v>
      </c>
      <c r="E12" s="246">
        <v>170</v>
      </c>
      <c r="F12" s="301"/>
      <c r="G12" s="90">
        <f t="shared" si="0"/>
        <v>1136</v>
      </c>
      <c r="H12" s="92">
        <v>42845</v>
      </c>
      <c r="I12" s="91" t="s">
        <v>433</v>
      </c>
      <c r="J12" s="90" t="s">
        <v>127</v>
      </c>
      <c r="K12" s="103"/>
      <c r="L12" s="90"/>
    </row>
    <row r="13" spans="1:15" s="46" customFormat="1" ht="21.75" customHeight="1">
      <c r="A13" s="313">
        <v>10</v>
      </c>
      <c r="B13" s="90" t="s">
        <v>165</v>
      </c>
      <c r="C13" s="89" t="s">
        <v>51</v>
      </c>
      <c r="D13" s="90">
        <v>149</v>
      </c>
      <c r="E13" s="246"/>
      <c r="F13" s="301"/>
      <c r="G13" s="90">
        <f t="shared" ref="G13" si="2">D13+E13-F13</f>
        <v>149</v>
      </c>
      <c r="H13" s="92">
        <v>42849</v>
      </c>
      <c r="I13" s="91" t="s">
        <v>128</v>
      </c>
      <c r="J13" s="90" t="s">
        <v>107</v>
      </c>
      <c r="K13" s="103"/>
      <c r="L13" s="90"/>
    </row>
    <row r="14" spans="1:15" s="46" customFormat="1" ht="21.75" customHeight="1">
      <c r="A14" s="313">
        <v>11</v>
      </c>
      <c r="B14" s="90" t="s">
        <v>166</v>
      </c>
      <c r="C14" s="89" t="s">
        <v>51</v>
      </c>
      <c r="D14" s="388">
        <v>119</v>
      </c>
      <c r="E14" s="246"/>
      <c r="F14" s="301"/>
      <c r="G14" s="90">
        <f t="shared" ref="G14" si="3">D14+E14-F14</f>
        <v>119</v>
      </c>
      <c r="H14" s="92">
        <v>42850</v>
      </c>
      <c r="I14" s="91" t="s">
        <v>167</v>
      </c>
      <c r="J14" s="90" t="s">
        <v>107</v>
      </c>
      <c r="K14" s="103"/>
      <c r="L14" s="90"/>
    </row>
    <row r="15" spans="1:15" s="46" customFormat="1" ht="21.75" customHeight="1">
      <c r="A15" s="313">
        <v>12</v>
      </c>
      <c r="B15" s="90" t="s">
        <v>111</v>
      </c>
      <c r="C15" s="89" t="s">
        <v>112</v>
      </c>
      <c r="D15" s="389"/>
      <c r="E15" s="246"/>
      <c r="F15" s="301"/>
      <c r="G15" s="90">
        <f t="shared" ref="G15:G17" si="4">D15+E15-F15</f>
        <v>0</v>
      </c>
      <c r="H15" s="92">
        <v>42850</v>
      </c>
      <c r="I15" s="91" t="s">
        <v>113</v>
      </c>
      <c r="J15" s="90" t="s">
        <v>107</v>
      </c>
      <c r="K15" s="103"/>
      <c r="L15" s="90"/>
    </row>
    <row r="16" spans="1:15" s="46" customFormat="1" ht="21.75" customHeight="1">
      <c r="A16" s="313">
        <v>13</v>
      </c>
      <c r="B16" s="90" t="s">
        <v>139</v>
      </c>
      <c r="C16" s="89" t="s">
        <v>168</v>
      </c>
      <c r="D16" s="90">
        <v>127.8</v>
      </c>
      <c r="E16" s="246"/>
      <c r="F16" s="301"/>
      <c r="G16" s="90">
        <f t="shared" si="4"/>
        <v>127.8</v>
      </c>
      <c r="H16" s="92">
        <v>42850</v>
      </c>
      <c r="I16" s="91"/>
      <c r="J16" s="90" t="s">
        <v>140</v>
      </c>
      <c r="K16" s="103"/>
      <c r="L16" s="90"/>
    </row>
    <row r="17" spans="1:12" s="46" customFormat="1" ht="27" customHeight="1">
      <c r="A17" s="313">
        <v>14</v>
      </c>
      <c r="B17" s="310" t="s">
        <v>133</v>
      </c>
      <c r="C17" s="89" t="s">
        <v>134</v>
      </c>
      <c r="D17" s="388">
        <f>2937-150</f>
        <v>2787</v>
      </c>
      <c r="E17" s="388"/>
      <c r="F17" s="388"/>
      <c r="G17" s="388">
        <f t="shared" si="4"/>
        <v>2787</v>
      </c>
      <c r="H17" s="390">
        <v>42854</v>
      </c>
      <c r="I17" s="403" t="s">
        <v>589</v>
      </c>
      <c r="J17" s="388" t="s">
        <v>137</v>
      </c>
      <c r="K17" s="403" t="s">
        <v>669</v>
      </c>
      <c r="L17" s="388"/>
    </row>
    <row r="18" spans="1:12" s="46" customFormat="1" ht="27" customHeight="1">
      <c r="A18" s="313">
        <v>15</v>
      </c>
      <c r="B18" s="310" t="s">
        <v>169</v>
      </c>
      <c r="C18" s="89" t="s">
        <v>170</v>
      </c>
      <c r="D18" s="389"/>
      <c r="E18" s="389"/>
      <c r="F18" s="389"/>
      <c r="G18" s="389"/>
      <c r="H18" s="391"/>
      <c r="I18" s="404"/>
      <c r="J18" s="389"/>
      <c r="K18" s="404"/>
      <c r="L18" s="389"/>
    </row>
    <row r="19" spans="1:12" s="46" customFormat="1" ht="21.75" customHeight="1">
      <c r="A19" s="313">
        <v>16</v>
      </c>
      <c r="B19" s="90" t="s">
        <v>162</v>
      </c>
      <c r="C19" s="89" t="s">
        <v>51</v>
      </c>
      <c r="D19" s="90">
        <f>9.9*35-10</f>
        <v>336.5</v>
      </c>
      <c r="E19" s="246"/>
      <c r="F19" s="301"/>
      <c r="G19" s="90">
        <f t="shared" ref="G19" si="5">D19+E19-F19</f>
        <v>336.5</v>
      </c>
      <c r="H19" s="92">
        <v>42856</v>
      </c>
      <c r="I19" s="91" t="s">
        <v>143</v>
      </c>
      <c r="J19" s="90" t="s">
        <v>107</v>
      </c>
      <c r="K19" s="103"/>
      <c r="L19" s="90"/>
    </row>
    <row r="20" spans="1:12" s="46" customFormat="1" ht="54.75" customHeight="1">
      <c r="A20" s="313">
        <v>17</v>
      </c>
      <c r="B20" s="90" t="s">
        <v>90</v>
      </c>
      <c r="C20" s="89" t="s">
        <v>51</v>
      </c>
      <c r="D20" s="90">
        <v>601.29999999999995</v>
      </c>
      <c r="E20" s="246"/>
      <c r="F20" s="301"/>
      <c r="G20" s="90">
        <f t="shared" ref="G20:G21" si="6">D20+E20-F20</f>
        <v>601.29999999999995</v>
      </c>
      <c r="H20" s="92">
        <v>42861</v>
      </c>
      <c r="I20" s="91" t="s">
        <v>179</v>
      </c>
      <c r="J20" s="90" t="s">
        <v>190</v>
      </c>
      <c r="K20" s="103"/>
      <c r="L20" s="90"/>
    </row>
    <row r="21" spans="1:12" s="46" customFormat="1" ht="21.75" customHeight="1">
      <c r="A21" s="313">
        <v>18</v>
      </c>
      <c r="B21" s="90" t="s">
        <v>201</v>
      </c>
      <c r="C21" s="89" t="s">
        <v>168</v>
      </c>
      <c r="D21" s="90">
        <v>35</v>
      </c>
      <c r="E21" s="246"/>
      <c r="F21" s="301"/>
      <c r="G21" s="90">
        <f t="shared" si="6"/>
        <v>35</v>
      </c>
      <c r="H21" s="92">
        <v>42878</v>
      </c>
      <c r="I21" s="91"/>
      <c r="J21" s="90" t="s">
        <v>229</v>
      </c>
      <c r="K21" s="103"/>
      <c r="L21" s="90"/>
    </row>
    <row r="22" spans="1:12" s="110" customFormat="1" ht="21.75" customHeight="1">
      <c r="A22" s="313">
        <v>19</v>
      </c>
      <c r="B22" s="277" t="s">
        <v>27</v>
      </c>
      <c r="C22" s="89" t="s">
        <v>168</v>
      </c>
      <c r="D22" s="277">
        <v>96</v>
      </c>
      <c r="E22" s="277"/>
      <c r="F22" s="301"/>
      <c r="G22" s="277">
        <f t="shared" ref="G22" si="7">D22+E22-F22</f>
        <v>96</v>
      </c>
      <c r="H22" s="278">
        <v>42883</v>
      </c>
      <c r="I22" s="91"/>
      <c r="J22" s="277" t="s">
        <v>172</v>
      </c>
      <c r="K22" s="279" t="s">
        <v>230</v>
      </c>
      <c r="L22" s="277"/>
    </row>
    <row r="23" spans="1:12" s="110" customFormat="1" ht="39.75" customHeight="1">
      <c r="A23" s="313">
        <v>20</v>
      </c>
      <c r="B23" s="226" t="s">
        <v>231</v>
      </c>
      <c r="C23" s="89" t="s">
        <v>232</v>
      </c>
      <c r="D23" s="226">
        <v>1315.75</v>
      </c>
      <c r="E23" s="246"/>
      <c r="F23" s="301"/>
      <c r="G23" s="226">
        <f t="shared" ref="G23" si="8">D23+E23-F23</f>
        <v>1315.75</v>
      </c>
      <c r="H23" s="227">
        <v>42883</v>
      </c>
      <c r="I23" s="91" t="s">
        <v>515</v>
      </c>
      <c r="J23" s="226" t="s">
        <v>172</v>
      </c>
      <c r="K23" s="228" t="s">
        <v>233</v>
      </c>
      <c r="L23" s="226"/>
    </row>
    <row r="24" spans="1:12" s="110" customFormat="1" ht="63.75" customHeight="1">
      <c r="A24" s="313">
        <v>21</v>
      </c>
      <c r="B24" s="289" t="s">
        <v>255</v>
      </c>
      <c r="C24" s="89" t="s">
        <v>253</v>
      </c>
      <c r="D24" s="289">
        <v>1857.72</v>
      </c>
      <c r="E24" s="289"/>
      <c r="F24" s="301"/>
      <c r="G24" s="289">
        <f t="shared" ref="G24" si="9">D24+E24-F24</f>
        <v>1857.72</v>
      </c>
      <c r="H24" s="290">
        <v>42887</v>
      </c>
      <c r="I24" s="91" t="s">
        <v>254</v>
      </c>
      <c r="J24" s="289" t="s">
        <v>107</v>
      </c>
      <c r="K24" s="291"/>
      <c r="L24" s="289"/>
    </row>
    <row r="25" spans="1:12" s="110" customFormat="1" ht="42" customHeight="1">
      <c r="A25" s="313">
        <v>22</v>
      </c>
      <c r="B25" s="167" t="s">
        <v>256</v>
      </c>
      <c r="C25" s="89" t="s">
        <v>253</v>
      </c>
      <c r="D25" s="167">
        <v>822.2</v>
      </c>
      <c r="E25" s="246"/>
      <c r="F25" s="301"/>
      <c r="G25" s="167">
        <f t="shared" ref="G25:G26" si="10">D25+E25-F25</f>
        <v>822.2</v>
      </c>
      <c r="H25" s="168">
        <v>42887</v>
      </c>
      <c r="I25" s="91" t="s">
        <v>257</v>
      </c>
      <c r="J25" s="167" t="s">
        <v>107</v>
      </c>
      <c r="K25" s="169"/>
      <c r="L25" s="167"/>
    </row>
    <row r="26" spans="1:12" s="110" customFormat="1" ht="21.75" customHeight="1">
      <c r="A26" s="313">
        <v>23</v>
      </c>
      <c r="B26" s="90" t="s">
        <v>201</v>
      </c>
      <c r="C26" s="89" t="s">
        <v>168</v>
      </c>
      <c r="D26" s="90">
        <v>185.32</v>
      </c>
      <c r="E26" s="246"/>
      <c r="F26" s="301"/>
      <c r="G26" s="90">
        <f t="shared" si="10"/>
        <v>185.32</v>
      </c>
      <c r="H26" s="92">
        <v>42887</v>
      </c>
      <c r="I26" s="91"/>
      <c r="J26" s="151" t="s">
        <v>334</v>
      </c>
      <c r="K26" s="103"/>
      <c r="L26" s="90"/>
    </row>
    <row r="27" spans="1:12" s="110" customFormat="1" ht="21.75" customHeight="1">
      <c r="A27" s="313">
        <v>24</v>
      </c>
      <c r="B27" s="90" t="s">
        <v>285</v>
      </c>
      <c r="C27" s="89" t="s">
        <v>276</v>
      </c>
      <c r="D27" s="90">
        <v>68</v>
      </c>
      <c r="E27" s="246"/>
      <c r="F27" s="301"/>
      <c r="G27" s="90">
        <f t="shared" ref="G27" si="11">D27+E27-F27</f>
        <v>68</v>
      </c>
      <c r="H27" s="92">
        <v>42887</v>
      </c>
      <c r="I27" s="91"/>
      <c r="J27" s="90" t="s">
        <v>286</v>
      </c>
      <c r="K27" s="103"/>
      <c r="L27" s="90"/>
    </row>
    <row r="28" spans="1:12" s="110" customFormat="1" ht="21.75" customHeight="1">
      <c r="A28" s="313">
        <v>25</v>
      </c>
      <c r="B28" s="90" t="s">
        <v>287</v>
      </c>
      <c r="C28" s="89" t="s">
        <v>276</v>
      </c>
      <c r="D28" s="90">
        <f>446-266+199</f>
        <v>379</v>
      </c>
      <c r="E28" s="246"/>
      <c r="F28" s="301"/>
      <c r="G28" s="90">
        <f t="shared" ref="G28" si="12">D28+E28-F28</f>
        <v>379</v>
      </c>
      <c r="H28" s="92">
        <v>42887</v>
      </c>
      <c r="I28" s="91" t="s">
        <v>288</v>
      </c>
      <c r="J28" s="90" t="s">
        <v>289</v>
      </c>
      <c r="K28" s="103"/>
      <c r="L28" s="90"/>
    </row>
    <row r="29" spans="1:12" s="110" customFormat="1" ht="27" customHeight="1">
      <c r="A29" s="313">
        <v>26</v>
      </c>
      <c r="B29" s="142" t="s">
        <v>255</v>
      </c>
      <c r="C29" s="89" t="s">
        <v>253</v>
      </c>
      <c r="D29" s="142">
        <f>319*2</f>
        <v>638</v>
      </c>
      <c r="E29" s="246"/>
      <c r="F29" s="301"/>
      <c r="G29" s="142">
        <f t="shared" ref="G29" si="13">D29+E29-F29</f>
        <v>638</v>
      </c>
      <c r="H29" s="143">
        <v>42888</v>
      </c>
      <c r="I29" s="91" t="s">
        <v>278</v>
      </c>
      <c r="J29" s="142" t="s">
        <v>296</v>
      </c>
      <c r="K29" s="144"/>
      <c r="L29" s="142"/>
    </row>
    <row r="30" spans="1:12" s="110" customFormat="1" ht="37.5" customHeight="1">
      <c r="A30" s="313">
        <v>27</v>
      </c>
      <c r="B30" s="139" t="s">
        <v>255</v>
      </c>
      <c r="C30" s="89" t="s">
        <v>51</v>
      </c>
      <c r="D30" s="139">
        <v>249</v>
      </c>
      <c r="E30" s="246"/>
      <c r="F30" s="301"/>
      <c r="G30" s="139">
        <f>D30+E30-F30</f>
        <v>249</v>
      </c>
      <c r="H30" s="140">
        <v>42888</v>
      </c>
      <c r="I30" s="91" t="s">
        <v>273</v>
      </c>
      <c r="J30" s="139" t="s">
        <v>296</v>
      </c>
      <c r="K30" s="141"/>
      <c r="L30" s="147"/>
    </row>
    <row r="31" spans="1:12" s="110" customFormat="1" ht="42.75" customHeight="1">
      <c r="A31" s="313">
        <v>28</v>
      </c>
      <c r="B31" s="90" t="s">
        <v>274</v>
      </c>
      <c r="C31" s="89" t="s">
        <v>51</v>
      </c>
      <c r="D31" s="400">
        <v>181.9</v>
      </c>
      <c r="E31" s="400"/>
      <c r="F31" s="400"/>
      <c r="G31" s="400">
        <f>D31+E31-F31</f>
        <v>181.9</v>
      </c>
      <c r="H31" s="401">
        <v>42889</v>
      </c>
      <c r="I31" s="402" t="s">
        <v>277</v>
      </c>
      <c r="J31" s="388" t="s">
        <v>296</v>
      </c>
      <c r="K31" s="388"/>
      <c r="L31" s="388"/>
    </row>
    <row r="32" spans="1:12" s="110" customFormat="1" ht="42.75" customHeight="1">
      <c r="A32" s="313">
        <v>29</v>
      </c>
      <c r="B32" s="90" t="s">
        <v>275</v>
      </c>
      <c r="C32" s="89" t="s">
        <v>276</v>
      </c>
      <c r="D32" s="400"/>
      <c r="E32" s="400"/>
      <c r="F32" s="400"/>
      <c r="G32" s="400"/>
      <c r="H32" s="401"/>
      <c r="I32" s="402"/>
      <c r="J32" s="389"/>
      <c r="K32" s="389"/>
      <c r="L32" s="389"/>
    </row>
    <row r="33" spans="1:12" s="110" customFormat="1" ht="27" customHeight="1">
      <c r="A33" s="313">
        <v>30</v>
      </c>
      <c r="B33" s="139" t="s">
        <v>282</v>
      </c>
      <c r="C33" s="89" t="s">
        <v>283</v>
      </c>
      <c r="D33" s="139">
        <v>57.8</v>
      </c>
      <c r="E33" s="246"/>
      <c r="F33" s="301"/>
      <c r="G33" s="139">
        <f>D33+E33-F33</f>
        <v>57.8</v>
      </c>
      <c r="H33" s="140">
        <v>42889</v>
      </c>
      <c r="I33" s="91"/>
      <c r="J33" s="139" t="s">
        <v>299</v>
      </c>
      <c r="K33" s="141"/>
      <c r="L33" s="139"/>
    </row>
    <row r="34" spans="1:12" s="110" customFormat="1" ht="21.75" customHeight="1">
      <c r="A34" s="313">
        <v>31</v>
      </c>
      <c r="B34" s="90" t="s">
        <v>294</v>
      </c>
      <c r="C34" s="89" t="s">
        <v>168</v>
      </c>
      <c r="D34" s="90">
        <f>68*2</f>
        <v>136</v>
      </c>
      <c r="E34" s="246"/>
      <c r="F34" s="301"/>
      <c r="G34" s="90">
        <f t="shared" ref="G34" si="14">D34+E34-F34</f>
        <v>136</v>
      </c>
      <c r="H34" s="92">
        <v>42891</v>
      </c>
      <c r="I34" s="91" t="s">
        <v>295</v>
      </c>
      <c r="J34" s="139" t="s">
        <v>300</v>
      </c>
      <c r="K34" s="103"/>
      <c r="L34" s="90"/>
    </row>
    <row r="35" spans="1:12" s="110" customFormat="1" ht="27" customHeight="1">
      <c r="A35" s="313">
        <v>32</v>
      </c>
      <c r="B35" s="157" t="s">
        <v>301</v>
      </c>
      <c r="C35" s="89" t="s">
        <v>302</v>
      </c>
      <c r="D35" s="157">
        <v>119</v>
      </c>
      <c r="E35" s="246"/>
      <c r="F35" s="301"/>
      <c r="G35" s="157">
        <f t="shared" ref="G35" si="15">D35+E35-F35</f>
        <v>119</v>
      </c>
      <c r="H35" s="158">
        <v>42893</v>
      </c>
      <c r="I35" s="91" t="s">
        <v>303</v>
      </c>
      <c r="J35" s="157" t="s">
        <v>107</v>
      </c>
      <c r="K35" s="159"/>
      <c r="L35" s="157"/>
    </row>
    <row r="36" spans="1:12" s="110" customFormat="1" ht="21.75" customHeight="1">
      <c r="A36" s="313">
        <v>33</v>
      </c>
      <c r="B36" s="147" t="s">
        <v>304</v>
      </c>
      <c r="C36" s="89" t="s">
        <v>168</v>
      </c>
      <c r="D36" s="147">
        <v>58</v>
      </c>
      <c r="E36" s="246"/>
      <c r="F36" s="301"/>
      <c r="G36" s="147">
        <f t="shared" ref="G36" si="16">D36+E36-F36</f>
        <v>58</v>
      </c>
      <c r="H36" s="148">
        <v>42891</v>
      </c>
      <c r="I36" s="91" t="s">
        <v>305</v>
      </c>
      <c r="J36" s="147" t="s">
        <v>140</v>
      </c>
      <c r="K36" s="149"/>
      <c r="L36" s="147"/>
    </row>
    <row r="37" spans="1:12" s="110" customFormat="1" ht="26.25" customHeight="1">
      <c r="A37" s="313">
        <v>34</v>
      </c>
      <c r="B37" s="157" t="s">
        <v>255</v>
      </c>
      <c r="C37" s="89" t="s">
        <v>253</v>
      </c>
      <c r="D37" s="157">
        <f>94*2</f>
        <v>188</v>
      </c>
      <c r="E37" s="246"/>
      <c r="F37" s="301"/>
      <c r="G37" s="157">
        <f t="shared" ref="G37" si="17">D37+E37-F37</f>
        <v>188</v>
      </c>
      <c r="H37" s="158">
        <v>42910</v>
      </c>
      <c r="I37" s="91" t="s">
        <v>417</v>
      </c>
      <c r="J37" s="157" t="s">
        <v>107</v>
      </c>
      <c r="K37" s="159"/>
      <c r="L37" s="157"/>
    </row>
    <row r="38" spans="1:12" s="110" customFormat="1" ht="26.25" customHeight="1">
      <c r="A38" s="313">
        <v>35</v>
      </c>
      <c r="B38" s="164" t="s">
        <v>430</v>
      </c>
      <c r="C38" s="89" t="s">
        <v>427</v>
      </c>
      <c r="D38" s="164">
        <v>35</v>
      </c>
      <c r="E38" s="246"/>
      <c r="F38" s="301"/>
      <c r="G38" s="164">
        <f t="shared" ref="G38" si="18">D38+E38-F38</f>
        <v>35</v>
      </c>
      <c r="H38" s="165">
        <v>42919</v>
      </c>
      <c r="I38" s="91" t="s">
        <v>428</v>
      </c>
      <c r="J38" s="164" t="s">
        <v>429</v>
      </c>
      <c r="K38" s="166"/>
      <c r="L38" s="164"/>
    </row>
    <row r="39" spans="1:12" s="110" customFormat="1" ht="26.25" customHeight="1">
      <c r="A39" s="313">
        <v>36</v>
      </c>
      <c r="B39" s="255" t="s">
        <v>541</v>
      </c>
      <c r="C39" s="256" t="s">
        <v>542</v>
      </c>
      <c r="D39" s="255">
        <v>530</v>
      </c>
      <c r="E39" s="255"/>
      <c r="F39" s="298">
        <v>80</v>
      </c>
      <c r="G39" s="255">
        <f t="shared" ref="G39" si="19">D39+E39-F39</f>
        <v>450</v>
      </c>
      <c r="H39" s="193">
        <v>42919</v>
      </c>
      <c r="I39" s="191" t="s">
        <v>660</v>
      </c>
      <c r="J39" s="255" t="s">
        <v>543</v>
      </c>
      <c r="K39" s="257"/>
      <c r="L39" s="255"/>
    </row>
    <row r="40" spans="1:12" s="110" customFormat="1" ht="26.25" customHeight="1">
      <c r="A40" s="313">
        <v>37</v>
      </c>
      <c r="B40" s="203" t="s">
        <v>490</v>
      </c>
      <c r="C40" s="89" t="s">
        <v>491</v>
      </c>
      <c r="D40" s="203">
        <v>400</v>
      </c>
      <c r="E40" s="246"/>
      <c r="F40" s="301"/>
      <c r="G40" s="203">
        <f t="shared" ref="G40" si="20">D40+E40-F40</f>
        <v>400</v>
      </c>
      <c r="H40" s="204">
        <v>42931</v>
      </c>
      <c r="I40" s="91" t="s">
        <v>492</v>
      </c>
      <c r="J40" s="203" t="s">
        <v>493</v>
      </c>
      <c r="K40" s="205"/>
      <c r="L40" s="203"/>
    </row>
    <row r="41" spans="1:12" s="110" customFormat="1" ht="26.25" customHeight="1">
      <c r="A41" s="313">
        <v>38</v>
      </c>
      <c r="B41" s="207" t="s">
        <v>503</v>
      </c>
      <c r="C41" s="89" t="s">
        <v>504</v>
      </c>
      <c r="D41" s="207">
        <f>19*2</f>
        <v>38</v>
      </c>
      <c r="E41" s="246"/>
      <c r="F41" s="301"/>
      <c r="G41" s="207">
        <f t="shared" ref="G41:G42" si="21">D41+E41-F41</f>
        <v>38</v>
      </c>
      <c r="H41" s="208">
        <v>42932</v>
      </c>
      <c r="I41" s="91" t="s">
        <v>505</v>
      </c>
      <c r="J41" s="207" t="s">
        <v>107</v>
      </c>
      <c r="K41" s="209"/>
      <c r="L41" s="207"/>
    </row>
    <row r="42" spans="1:12" s="110" customFormat="1" ht="26.25" customHeight="1">
      <c r="A42" s="313">
        <v>39</v>
      </c>
      <c r="B42" s="216" t="s">
        <v>255</v>
      </c>
      <c r="C42" s="89" t="s">
        <v>51</v>
      </c>
      <c r="D42" s="216">
        <f>99-3</f>
        <v>96</v>
      </c>
      <c r="E42" s="246"/>
      <c r="F42" s="301"/>
      <c r="G42" s="216">
        <f t="shared" si="21"/>
        <v>96</v>
      </c>
      <c r="H42" s="217">
        <v>42940</v>
      </c>
      <c r="I42" s="91" t="s">
        <v>508</v>
      </c>
      <c r="J42" s="216" t="s">
        <v>107</v>
      </c>
      <c r="K42" s="218"/>
      <c r="L42" s="216"/>
    </row>
    <row r="43" spans="1:12" s="110" customFormat="1" ht="26.25" customHeight="1">
      <c r="A43" s="313">
        <v>40</v>
      </c>
      <c r="B43" s="233" t="s">
        <v>538</v>
      </c>
      <c r="C43" s="89" t="s">
        <v>539</v>
      </c>
      <c r="D43" s="233">
        <f>85*8</f>
        <v>680</v>
      </c>
      <c r="E43" s="246"/>
      <c r="F43" s="301"/>
      <c r="G43" s="233">
        <f t="shared" ref="G43:G45" si="22">D43+E43-F43</f>
        <v>680</v>
      </c>
      <c r="H43" s="234">
        <v>42948</v>
      </c>
      <c r="I43" s="91" t="s">
        <v>540</v>
      </c>
      <c r="J43" s="233"/>
      <c r="K43" s="235"/>
      <c r="L43" s="233"/>
    </row>
    <row r="44" spans="1:12" s="110" customFormat="1" ht="26.25" customHeight="1">
      <c r="A44" s="313">
        <v>41</v>
      </c>
      <c r="B44" s="269" t="s">
        <v>490</v>
      </c>
      <c r="C44" s="270" t="s">
        <v>491</v>
      </c>
      <c r="D44" s="269">
        <v>250</v>
      </c>
      <c r="E44" s="269"/>
      <c r="F44" s="298"/>
      <c r="G44" s="269">
        <f t="shared" si="22"/>
        <v>250</v>
      </c>
      <c r="H44" s="193">
        <v>42969</v>
      </c>
      <c r="I44" s="191" t="s">
        <v>602</v>
      </c>
      <c r="J44" s="269" t="s">
        <v>603</v>
      </c>
      <c r="K44" s="271" t="s">
        <v>605</v>
      </c>
      <c r="L44" s="269"/>
    </row>
    <row r="45" spans="1:12" s="110" customFormat="1" ht="26.25" customHeight="1">
      <c r="A45" s="313">
        <v>42</v>
      </c>
      <c r="B45" s="280" t="s">
        <v>255</v>
      </c>
      <c r="C45" s="89" t="s">
        <v>51</v>
      </c>
      <c r="D45" s="280">
        <f>258/4</f>
        <v>64.5</v>
      </c>
      <c r="E45" s="280"/>
      <c r="F45" s="301"/>
      <c r="G45" s="280">
        <f t="shared" si="22"/>
        <v>64.5</v>
      </c>
      <c r="H45" s="281">
        <v>42972</v>
      </c>
      <c r="I45" s="91" t="s">
        <v>625</v>
      </c>
      <c r="J45" s="280" t="s">
        <v>626</v>
      </c>
      <c r="K45" s="282"/>
      <c r="L45" s="280"/>
    </row>
    <row r="46" spans="1:12" s="110" customFormat="1" ht="26.25" customHeight="1">
      <c r="A46" s="313">
        <v>43</v>
      </c>
      <c r="B46" s="274" t="s">
        <v>620</v>
      </c>
      <c r="C46" s="89" t="s">
        <v>621</v>
      </c>
      <c r="D46" s="274">
        <v>350</v>
      </c>
      <c r="E46" s="274"/>
      <c r="F46" s="301"/>
      <c r="G46" s="274">
        <f t="shared" ref="G46:G49" si="23">D46+E46-F46</f>
        <v>350</v>
      </c>
      <c r="H46" s="275">
        <v>42978</v>
      </c>
      <c r="I46" s="91" t="s">
        <v>622</v>
      </c>
      <c r="J46" s="274" t="s">
        <v>603</v>
      </c>
      <c r="K46" s="276" t="s">
        <v>623</v>
      </c>
      <c r="L46" s="274"/>
    </row>
    <row r="47" spans="1:12" s="110" customFormat="1" ht="26.25" customHeight="1">
      <c r="A47" s="313">
        <v>44</v>
      </c>
      <c r="B47" s="280" t="s">
        <v>255</v>
      </c>
      <c r="C47" s="89" t="s">
        <v>51</v>
      </c>
      <c r="D47" s="280">
        <f>109</f>
        <v>109</v>
      </c>
      <c r="E47" s="280"/>
      <c r="F47" s="301"/>
      <c r="G47" s="280">
        <f t="shared" si="23"/>
        <v>109</v>
      </c>
      <c r="H47" s="281">
        <v>42984</v>
      </c>
      <c r="I47" s="91" t="s">
        <v>627</v>
      </c>
      <c r="J47" s="280" t="s">
        <v>626</v>
      </c>
      <c r="K47" s="282"/>
      <c r="L47" s="280"/>
    </row>
    <row r="48" spans="1:12" s="110" customFormat="1" ht="21.75" customHeight="1">
      <c r="A48" s="313">
        <v>45</v>
      </c>
      <c r="B48" s="283" t="s">
        <v>201</v>
      </c>
      <c r="C48" s="89" t="s">
        <v>168</v>
      </c>
      <c r="D48" s="283">
        <f>128-10.75</f>
        <v>117.25</v>
      </c>
      <c r="E48" s="283"/>
      <c r="F48" s="301"/>
      <c r="G48" s="283">
        <f t="shared" si="23"/>
        <v>117.25</v>
      </c>
      <c r="H48" s="284">
        <v>42991</v>
      </c>
      <c r="I48" s="91" t="s">
        <v>632</v>
      </c>
      <c r="J48" s="283" t="s">
        <v>229</v>
      </c>
      <c r="K48" s="285"/>
      <c r="L48" s="283"/>
    </row>
    <row r="49" spans="1:16" s="110" customFormat="1" ht="115.5" customHeight="1">
      <c r="A49" s="313">
        <v>46</v>
      </c>
      <c r="B49" s="288" t="s">
        <v>633</v>
      </c>
      <c r="C49" s="286" t="s">
        <v>634</v>
      </c>
      <c r="D49" s="288">
        <v>600</v>
      </c>
      <c r="E49" s="288"/>
      <c r="F49" s="298"/>
      <c r="G49" s="288">
        <f t="shared" si="23"/>
        <v>600</v>
      </c>
      <c r="H49" s="193">
        <v>42992</v>
      </c>
      <c r="I49" s="191" t="s">
        <v>635</v>
      </c>
      <c r="J49" s="288" t="s">
        <v>543</v>
      </c>
      <c r="K49" s="287" t="s">
        <v>636</v>
      </c>
      <c r="L49" s="288"/>
    </row>
    <row r="50" spans="1:16" s="110" customFormat="1" ht="21.75" customHeight="1">
      <c r="A50" s="313">
        <v>47</v>
      </c>
      <c r="B50" s="292" t="s">
        <v>652</v>
      </c>
      <c r="C50" s="89" t="s">
        <v>168</v>
      </c>
      <c r="D50" s="292">
        <f>79+80+77-90</f>
        <v>146</v>
      </c>
      <c r="E50" s="292"/>
      <c r="F50" s="301"/>
      <c r="G50" s="292">
        <f t="shared" ref="G50" si="24">D50+E50-F50</f>
        <v>146</v>
      </c>
      <c r="H50" s="293">
        <v>42994</v>
      </c>
      <c r="I50" s="91" t="s">
        <v>653</v>
      </c>
      <c r="J50" s="292" t="s">
        <v>229</v>
      </c>
      <c r="K50" s="294"/>
      <c r="L50" s="292"/>
    </row>
    <row r="51" spans="1:16" s="110" customFormat="1" ht="21.75" customHeight="1">
      <c r="A51" s="329">
        <v>48</v>
      </c>
      <c r="B51" s="298" t="s">
        <v>654</v>
      </c>
      <c r="C51" s="299" t="s">
        <v>655</v>
      </c>
      <c r="D51" s="298">
        <v>15</v>
      </c>
      <c r="E51" s="298"/>
      <c r="F51" s="298"/>
      <c r="G51" s="298">
        <f t="shared" ref="G51" si="25">D51+E51-F51</f>
        <v>15</v>
      </c>
      <c r="H51" s="193">
        <v>42994</v>
      </c>
      <c r="I51" s="191" t="s">
        <v>658</v>
      </c>
      <c r="J51" s="298" t="s">
        <v>656</v>
      </c>
      <c r="K51" s="300" t="s">
        <v>657</v>
      </c>
      <c r="L51" s="298"/>
    </row>
    <row r="52" spans="1:16" s="110" customFormat="1" ht="21.75" customHeight="1">
      <c r="A52" s="329">
        <v>49</v>
      </c>
      <c r="B52" s="298" t="s">
        <v>654</v>
      </c>
      <c r="C52" s="299" t="s">
        <v>655</v>
      </c>
      <c r="D52" s="298">
        <v>30</v>
      </c>
      <c r="E52" s="298"/>
      <c r="F52" s="298"/>
      <c r="G52" s="298">
        <f t="shared" ref="G52" si="26">D52+E52-F52</f>
        <v>30</v>
      </c>
      <c r="H52" s="193">
        <v>42996</v>
      </c>
      <c r="I52" s="191" t="s">
        <v>659</v>
      </c>
      <c r="J52" s="298" t="s">
        <v>656</v>
      </c>
      <c r="K52" s="300" t="s">
        <v>657</v>
      </c>
      <c r="L52" s="298"/>
    </row>
    <row r="53" spans="1:16" s="110" customFormat="1" ht="21.75" customHeight="1">
      <c r="A53" s="329">
        <v>50</v>
      </c>
      <c r="B53" s="332" t="s">
        <v>692</v>
      </c>
      <c r="C53" s="330" t="s">
        <v>693</v>
      </c>
      <c r="D53" s="332">
        <v>5</v>
      </c>
      <c r="E53" s="332"/>
      <c r="F53" s="332"/>
      <c r="G53" s="332">
        <f t="shared" ref="G53" si="27">D53+E53-F53</f>
        <v>5</v>
      </c>
      <c r="H53" s="193">
        <v>42996</v>
      </c>
      <c r="I53" s="191" t="s">
        <v>692</v>
      </c>
      <c r="J53" s="332" t="s">
        <v>694</v>
      </c>
      <c r="K53" s="331" t="s">
        <v>338</v>
      </c>
      <c r="L53" s="332"/>
    </row>
    <row r="54" spans="1:16" ht="24" customHeight="1">
      <c r="A54" s="369" t="s">
        <v>129</v>
      </c>
      <c r="B54" s="369"/>
      <c r="C54" s="369"/>
      <c r="D54" s="93"/>
      <c r="E54" s="245"/>
      <c r="F54" s="302" t="s">
        <v>480</v>
      </c>
      <c r="G54" s="94">
        <f>SUM(G4:G53)</f>
        <v>119165.29000000001</v>
      </c>
      <c r="H54" s="133"/>
      <c r="I54" s="93"/>
      <c r="J54" s="93"/>
      <c r="K54" s="104"/>
      <c r="L54" s="93"/>
      <c r="P54" s="54"/>
    </row>
    <row r="55" spans="1:16" s="54" customFormat="1" ht="36.75" customHeight="1">
      <c r="A55" s="405" t="s">
        <v>475</v>
      </c>
      <c r="B55" s="406"/>
      <c r="C55" s="406"/>
      <c r="D55" s="406"/>
      <c r="E55" s="406"/>
      <c r="F55" s="406"/>
      <c r="G55" s="406"/>
      <c r="H55" s="406"/>
      <c r="I55" s="406"/>
      <c r="J55" s="406"/>
      <c r="K55" s="406"/>
      <c r="L55" s="407"/>
    </row>
    <row r="56" spans="1:16" s="110" customFormat="1" ht="217.5" customHeight="1">
      <c r="A56" s="201">
        <v>1</v>
      </c>
      <c r="B56" s="280" t="s">
        <v>155</v>
      </c>
      <c r="C56" s="89" t="s">
        <v>156</v>
      </c>
      <c r="D56" s="280">
        <v>1000</v>
      </c>
      <c r="E56" s="280">
        <f>2500+200</f>
        <v>2700</v>
      </c>
      <c r="F56" s="301"/>
      <c r="G56" s="280">
        <f t="shared" ref="G56:G58" si="28">D56+E56-F56</f>
        <v>3700</v>
      </c>
      <c r="H56" s="281">
        <v>42840</v>
      </c>
      <c r="I56" s="91" t="s">
        <v>631</v>
      </c>
      <c r="J56" s="280" t="s">
        <v>87</v>
      </c>
      <c r="K56" s="282" t="s">
        <v>630</v>
      </c>
      <c r="L56" s="280"/>
    </row>
    <row r="57" spans="1:16" s="110" customFormat="1" ht="68.25" customHeight="1">
      <c r="A57" s="201">
        <v>2</v>
      </c>
      <c r="B57" s="310" t="s">
        <v>158</v>
      </c>
      <c r="C57" s="89" t="s">
        <v>125</v>
      </c>
      <c r="D57" s="310">
        <v>2000</v>
      </c>
      <c r="E57" s="310">
        <f>1999*3-2000</f>
        <v>3997</v>
      </c>
      <c r="F57" s="310">
        <v>460</v>
      </c>
      <c r="G57" s="310">
        <f>D57+E57-F57</f>
        <v>5537</v>
      </c>
      <c r="H57" s="311">
        <v>42847</v>
      </c>
      <c r="I57" s="91" t="s">
        <v>661</v>
      </c>
      <c r="J57" s="310" t="s">
        <v>102</v>
      </c>
      <c r="K57" s="312" t="s">
        <v>197</v>
      </c>
      <c r="L57" s="314" t="s">
        <v>675</v>
      </c>
    </row>
    <row r="58" spans="1:16" s="110" customFormat="1" ht="21.75" customHeight="1">
      <c r="A58" s="272">
        <v>3</v>
      </c>
      <c r="B58" s="197" t="s">
        <v>108</v>
      </c>
      <c r="C58" s="89" t="s">
        <v>164</v>
      </c>
      <c r="D58" s="197">
        <v>5199</v>
      </c>
      <c r="E58" s="246">
        <v>25</v>
      </c>
      <c r="F58" s="301"/>
      <c r="G58" s="197">
        <f t="shared" si="28"/>
        <v>5224</v>
      </c>
      <c r="H58" s="198">
        <v>42848</v>
      </c>
      <c r="I58" s="91" t="s">
        <v>511</v>
      </c>
      <c r="J58" s="197" t="s">
        <v>107</v>
      </c>
      <c r="K58" s="228" t="s">
        <v>525</v>
      </c>
      <c r="L58" s="197"/>
    </row>
    <row r="59" spans="1:16" s="110" customFormat="1" ht="170.25" customHeight="1">
      <c r="A59" s="272">
        <v>4</v>
      </c>
      <c r="B59" s="246" t="s">
        <v>135</v>
      </c>
      <c r="C59" s="89" t="s">
        <v>136</v>
      </c>
      <c r="D59" s="246">
        <f>14690-1120</f>
        <v>13570</v>
      </c>
      <c r="E59" s="246"/>
      <c r="F59" s="301"/>
      <c r="G59" s="246">
        <f t="shared" ref="G59:G63" si="29">D59+E59-F59</f>
        <v>13570</v>
      </c>
      <c r="H59" s="247">
        <v>42854</v>
      </c>
      <c r="I59" s="91" t="s">
        <v>171</v>
      </c>
      <c r="J59" s="246" t="s">
        <v>172</v>
      </c>
      <c r="K59" s="403" t="s">
        <v>200</v>
      </c>
      <c r="L59" s="388" t="s">
        <v>555</v>
      </c>
    </row>
    <row r="60" spans="1:16" s="110" customFormat="1" ht="75" customHeight="1">
      <c r="A60" s="272">
        <v>5</v>
      </c>
      <c r="B60" s="246" t="s">
        <v>135</v>
      </c>
      <c r="C60" s="89" t="s">
        <v>136</v>
      </c>
      <c r="D60" s="246">
        <f>4850-200</f>
        <v>4650</v>
      </c>
      <c r="E60" s="246"/>
      <c r="F60" s="301"/>
      <c r="G60" s="246">
        <f t="shared" si="29"/>
        <v>4650</v>
      </c>
      <c r="H60" s="247">
        <v>42855</v>
      </c>
      <c r="I60" s="91" t="s">
        <v>173</v>
      </c>
      <c r="J60" s="246" t="s">
        <v>172</v>
      </c>
      <c r="K60" s="404"/>
      <c r="L60" s="392"/>
    </row>
    <row r="61" spans="1:16" s="110" customFormat="1" ht="34.5" customHeight="1">
      <c r="A61" s="272">
        <v>6</v>
      </c>
      <c r="B61" s="246" t="s">
        <v>135</v>
      </c>
      <c r="C61" s="89" t="s">
        <v>136</v>
      </c>
      <c r="D61" s="246">
        <v>1200</v>
      </c>
      <c r="E61" s="246"/>
      <c r="F61" s="301"/>
      <c r="G61" s="246">
        <f t="shared" ref="G61" si="30">D61+E61-F61</f>
        <v>1200</v>
      </c>
      <c r="H61" s="247">
        <v>42951</v>
      </c>
      <c r="I61" s="91" t="s">
        <v>554</v>
      </c>
      <c r="J61" s="246" t="s">
        <v>172</v>
      </c>
      <c r="K61" s="253"/>
      <c r="L61" s="389"/>
    </row>
    <row r="62" spans="1:16" s="110" customFormat="1" ht="21.75" customHeight="1">
      <c r="A62" s="272">
        <v>7</v>
      </c>
      <c r="B62" s="197" t="s">
        <v>174</v>
      </c>
      <c r="C62" s="89" t="s">
        <v>175</v>
      </c>
      <c r="D62" s="197">
        <v>1408.3</v>
      </c>
      <c r="E62" s="246">
        <v>70</v>
      </c>
      <c r="F62" s="301"/>
      <c r="G62" s="197">
        <f t="shared" si="29"/>
        <v>1478.3</v>
      </c>
      <c r="H62" s="198">
        <v>42887</v>
      </c>
      <c r="I62" s="91"/>
      <c r="J62" s="197" t="s">
        <v>107</v>
      </c>
      <c r="K62" s="228" t="s">
        <v>525</v>
      </c>
      <c r="L62" s="197"/>
    </row>
    <row r="63" spans="1:16" s="110" customFormat="1" ht="27" customHeight="1">
      <c r="A63" s="272">
        <v>8</v>
      </c>
      <c r="B63" s="197" t="s">
        <v>261</v>
      </c>
      <c r="C63" s="89" t="s">
        <v>264</v>
      </c>
      <c r="D63" s="197">
        <v>1099</v>
      </c>
      <c r="E63" s="246"/>
      <c r="F63" s="301"/>
      <c r="G63" s="197">
        <f t="shared" si="29"/>
        <v>1099</v>
      </c>
      <c r="H63" s="198">
        <v>42888</v>
      </c>
      <c r="I63" s="91" t="s">
        <v>265</v>
      </c>
      <c r="J63" s="197" t="s">
        <v>107</v>
      </c>
      <c r="K63" s="199"/>
      <c r="L63" s="197"/>
    </row>
    <row r="64" spans="1:16" s="110" customFormat="1" ht="27" customHeight="1">
      <c r="A64" s="303">
        <v>9</v>
      </c>
      <c r="B64" s="197" t="s">
        <v>270</v>
      </c>
      <c r="C64" s="89" t="s">
        <v>271</v>
      </c>
      <c r="D64" s="197">
        <v>4619</v>
      </c>
      <c r="E64" s="246"/>
      <c r="F64" s="301"/>
      <c r="G64" s="197">
        <f t="shared" ref="G64" si="31">D64+E64-F64</f>
        <v>4619</v>
      </c>
      <c r="H64" s="198">
        <v>42893</v>
      </c>
      <c r="I64" s="91" t="s">
        <v>298</v>
      </c>
      <c r="J64" s="197" t="s">
        <v>107</v>
      </c>
      <c r="K64" s="199"/>
      <c r="L64" s="197"/>
    </row>
    <row r="65" spans="1:16" s="110" customFormat="1" ht="27" customHeight="1">
      <c r="A65" s="303">
        <v>10</v>
      </c>
      <c r="B65" s="265" t="s">
        <v>325</v>
      </c>
      <c r="C65" s="89" t="s">
        <v>326</v>
      </c>
      <c r="D65" s="265">
        <v>3099</v>
      </c>
      <c r="E65" s="265"/>
      <c r="F65" s="301"/>
      <c r="G65" s="265">
        <f>D65+E65-F65</f>
        <v>3099</v>
      </c>
      <c r="H65" s="266">
        <v>42920</v>
      </c>
      <c r="I65" s="91" t="s">
        <v>442</v>
      </c>
      <c r="J65" s="265" t="s">
        <v>107</v>
      </c>
      <c r="K65" s="267"/>
      <c r="L65" s="265"/>
    </row>
    <row r="66" spans="1:16" s="110" customFormat="1" ht="39" customHeight="1">
      <c r="A66" s="303">
        <v>11</v>
      </c>
      <c r="B66" s="304" t="s">
        <v>662</v>
      </c>
      <c r="C66" s="89" t="s">
        <v>663</v>
      </c>
      <c r="D66" s="304">
        <v>6883</v>
      </c>
      <c r="E66" s="304">
        <v>150</v>
      </c>
      <c r="F66" s="304"/>
      <c r="G66" s="304">
        <f>D66+E66-F66</f>
        <v>7033</v>
      </c>
      <c r="H66" s="305">
        <v>42997</v>
      </c>
      <c r="I66" s="91" t="s">
        <v>664</v>
      </c>
      <c r="J66" s="304" t="s">
        <v>107</v>
      </c>
      <c r="K66" s="318" t="s">
        <v>683</v>
      </c>
      <c r="L66" s="314" t="s">
        <v>674</v>
      </c>
    </row>
    <row r="67" spans="1:16" s="110" customFormat="1" ht="24" customHeight="1">
      <c r="A67" s="369" t="s">
        <v>129</v>
      </c>
      <c r="B67" s="369"/>
      <c r="C67" s="369"/>
      <c r="D67" s="93"/>
      <c r="E67" s="245"/>
      <c r="F67" s="302" t="s">
        <v>479</v>
      </c>
      <c r="G67" s="200">
        <f>SUM(G56:G66)</f>
        <v>51209.3</v>
      </c>
      <c r="H67" s="195"/>
      <c r="I67" s="93"/>
      <c r="J67" s="93"/>
      <c r="K67" s="104"/>
      <c r="L67" s="93"/>
      <c r="P67" s="54"/>
    </row>
    <row r="68" spans="1:16" s="54" customFormat="1" ht="36.75" customHeight="1">
      <c r="A68" s="405" t="s">
        <v>476</v>
      </c>
      <c r="B68" s="406"/>
      <c r="C68" s="406"/>
      <c r="D68" s="406"/>
      <c r="E68" s="406"/>
      <c r="F68" s="406"/>
      <c r="G68" s="406"/>
      <c r="H68" s="406"/>
      <c r="I68" s="406"/>
      <c r="J68" s="406"/>
      <c r="K68" s="406"/>
      <c r="L68" s="407"/>
    </row>
    <row r="69" spans="1:16" s="110" customFormat="1" ht="30" customHeight="1">
      <c r="A69" s="201">
        <v>1</v>
      </c>
      <c r="B69" s="197" t="s">
        <v>279</v>
      </c>
      <c r="C69" s="89" t="s">
        <v>280</v>
      </c>
      <c r="D69" s="197">
        <v>227</v>
      </c>
      <c r="E69" s="246"/>
      <c r="F69" s="301"/>
      <c r="G69" s="197">
        <f t="shared" ref="G69:G74" si="32">D69+E69-F69</f>
        <v>227</v>
      </c>
      <c r="H69" s="198">
        <v>42888</v>
      </c>
      <c r="I69" s="91" t="s">
        <v>281</v>
      </c>
      <c r="J69" s="197" t="s">
        <v>107</v>
      </c>
      <c r="K69" s="199"/>
      <c r="L69" s="197"/>
    </row>
    <row r="70" spans="1:16" s="110" customFormat="1" ht="27" customHeight="1">
      <c r="A70" s="201">
        <v>2</v>
      </c>
      <c r="B70" s="197" t="s">
        <v>362</v>
      </c>
      <c r="C70" s="89" t="s">
        <v>363</v>
      </c>
      <c r="D70" s="197">
        <v>106.8</v>
      </c>
      <c r="E70" s="246"/>
      <c r="F70" s="301"/>
      <c r="G70" s="197">
        <f t="shared" si="32"/>
        <v>106.8</v>
      </c>
      <c r="H70" s="198">
        <v>42903</v>
      </c>
      <c r="I70" s="91" t="s">
        <v>364</v>
      </c>
      <c r="J70" s="197" t="s">
        <v>107</v>
      </c>
      <c r="K70" s="199"/>
      <c r="L70" s="197"/>
    </row>
    <row r="71" spans="1:16" s="110" customFormat="1" ht="27" customHeight="1">
      <c r="A71" s="328">
        <v>3</v>
      </c>
      <c r="B71" s="197" t="s">
        <v>365</v>
      </c>
      <c r="C71" s="89"/>
      <c r="D71" s="197">
        <v>108.4</v>
      </c>
      <c r="E71" s="246"/>
      <c r="F71" s="301"/>
      <c r="G71" s="197">
        <f t="shared" si="32"/>
        <v>108.4</v>
      </c>
      <c r="H71" s="198">
        <v>42903</v>
      </c>
      <c r="I71" s="91" t="s">
        <v>366</v>
      </c>
      <c r="J71" s="197" t="s">
        <v>107</v>
      </c>
      <c r="K71" s="199"/>
      <c r="L71" s="197"/>
    </row>
    <row r="72" spans="1:16" s="110" customFormat="1" ht="27" customHeight="1">
      <c r="A72" s="328">
        <v>4</v>
      </c>
      <c r="B72" s="197" t="s">
        <v>443</v>
      </c>
      <c r="C72" s="89" t="s">
        <v>526</v>
      </c>
      <c r="D72" s="197">
        <f>199-7.51</f>
        <v>191.49</v>
      </c>
      <c r="E72" s="246"/>
      <c r="F72" s="301"/>
      <c r="G72" s="197">
        <f t="shared" si="32"/>
        <v>191.49</v>
      </c>
      <c r="H72" s="198">
        <v>42921</v>
      </c>
      <c r="I72" s="91" t="s">
        <v>445</v>
      </c>
      <c r="J72" s="197" t="s">
        <v>483</v>
      </c>
      <c r="K72" s="199"/>
      <c r="L72" s="197"/>
    </row>
    <row r="73" spans="1:16" s="110" customFormat="1" ht="27" customHeight="1">
      <c r="A73" s="328">
        <v>5</v>
      </c>
      <c r="B73" s="197" t="s">
        <v>443</v>
      </c>
      <c r="C73" s="89" t="s">
        <v>526</v>
      </c>
      <c r="D73" s="197">
        <f>69-13.1</f>
        <v>55.9</v>
      </c>
      <c r="E73" s="246"/>
      <c r="F73" s="301"/>
      <c r="G73" s="197">
        <f t="shared" si="32"/>
        <v>55.9</v>
      </c>
      <c r="H73" s="198">
        <v>42921</v>
      </c>
      <c r="I73" s="91" t="s">
        <v>444</v>
      </c>
      <c r="J73" s="197" t="s">
        <v>140</v>
      </c>
      <c r="K73" s="199"/>
      <c r="L73" s="197"/>
    </row>
    <row r="74" spans="1:16" s="110" customFormat="1" ht="40.5" customHeight="1">
      <c r="A74" s="328">
        <v>6</v>
      </c>
      <c r="B74" s="289" t="s">
        <v>637</v>
      </c>
      <c r="C74" s="89" t="s">
        <v>638</v>
      </c>
      <c r="D74" s="289">
        <f>339-96.27</f>
        <v>242.73000000000002</v>
      </c>
      <c r="E74" s="289"/>
      <c r="F74" s="301"/>
      <c r="G74" s="289">
        <f t="shared" si="32"/>
        <v>242.73000000000002</v>
      </c>
      <c r="H74" s="290">
        <v>42941</v>
      </c>
      <c r="I74" s="91" t="s">
        <v>639</v>
      </c>
      <c r="J74" s="289" t="s">
        <v>140</v>
      </c>
      <c r="K74" s="291"/>
      <c r="L74" s="289"/>
    </row>
    <row r="75" spans="1:16" s="110" customFormat="1" ht="40.5" customHeight="1">
      <c r="A75" s="328">
        <v>7</v>
      </c>
      <c r="B75" s="240" t="s">
        <v>527</v>
      </c>
      <c r="C75" s="89" t="s">
        <v>528</v>
      </c>
      <c r="D75" s="240">
        <v>158</v>
      </c>
      <c r="E75" s="246"/>
      <c r="F75" s="301"/>
      <c r="G75" s="240">
        <f t="shared" ref="G75" si="33">D75+E75-F75</f>
        <v>158</v>
      </c>
      <c r="H75" s="241">
        <v>42941</v>
      </c>
      <c r="I75" s="91" t="s">
        <v>531</v>
      </c>
      <c r="J75" s="240" t="s">
        <v>533</v>
      </c>
      <c r="K75" s="242"/>
      <c r="L75" s="240"/>
    </row>
    <row r="76" spans="1:16" s="110" customFormat="1" ht="27" customHeight="1">
      <c r="A76" s="328">
        <v>8</v>
      </c>
      <c r="B76" s="240" t="s">
        <v>529</v>
      </c>
      <c r="C76" s="89" t="s">
        <v>530</v>
      </c>
      <c r="D76" s="240">
        <f>(17.91-0.17)*3</f>
        <v>53.22</v>
      </c>
      <c r="E76" s="246"/>
      <c r="F76" s="301"/>
      <c r="G76" s="240">
        <f t="shared" ref="G76" si="34">D76+E76-F76</f>
        <v>53.22</v>
      </c>
      <c r="H76" s="241">
        <v>42942</v>
      </c>
      <c r="I76" s="91" t="s">
        <v>532</v>
      </c>
      <c r="J76" s="240" t="s">
        <v>534</v>
      </c>
      <c r="K76" s="242"/>
      <c r="L76" s="240"/>
      <c r="P76" s="110" t="s">
        <v>600</v>
      </c>
    </row>
    <row r="77" spans="1:16" s="110" customFormat="1" ht="27" customHeight="1">
      <c r="A77" s="328">
        <v>9</v>
      </c>
      <c r="B77" s="249" t="s">
        <v>545</v>
      </c>
      <c r="C77" s="89"/>
      <c r="D77" s="249">
        <v>12.65</v>
      </c>
      <c r="E77" s="249"/>
      <c r="F77" s="301"/>
      <c r="G77" s="249">
        <f t="shared" ref="G77" si="35">D77+E77-F77</f>
        <v>12.65</v>
      </c>
      <c r="H77" s="250">
        <v>42948</v>
      </c>
      <c r="I77" s="91" t="s">
        <v>546</v>
      </c>
      <c r="J77" s="249" t="s">
        <v>140</v>
      </c>
      <c r="K77" s="251"/>
      <c r="L77" s="249"/>
    </row>
    <row r="78" spans="1:16" s="110" customFormat="1" ht="27" customHeight="1">
      <c r="A78" s="328">
        <v>10</v>
      </c>
      <c r="B78" s="265" t="s">
        <v>586</v>
      </c>
      <c r="C78" s="89" t="s">
        <v>587</v>
      </c>
      <c r="D78" s="265">
        <v>245</v>
      </c>
      <c r="E78" s="265"/>
      <c r="F78" s="301"/>
      <c r="G78" s="265">
        <f t="shared" ref="G78" si="36">D78+E78-F78</f>
        <v>245</v>
      </c>
      <c r="H78" s="266">
        <v>42956</v>
      </c>
      <c r="I78" s="91" t="s">
        <v>588</v>
      </c>
      <c r="J78" s="265" t="s">
        <v>140</v>
      </c>
      <c r="K78" s="267"/>
      <c r="L78" s="265"/>
    </row>
    <row r="79" spans="1:16" s="110" customFormat="1" ht="43.5" customHeight="1">
      <c r="A79" s="328">
        <v>11</v>
      </c>
      <c r="B79" s="274" t="s">
        <v>607</v>
      </c>
      <c r="C79" s="89" t="s">
        <v>608</v>
      </c>
      <c r="D79" s="274">
        <v>68</v>
      </c>
      <c r="E79" s="274"/>
      <c r="F79" s="301"/>
      <c r="G79" s="274">
        <f t="shared" ref="G79" si="37">D79+E79-F79</f>
        <v>68</v>
      </c>
      <c r="H79" s="275">
        <v>42973</v>
      </c>
      <c r="I79" s="91" t="s">
        <v>612</v>
      </c>
      <c r="J79" s="274" t="s">
        <v>140</v>
      </c>
      <c r="K79" s="276"/>
      <c r="L79" s="274"/>
    </row>
    <row r="80" spans="1:16" s="110" customFormat="1" ht="43.5" customHeight="1">
      <c r="A80" s="328">
        <v>12</v>
      </c>
      <c r="B80" s="289" t="s">
        <v>640</v>
      </c>
      <c r="C80" s="89" t="s">
        <v>641</v>
      </c>
      <c r="D80" s="289">
        <f>223-12.26</f>
        <v>210.74</v>
      </c>
      <c r="E80" s="289"/>
      <c r="F80" s="301"/>
      <c r="G80" s="289">
        <f t="shared" ref="G80" si="38">D80+E80-F80</f>
        <v>210.74</v>
      </c>
      <c r="H80" s="290">
        <v>42992</v>
      </c>
      <c r="I80" s="91" t="s">
        <v>642</v>
      </c>
      <c r="J80" s="289" t="s">
        <v>140</v>
      </c>
      <c r="K80" s="291"/>
      <c r="L80" s="289"/>
    </row>
    <row r="81" spans="1:16" s="110" customFormat="1" ht="43.5" customHeight="1">
      <c r="A81" s="329">
        <v>13</v>
      </c>
      <c r="B81" s="289" t="s">
        <v>643</v>
      </c>
      <c r="C81" s="89" t="s">
        <v>644</v>
      </c>
      <c r="D81" s="289">
        <f>63.28+21.72-0.71-2.08</f>
        <v>82.210000000000008</v>
      </c>
      <c r="E81" s="289"/>
      <c r="F81" s="301"/>
      <c r="G81" s="289">
        <f t="shared" ref="G81" si="39">D81+E81-F81</f>
        <v>82.210000000000008</v>
      </c>
      <c r="H81" s="290">
        <v>42992</v>
      </c>
      <c r="I81" s="91" t="s">
        <v>645</v>
      </c>
      <c r="J81" s="289" t="s">
        <v>140</v>
      </c>
      <c r="K81" s="291"/>
      <c r="L81" s="289"/>
    </row>
    <row r="82" spans="1:16" s="110" customFormat="1" ht="43.5" customHeight="1">
      <c r="A82" s="329">
        <v>14</v>
      </c>
      <c r="B82" s="315" t="s">
        <v>676</v>
      </c>
      <c r="C82" s="89"/>
      <c r="D82" s="315">
        <f>59.1+66.9-18.06-15.95</f>
        <v>91.99</v>
      </c>
      <c r="E82" s="315"/>
      <c r="F82" s="315"/>
      <c r="G82" s="315">
        <f t="shared" ref="G82" si="40">D82+E82-F82</f>
        <v>91.99</v>
      </c>
      <c r="H82" s="316">
        <v>43019</v>
      </c>
      <c r="I82" s="91"/>
      <c r="J82" s="315" t="s">
        <v>140</v>
      </c>
      <c r="K82" s="317"/>
      <c r="L82" s="315"/>
    </row>
    <row r="83" spans="1:16" s="110" customFormat="1" ht="43.5" customHeight="1">
      <c r="A83" s="329">
        <v>15</v>
      </c>
      <c r="B83" s="319" t="s">
        <v>684</v>
      </c>
      <c r="C83" s="89" t="s">
        <v>685</v>
      </c>
      <c r="D83" s="319">
        <f>349.6-31.46-62.93-31.46-31.46-62.93</f>
        <v>129.36000000000001</v>
      </c>
      <c r="E83" s="319"/>
      <c r="F83" s="319"/>
      <c r="G83" s="319">
        <f t="shared" ref="G83:G85" si="41">D83+E83-F83</f>
        <v>129.36000000000001</v>
      </c>
      <c r="H83" s="320">
        <v>43021</v>
      </c>
      <c r="I83" s="91" t="s">
        <v>686</v>
      </c>
      <c r="J83" s="319" t="s">
        <v>140</v>
      </c>
      <c r="K83" s="321"/>
      <c r="L83" s="319"/>
    </row>
    <row r="84" spans="1:16" s="110" customFormat="1" ht="43.5" customHeight="1">
      <c r="A84" s="329">
        <v>16</v>
      </c>
      <c r="B84" s="319" t="s">
        <v>688</v>
      </c>
      <c r="C84" s="89"/>
      <c r="D84" s="319">
        <f>42.69-17.28</f>
        <v>25.409999999999997</v>
      </c>
      <c r="E84" s="319"/>
      <c r="F84" s="319"/>
      <c r="G84" s="319">
        <f t="shared" si="41"/>
        <v>25.409999999999997</v>
      </c>
      <c r="H84" s="320">
        <v>43021</v>
      </c>
      <c r="I84" s="91" t="s">
        <v>687</v>
      </c>
      <c r="J84" s="319" t="s">
        <v>140</v>
      </c>
      <c r="K84" s="321"/>
      <c r="L84" s="319"/>
    </row>
    <row r="85" spans="1:16" s="110" customFormat="1" ht="43.5" customHeight="1">
      <c r="A85" s="335">
        <v>17</v>
      </c>
      <c r="B85" s="325" t="s">
        <v>691</v>
      </c>
      <c r="C85" s="89"/>
      <c r="D85" s="325">
        <f>299.5-34.58</f>
        <v>264.92</v>
      </c>
      <c r="E85" s="325"/>
      <c r="F85" s="325"/>
      <c r="G85" s="325">
        <f t="shared" si="41"/>
        <v>264.92</v>
      </c>
      <c r="H85" s="326">
        <v>43025</v>
      </c>
      <c r="I85" s="91" t="s">
        <v>695</v>
      </c>
      <c r="J85" s="325" t="s">
        <v>140</v>
      </c>
      <c r="K85" s="327"/>
      <c r="L85" s="325"/>
    </row>
    <row r="86" spans="1:16" s="110" customFormat="1" ht="43.5" customHeight="1">
      <c r="A86" s="335">
        <v>18</v>
      </c>
      <c r="B86" s="325" t="s">
        <v>689</v>
      </c>
      <c r="C86" s="89"/>
      <c r="D86" s="325">
        <v>248</v>
      </c>
      <c r="E86" s="325"/>
      <c r="F86" s="325"/>
      <c r="G86" s="325">
        <f t="shared" ref="G86:G87" si="42">D86+E86-F86</f>
        <v>248</v>
      </c>
      <c r="H86" s="326">
        <v>43027</v>
      </c>
      <c r="I86" s="91" t="s">
        <v>690</v>
      </c>
      <c r="J86" s="325" t="s">
        <v>140</v>
      </c>
      <c r="K86" s="327"/>
      <c r="L86" s="325"/>
    </row>
    <row r="87" spans="1:16" s="110" customFormat="1" ht="43.5" customHeight="1">
      <c r="A87" s="335">
        <v>19</v>
      </c>
      <c r="B87" s="336" t="s">
        <v>701</v>
      </c>
      <c r="C87" s="89"/>
      <c r="D87" s="336">
        <f>(44.58+59.78-3.67-4.93)</f>
        <v>95.759999999999991</v>
      </c>
      <c r="E87" s="336"/>
      <c r="F87" s="336"/>
      <c r="G87" s="336">
        <f t="shared" si="42"/>
        <v>95.759999999999991</v>
      </c>
      <c r="H87" s="337">
        <v>43050</v>
      </c>
      <c r="I87" s="91" t="s">
        <v>702</v>
      </c>
      <c r="J87" s="336"/>
      <c r="K87" s="338"/>
      <c r="L87" s="336"/>
    </row>
    <row r="88" spans="1:16" s="110" customFormat="1" ht="43.5" customHeight="1">
      <c r="A88" s="335">
        <v>20</v>
      </c>
      <c r="B88" s="336" t="s">
        <v>703</v>
      </c>
      <c r="C88" s="89"/>
      <c r="D88" s="336">
        <f>22.34*2-0.36</f>
        <v>44.32</v>
      </c>
      <c r="E88" s="336"/>
      <c r="F88" s="336"/>
      <c r="G88" s="336">
        <f t="shared" ref="G88:G89" si="43">D88+E88-F88</f>
        <v>44.32</v>
      </c>
      <c r="H88" s="337">
        <v>43050</v>
      </c>
      <c r="I88" s="91" t="s">
        <v>704</v>
      </c>
      <c r="J88" s="336"/>
      <c r="K88" s="338"/>
      <c r="L88" s="336"/>
    </row>
    <row r="89" spans="1:16" s="110" customFormat="1" ht="43.5" customHeight="1">
      <c r="A89" s="335">
        <v>21</v>
      </c>
      <c r="B89" s="336" t="s">
        <v>700</v>
      </c>
      <c r="C89" s="89"/>
      <c r="D89" s="336">
        <f>(467-1-0.63-1-0.5)</f>
        <v>463.87</v>
      </c>
      <c r="E89" s="336"/>
      <c r="F89" s="336"/>
      <c r="G89" s="336">
        <f t="shared" si="43"/>
        <v>463.87</v>
      </c>
      <c r="H89" s="337">
        <v>43050</v>
      </c>
      <c r="I89" s="91" t="s">
        <v>705</v>
      </c>
      <c r="J89" s="336"/>
      <c r="K89" s="338"/>
      <c r="L89" s="336"/>
    </row>
    <row r="90" spans="1:16" s="110" customFormat="1" ht="43.5" customHeight="1">
      <c r="A90" s="335">
        <v>22</v>
      </c>
      <c r="B90" s="336" t="s">
        <v>706</v>
      </c>
      <c r="C90" s="89"/>
      <c r="D90" s="336">
        <v>156.51</v>
      </c>
      <c r="E90" s="336"/>
      <c r="F90" s="336"/>
      <c r="G90" s="336">
        <f t="shared" ref="G90" si="44">D90+E90-F90</f>
        <v>156.51</v>
      </c>
      <c r="H90" s="337">
        <v>43050</v>
      </c>
      <c r="I90" s="91" t="s">
        <v>707</v>
      </c>
      <c r="J90" s="336"/>
      <c r="K90" s="338"/>
      <c r="L90" s="336"/>
    </row>
    <row r="91" spans="1:16" s="110" customFormat="1" ht="43.5" customHeight="1">
      <c r="A91" s="335">
        <v>23</v>
      </c>
      <c r="B91" s="336" t="s">
        <v>700</v>
      </c>
      <c r="C91" s="89"/>
      <c r="D91" s="336">
        <v>117.71</v>
      </c>
      <c r="E91" s="336"/>
      <c r="F91" s="336"/>
      <c r="G91" s="336">
        <f t="shared" ref="G91" si="45">D91+E91-F91</f>
        <v>117.71</v>
      </c>
      <c r="H91" s="337">
        <v>43050</v>
      </c>
      <c r="I91" s="91" t="s">
        <v>708</v>
      </c>
      <c r="J91" s="336"/>
      <c r="K91" s="338"/>
      <c r="L91" s="336"/>
    </row>
    <row r="92" spans="1:16" s="110" customFormat="1" ht="43.5" customHeight="1">
      <c r="A92" s="335">
        <v>24</v>
      </c>
      <c r="B92" s="336" t="s">
        <v>710</v>
      </c>
      <c r="C92" s="89"/>
      <c r="D92" s="336">
        <v>64.62</v>
      </c>
      <c r="E92" s="336"/>
      <c r="F92" s="336"/>
      <c r="G92" s="336">
        <f t="shared" ref="G92" si="46">D92+E92-F92</f>
        <v>64.62</v>
      </c>
      <c r="H92" s="337">
        <v>43050</v>
      </c>
      <c r="I92" s="91" t="s">
        <v>709</v>
      </c>
      <c r="J92" s="336"/>
      <c r="K92" s="338"/>
      <c r="L92" s="336"/>
    </row>
    <row r="93" spans="1:16" s="110" customFormat="1" ht="43.5" customHeight="1">
      <c r="A93" s="335">
        <v>25</v>
      </c>
      <c r="B93" s="336" t="s">
        <v>712</v>
      </c>
      <c r="C93" s="89"/>
      <c r="D93" s="336">
        <v>617.91999999999996</v>
      </c>
      <c r="E93" s="336"/>
      <c r="F93" s="336"/>
      <c r="G93" s="336">
        <f t="shared" ref="G93" si="47">D93+E93-F93</f>
        <v>617.91999999999996</v>
      </c>
      <c r="H93" s="337">
        <v>43050</v>
      </c>
      <c r="I93" s="91" t="s">
        <v>711</v>
      </c>
      <c r="J93" s="336"/>
      <c r="K93" s="338"/>
      <c r="L93" s="336"/>
    </row>
    <row r="94" spans="1:16" s="110" customFormat="1" ht="43.5" customHeight="1">
      <c r="A94" s="335">
        <v>26</v>
      </c>
      <c r="B94" s="336" t="s">
        <v>713</v>
      </c>
      <c r="C94" s="89"/>
      <c r="D94" s="336">
        <f>30*3</f>
        <v>90</v>
      </c>
      <c r="E94" s="336"/>
      <c r="F94" s="336"/>
      <c r="G94" s="336">
        <f t="shared" ref="G94" si="48">D94+E94-F94</f>
        <v>90</v>
      </c>
      <c r="H94" s="337">
        <v>43050</v>
      </c>
      <c r="I94" s="91" t="s">
        <v>714</v>
      </c>
      <c r="J94" s="336"/>
      <c r="K94" s="338"/>
      <c r="L94" s="336"/>
    </row>
    <row r="95" spans="1:16" s="110" customFormat="1" ht="24" customHeight="1">
      <c r="A95" s="369" t="s">
        <v>129</v>
      </c>
      <c r="B95" s="369"/>
      <c r="C95" s="369"/>
      <c r="D95" s="93"/>
      <c r="E95" s="245"/>
      <c r="F95" s="302" t="s">
        <v>478</v>
      </c>
      <c r="G95" s="200">
        <f>SUM(G69:G94)</f>
        <v>4172.53</v>
      </c>
      <c r="H95" s="195"/>
      <c r="I95" s="93"/>
      <c r="J95" s="93"/>
      <c r="K95" s="104"/>
      <c r="L95" s="93"/>
      <c r="M95" s="110">
        <f>G54+G67+G95+D134</f>
        <v>201194.12000000002</v>
      </c>
      <c r="P95" s="54"/>
    </row>
    <row r="96" spans="1:16" ht="34.5" customHeight="1">
      <c r="A96" s="395" t="s">
        <v>307</v>
      </c>
      <c r="B96" s="395"/>
      <c r="C96" s="395"/>
      <c r="D96" s="395"/>
      <c r="E96" s="395"/>
      <c r="F96" s="395"/>
      <c r="G96" s="395"/>
      <c r="H96" s="395"/>
      <c r="I96" s="395"/>
      <c r="J96" s="395"/>
      <c r="K96" s="395"/>
      <c r="L96" s="395"/>
    </row>
    <row r="97" spans="1:12" s="54" customFormat="1" ht="36.75" customHeight="1">
      <c r="A97" s="134" t="s">
        <v>118</v>
      </c>
      <c r="B97" s="396" t="s">
        <v>119</v>
      </c>
      <c r="C97" s="397"/>
      <c r="D97" s="396" t="s">
        <v>120</v>
      </c>
      <c r="E97" s="411"/>
      <c r="F97" s="411"/>
      <c r="G97" s="397"/>
      <c r="H97" s="81" t="s">
        <v>332</v>
      </c>
      <c r="I97" s="396" t="s">
        <v>330</v>
      </c>
      <c r="J97" s="397"/>
      <c r="K97" s="154" t="s">
        <v>89</v>
      </c>
      <c r="L97" s="154" t="s">
        <v>337</v>
      </c>
    </row>
    <row r="98" spans="1:12" s="110" customFormat="1" ht="24.95" customHeight="1">
      <c r="A98" s="210">
        <v>1</v>
      </c>
      <c r="B98" s="367" t="s">
        <v>499</v>
      </c>
      <c r="C98" s="368"/>
      <c r="D98" s="373">
        <v>799</v>
      </c>
      <c r="E98" s="374"/>
      <c r="F98" s="374"/>
      <c r="G98" s="375"/>
      <c r="H98" s="188">
        <v>42887</v>
      </c>
      <c r="I98" s="376" t="s">
        <v>500</v>
      </c>
      <c r="J98" s="377"/>
      <c r="K98" s="174"/>
      <c r="L98" s="258" t="s">
        <v>498</v>
      </c>
    </row>
    <row r="99" spans="1:12" ht="90.75" customHeight="1">
      <c r="A99" s="88">
        <v>2</v>
      </c>
      <c r="B99" s="378" t="s">
        <v>306</v>
      </c>
      <c r="C99" s="379"/>
      <c r="D99" s="357">
        <v>1400</v>
      </c>
      <c r="E99" s="358"/>
      <c r="F99" s="358"/>
      <c r="G99" s="359"/>
      <c r="H99" s="190" t="s">
        <v>374</v>
      </c>
      <c r="I99" s="371" t="s">
        <v>308</v>
      </c>
      <c r="J99" s="372"/>
      <c r="K99" s="191"/>
      <c r="L99" s="192" t="s">
        <v>338</v>
      </c>
    </row>
    <row r="100" spans="1:12" ht="30" customHeight="1">
      <c r="A100" s="210">
        <v>3</v>
      </c>
      <c r="B100" s="378" t="s">
        <v>309</v>
      </c>
      <c r="C100" s="379"/>
      <c r="D100" s="357">
        <f>2785-170-41</f>
        <v>2574</v>
      </c>
      <c r="E100" s="358"/>
      <c r="F100" s="358"/>
      <c r="G100" s="359"/>
      <c r="H100" s="193">
        <v>42894</v>
      </c>
      <c r="I100" s="371" t="s">
        <v>419</v>
      </c>
      <c r="J100" s="372"/>
      <c r="K100" s="191" t="s">
        <v>331</v>
      </c>
      <c r="L100" s="192" t="s">
        <v>338</v>
      </c>
    </row>
    <row r="101" spans="1:12" ht="24.95" customHeight="1">
      <c r="A101" s="210">
        <v>4</v>
      </c>
      <c r="B101" s="378" t="s">
        <v>319</v>
      </c>
      <c r="C101" s="379"/>
      <c r="D101" s="357">
        <v>65</v>
      </c>
      <c r="E101" s="358"/>
      <c r="F101" s="358"/>
      <c r="G101" s="359"/>
      <c r="H101" s="193">
        <v>42897</v>
      </c>
      <c r="I101" s="371" t="s">
        <v>320</v>
      </c>
      <c r="J101" s="372"/>
      <c r="K101" s="191"/>
      <c r="L101" s="192" t="s">
        <v>338</v>
      </c>
    </row>
    <row r="102" spans="1:12" ht="24.95" customHeight="1">
      <c r="A102" s="210">
        <v>5</v>
      </c>
      <c r="B102" s="378" t="s">
        <v>321</v>
      </c>
      <c r="C102" s="379"/>
      <c r="D102" s="357">
        <v>5</v>
      </c>
      <c r="E102" s="358"/>
      <c r="F102" s="358"/>
      <c r="G102" s="359"/>
      <c r="H102" s="193">
        <v>42897</v>
      </c>
      <c r="I102" s="378"/>
      <c r="J102" s="379"/>
      <c r="K102" s="191"/>
      <c r="L102" s="192" t="s">
        <v>338</v>
      </c>
    </row>
    <row r="103" spans="1:12" ht="24.95" customHeight="1">
      <c r="A103" s="210">
        <v>6</v>
      </c>
      <c r="B103" s="378" t="s">
        <v>322</v>
      </c>
      <c r="C103" s="379"/>
      <c r="D103" s="357">
        <v>174</v>
      </c>
      <c r="E103" s="358"/>
      <c r="F103" s="358"/>
      <c r="G103" s="359"/>
      <c r="H103" s="193">
        <v>42898</v>
      </c>
      <c r="I103" s="378"/>
      <c r="J103" s="379"/>
      <c r="K103" s="191"/>
      <c r="L103" s="192" t="s">
        <v>338</v>
      </c>
    </row>
    <row r="104" spans="1:12" ht="24.95" customHeight="1">
      <c r="A104" s="210">
        <v>7</v>
      </c>
      <c r="B104" s="378" t="s">
        <v>323</v>
      </c>
      <c r="C104" s="379"/>
      <c r="D104" s="357">
        <v>10</v>
      </c>
      <c r="E104" s="358"/>
      <c r="F104" s="358"/>
      <c r="G104" s="359"/>
      <c r="H104" s="193">
        <v>42898</v>
      </c>
      <c r="I104" s="378"/>
      <c r="J104" s="379"/>
      <c r="K104" s="191"/>
      <c r="L104" s="192" t="s">
        <v>338</v>
      </c>
    </row>
    <row r="105" spans="1:12" s="110" customFormat="1" ht="24.95" customHeight="1">
      <c r="A105" s="210">
        <v>8</v>
      </c>
      <c r="B105" s="360" t="s">
        <v>335</v>
      </c>
      <c r="C105" s="361"/>
      <c r="D105" s="362">
        <v>134</v>
      </c>
      <c r="E105" s="363"/>
      <c r="F105" s="363"/>
      <c r="G105" s="364"/>
      <c r="H105" s="85">
        <v>42899</v>
      </c>
      <c r="I105" s="365" t="s">
        <v>336</v>
      </c>
      <c r="J105" s="366"/>
      <c r="K105" s="86" t="s">
        <v>331</v>
      </c>
      <c r="L105" s="84" t="s">
        <v>339</v>
      </c>
    </row>
    <row r="106" spans="1:12" s="110" customFormat="1" ht="24.95" customHeight="1">
      <c r="A106" s="238">
        <v>9</v>
      </c>
      <c r="B106" s="378" t="s">
        <v>322</v>
      </c>
      <c r="C106" s="379"/>
      <c r="D106" s="357">
        <v>36</v>
      </c>
      <c r="E106" s="358"/>
      <c r="F106" s="358"/>
      <c r="G106" s="359"/>
      <c r="H106" s="193">
        <v>42901</v>
      </c>
      <c r="I106" s="371" t="s">
        <v>344</v>
      </c>
      <c r="J106" s="372"/>
      <c r="K106" s="191"/>
      <c r="L106" s="192" t="s">
        <v>338</v>
      </c>
    </row>
    <row r="107" spans="1:12" s="110" customFormat="1" ht="24.95" customHeight="1">
      <c r="A107" s="238">
        <v>10</v>
      </c>
      <c r="B107" s="378" t="s">
        <v>335</v>
      </c>
      <c r="C107" s="379"/>
      <c r="D107" s="357">
        <v>67</v>
      </c>
      <c r="E107" s="358"/>
      <c r="F107" s="358"/>
      <c r="G107" s="359"/>
      <c r="H107" s="193">
        <v>42901</v>
      </c>
      <c r="I107" s="371" t="s">
        <v>345</v>
      </c>
      <c r="J107" s="372"/>
      <c r="K107" s="191" t="s">
        <v>331</v>
      </c>
      <c r="L107" s="192" t="s">
        <v>338</v>
      </c>
    </row>
    <row r="108" spans="1:12" s="110" customFormat="1" ht="30" customHeight="1">
      <c r="A108" s="238">
        <v>11</v>
      </c>
      <c r="B108" s="360" t="s">
        <v>346</v>
      </c>
      <c r="C108" s="361"/>
      <c r="D108" s="362">
        <v>4000</v>
      </c>
      <c r="E108" s="363"/>
      <c r="F108" s="363"/>
      <c r="G108" s="364"/>
      <c r="H108" s="85">
        <v>42901</v>
      </c>
      <c r="I108" s="365" t="s">
        <v>671</v>
      </c>
      <c r="J108" s="366"/>
      <c r="K108" s="86"/>
      <c r="L108" s="84" t="s">
        <v>347</v>
      </c>
    </row>
    <row r="109" spans="1:12" s="110" customFormat="1" ht="24.95" customHeight="1">
      <c r="A109" s="238">
        <v>12</v>
      </c>
      <c r="B109" s="360" t="s">
        <v>351</v>
      </c>
      <c r="C109" s="361"/>
      <c r="D109" s="362">
        <v>1070</v>
      </c>
      <c r="E109" s="363"/>
      <c r="F109" s="363"/>
      <c r="G109" s="364"/>
      <c r="H109" s="85">
        <v>42903</v>
      </c>
      <c r="I109" s="365" t="s">
        <v>352</v>
      </c>
      <c r="J109" s="366"/>
      <c r="K109" s="86"/>
      <c r="L109" s="84" t="s">
        <v>353</v>
      </c>
    </row>
    <row r="110" spans="1:12" s="110" customFormat="1" ht="30" customHeight="1">
      <c r="A110" s="238">
        <v>13</v>
      </c>
      <c r="B110" s="360" t="s">
        <v>355</v>
      </c>
      <c r="C110" s="361"/>
      <c r="D110" s="362">
        <v>610</v>
      </c>
      <c r="E110" s="363"/>
      <c r="F110" s="363"/>
      <c r="G110" s="364"/>
      <c r="H110" s="85">
        <v>42904</v>
      </c>
      <c r="I110" s="365" t="s">
        <v>361</v>
      </c>
      <c r="J110" s="366"/>
      <c r="K110" s="86"/>
      <c r="L110" s="84" t="s">
        <v>347</v>
      </c>
    </row>
    <row r="111" spans="1:12" s="110" customFormat="1" ht="24.95" customHeight="1">
      <c r="A111" s="238">
        <v>14</v>
      </c>
      <c r="B111" s="378" t="s">
        <v>355</v>
      </c>
      <c r="C111" s="379"/>
      <c r="D111" s="357">
        <v>20</v>
      </c>
      <c r="E111" s="358"/>
      <c r="F111" s="358"/>
      <c r="G111" s="359"/>
      <c r="H111" s="193">
        <v>42904</v>
      </c>
      <c r="I111" s="371" t="s">
        <v>360</v>
      </c>
      <c r="J111" s="372"/>
      <c r="K111" s="191"/>
      <c r="L111" s="192" t="s">
        <v>338</v>
      </c>
    </row>
    <row r="112" spans="1:12" s="110" customFormat="1" ht="24.95" customHeight="1">
      <c r="A112" s="238">
        <v>15</v>
      </c>
      <c r="B112" s="360" t="s">
        <v>356</v>
      </c>
      <c r="C112" s="361"/>
      <c r="D112" s="362">
        <v>100</v>
      </c>
      <c r="E112" s="363"/>
      <c r="F112" s="363"/>
      <c r="G112" s="364"/>
      <c r="H112" s="85">
        <v>42904</v>
      </c>
      <c r="I112" s="365" t="s">
        <v>357</v>
      </c>
      <c r="J112" s="366"/>
      <c r="K112" s="86"/>
      <c r="L112" s="84" t="s">
        <v>347</v>
      </c>
    </row>
    <row r="113" spans="1:12" s="110" customFormat="1" ht="24.95" customHeight="1">
      <c r="A113" s="238">
        <v>16</v>
      </c>
      <c r="B113" s="360" t="s">
        <v>358</v>
      </c>
      <c r="C113" s="361"/>
      <c r="D113" s="362">
        <v>952</v>
      </c>
      <c r="E113" s="363"/>
      <c r="F113" s="363"/>
      <c r="G113" s="364"/>
      <c r="H113" s="85">
        <v>42904</v>
      </c>
      <c r="I113" s="365" t="s">
        <v>359</v>
      </c>
      <c r="J113" s="366"/>
      <c r="K113" s="86"/>
      <c r="L113" s="84" t="s">
        <v>339</v>
      </c>
    </row>
    <row r="114" spans="1:12" s="110" customFormat="1" ht="24.95" customHeight="1">
      <c r="A114" s="238">
        <v>17</v>
      </c>
      <c r="B114" s="360" t="s">
        <v>369</v>
      </c>
      <c r="C114" s="361"/>
      <c r="D114" s="362">
        <v>10</v>
      </c>
      <c r="E114" s="363"/>
      <c r="F114" s="363"/>
      <c r="G114" s="364"/>
      <c r="H114" s="85">
        <v>42905</v>
      </c>
      <c r="I114" s="365" t="s">
        <v>370</v>
      </c>
      <c r="J114" s="366"/>
      <c r="K114" s="86"/>
      <c r="L114" s="84" t="s">
        <v>339</v>
      </c>
    </row>
    <row r="115" spans="1:12" s="110" customFormat="1" ht="24.95" customHeight="1">
      <c r="A115" s="238">
        <v>18</v>
      </c>
      <c r="B115" s="360" t="s">
        <v>367</v>
      </c>
      <c r="C115" s="361"/>
      <c r="D115" s="362">
        <v>1800</v>
      </c>
      <c r="E115" s="363"/>
      <c r="F115" s="363"/>
      <c r="G115" s="364"/>
      <c r="H115" s="85">
        <v>42914</v>
      </c>
      <c r="I115" s="365" t="s">
        <v>368</v>
      </c>
      <c r="J115" s="366"/>
      <c r="K115" s="86"/>
      <c r="L115" s="84" t="s">
        <v>347</v>
      </c>
    </row>
    <row r="116" spans="1:12" s="110" customFormat="1" ht="24.95" customHeight="1">
      <c r="A116" s="238">
        <v>19</v>
      </c>
      <c r="B116" s="378" t="s">
        <v>423</v>
      </c>
      <c r="C116" s="379"/>
      <c r="D116" s="357">
        <v>20</v>
      </c>
      <c r="E116" s="358"/>
      <c r="F116" s="358"/>
      <c r="G116" s="359"/>
      <c r="H116" s="193">
        <v>42918</v>
      </c>
      <c r="I116" s="371" t="s">
        <v>424</v>
      </c>
      <c r="J116" s="372"/>
      <c r="K116" s="191"/>
      <c r="L116" s="192" t="s">
        <v>426</v>
      </c>
    </row>
    <row r="117" spans="1:12" s="110" customFormat="1" ht="24.95" customHeight="1">
      <c r="A117" s="238">
        <v>20</v>
      </c>
      <c r="B117" s="360" t="s">
        <v>358</v>
      </c>
      <c r="C117" s="361"/>
      <c r="D117" s="362">
        <v>605</v>
      </c>
      <c r="E117" s="363"/>
      <c r="F117" s="363"/>
      <c r="G117" s="364"/>
      <c r="H117" s="85">
        <v>42918</v>
      </c>
      <c r="I117" s="365" t="s">
        <v>425</v>
      </c>
      <c r="J117" s="366"/>
      <c r="K117" s="86"/>
      <c r="L117" s="84" t="s">
        <v>339</v>
      </c>
    </row>
    <row r="118" spans="1:12" s="110" customFormat="1" ht="24.95" customHeight="1">
      <c r="A118" s="238">
        <v>21</v>
      </c>
      <c r="B118" s="378" t="s">
        <v>355</v>
      </c>
      <c r="C118" s="379"/>
      <c r="D118" s="357">
        <v>4</v>
      </c>
      <c r="E118" s="358"/>
      <c r="F118" s="358"/>
      <c r="G118" s="359"/>
      <c r="H118" s="193">
        <v>42918</v>
      </c>
      <c r="I118" s="371" t="s">
        <v>441</v>
      </c>
      <c r="J118" s="372"/>
      <c r="K118" s="191"/>
      <c r="L118" s="192" t="s">
        <v>338</v>
      </c>
    </row>
    <row r="119" spans="1:12" s="110" customFormat="1" ht="24.95" customHeight="1">
      <c r="A119" s="238">
        <v>22</v>
      </c>
      <c r="B119" s="378" t="s">
        <v>355</v>
      </c>
      <c r="C119" s="379"/>
      <c r="D119" s="357">
        <v>45</v>
      </c>
      <c r="E119" s="358"/>
      <c r="F119" s="358"/>
      <c r="G119" s="359"/>
      <c r="H119" s="193">
        <v>42928</v>
      </c>
      <c r="I119" s="371" t="s">
        <v>448</v>
      </c>
      <c r="J119" s="372"/>
      <c r="K119" s="191"/>
      <c r="L119" s="192" t="s">
        <v>338</v>
      </c>
    </row>
    <row r="120" spans="1:12" s="110" customFormat="1" ht="24.95" customHeight="1">
      <c r="A120" s="238">
        <v>23</v>
      </c>
      <c r="B120" s="378" t="s">
        <v>355</v>
      </c>
      <c r="C120" s="379"/>
      <c r="D120" s="357">
        <v>35</v>
      </c>
      <c r="E120" s="358"/>
      <c r="F120" s="358"/>
      <c r="G120" s="359"/>
      <c r="H120" s="193">
        <v>42928</v>
      </c>
      <c r="I120" s="371" t="s">
        <v>449</v>
      </c>
      <c r="J120" s="372"/>
      <c r="K120" s="191"/>
      <c r="L120" s="192" t="s">
        <v>338</v>
      </c>
    </row>
    <row r="121" spans="1:12" s="110" customFormat="1" ht="24.95" customHeight="1">
      <c r="A121" s="238">
        <v>24</v>
      </c>
      <c r="B121" s="412" t="s">
        <v>462</v>
      </c>
      <c r="C121" s="412"/>
      <c r="D121" s="393">
        <v>60</v>
      </c>
      <c r="E121" s="393"/>
      <c r="F121" s="393"/>
      <c r="G121" s="393"/>
      <c r="H121" s="193">
        <v>42928</v>
      </c>
      <c r="I121" s="394" t="s">
        <v>463</v>
      </c>
      <c r="J121" s="394"/>
      <c r="K121" s="191"/>
      <c r="L121" s="192" t="s">
        <v>338</v>
      </c>
    </row>
    <row r="122" spans="1:12" s="110" customFormat="1" ht="30" customHeight="1">
      <c r="A122" s="238">
        <v>25</v>
      </c>
      <c r="B122" s="410" t="s">
        <v>450</v>
      </c>
      <c r="C122" s="410"/>
      <c r="D122" s="398">
        <v>60</v>
      </c>
      <c r="E122" s="398"/>
      <c r="F122" s="398"/>
      <c r="G122" s="398"/>
      <c r="H122" s="188">
        <v>42928</v>
      </c>
      <c r="I122" s="356" t="s">
        <v>451</v>
      </c>
      <c r="J122" s="356"/>
      <c r="K122" s="174"/>
      <c r="L122" s="87" t="s">
        <v>339</v>
      </c>
    </row>
    <row r="123" spans="1:12" s="110" customFormat="1" ht="24.95" customHeight="1">
      <c r="A123" s="238">
        <v>26</v>
      </c>
      <c r="B123" s="378" t="s">
        <v>358</v>
      </c>
      <c r="C123" s="379"/>
      <c r="D123" s="357">
        <f>830-78</f>
        <v>752</v>
      </c>
      <c r="E123" s="358"/>
      <c r="F123" s="358"/>
      <c r="G123" s="359"/>
      <c r="H123" s="193">
        <v>42931</v>
      </c>
      <c r="I123" s="371" t="s">
        <v>509</v>
      </c>
      <c r="J123" s="372"/>
      <c r="K123" s="191" t="s">
        <v>510</v>
      </c>
      <c r="L123" s="194" t="s">
        <v>338</v>
      </c>
    </row>
    <row r="124" spans="1:12" s="60" customFormat="1" ht="195" customHeight="1">
      <c r="A124" s="254">
        <v>27</v>
      </c>
      <c r="B124" s="367" t="s">
        <v>501</v>
      </c>
      <c r="C124" s="368"/>
      <c r="D124" s="373">
        <v>6060</v>
      </c>
      <c r="E124" s="374"/>
      <c r="F124" s="374"/>
      <c r="G124" s="375"/>
      <c r="H124" s="188">
        <v>42933</v>
      </c>
      <c r="I124" s="376" t="s">
        <v>518</v>
      </c>
      <c r="J124" s="377"/>
      <c r="K124" s="174"/>
      <c r="L124" s="258" t="s">
        <v>502</v>
      </c>
    </row>
    <row r="125" spans="1:12" s="110" customFormat="1" ht="24.95" customHeight="1">
      <c r="A125" s="238">
        <v>28</v>
      </c>
      <c r="B125" s="378" t="s">
        <v>523</v>
      </c>
      <c r="C125" s="379"/>
      <c r="D125" s="357">
        <v>12</v>
      </c>
      <c r="E125" s="358"/>
      <c r="F125" s="358"/>
      <c r="G125" s="359"/>
      <c r="H125" s="193">
        <v>42937</v>
      </c>
      <c r="I125" s="371" t="s">
        <v>524</v>
      </c>
      <c r="J125" s="372"/>
      <c r="K125" s="191"/>
      <c r="L125" s="229" t="s">
        <v>338</v>
      </c>
    </row>
    <row r="126" spans="1:12" s="110" customFormat="1" ht="113.25" customHeight="1">
      <c r="A126" s="238">
        <v>29</v>
      </c>
      <c r="B126" s="378" t="s">
        <v>535</v>
      </c>
      <c r="C126" s="379"/>
      <c r="D126" s="357">
        <f>286-10</f>
        <v>276</v>
      </c>
      <c r="E126" s="358"/>
      <c r="F126" s="358"/>
      <c r="G126" s="359"/>
      <c r="H126" s="193">
        <v>42948</v>
      </c>
      <c r="I126" s="371" t="s">
        <v>604</v>
      </c>
      <c r="J126" s="372"/>
      <c r="K126" s="191"/>
      <c r="L126" s="236" t="s">
        <v>338</v>
      </c>
    </row>
    <row r="127" spans="1:12" s="110" customFormat="1" ht="56.25" customHeight="1">
      <c r="A127" s="238">
        <v>30</v>
      </c>
      <c r="B127" s="367" t="s">
        <v>535</v>
      </c>
      <c r="C127" s="368"/>
      <c r="D127" s="373">
        <f>640+150-40</f>
        <v>750</v>
      </c>
      <c r="E127" s="374"/>
      <c r="F127" s="374"/>
      <c r="G127" s="375"/>
      <c r="H127" s="188">
        <v>42948</v>
      </c>
      <c r="I127" s="376" t="s">
        <v>601</v>
      </c>
      <c r="J127" s="377"/>
      <c r="K127" s="174"/>
      <c r="L127" s="237" t="s">
        <v>536</v>
      </c>
    </row>
    <row r="128" spans="1:12" s="110" customFormat="1" ht="30" customHeight="1">
      <c r="A128" s="238">
        <v>31</v>
      </c>
      <c r="B128" s="378" t="s">
        <v>537</v>
      </c>
      <c r="C128" s="379"/>
      <c r="D128" s="357">
        <v>4000</v>
      </c>
      <c r="E128" s="358"/>
      <c r="F128" s="358"/>
      <c r="G128" s="359"/>
      <c r="H128" s="193"/>
      <c r="I128" s="371" t="s">
        <v>595</v>
      </c>
      <c r="J128" s="372"/>
      <c r="K128" s="191"/>
      <c r="L128" s="268" t="s">
        <v>338</v>
      </c>
    </row>
    <row r="129" spans="1:12" s="110" customFormat="1" ht="24.95" customHeight="1">
      <c r="A129" s="308">
        <v>32</v>
      </c>
      <c r="B129" s="367" t="s">
        <v>551</v>
      </c>
      <c r="C129" s="368"/>
      <c r="D129" s="373">
        <v>33</v>
      </c>
      <c r="E129" s="374"/>
      <c r="F129" s="374"/>
      <c r="G129" s="375"/>
      <c r="H129" s="188"/>
      <c r="I129" s="376" t="s">
        <v>552</v>
      </c>
      <c r="J129" s="377"/>
      <c r="K129" s="174"/>
      <c r="L129" s="244" t="s">
        <v>553</v>
      </c>
    </row>
    <row r="130" spans="1:12" s="110" customFormat="1" ht="24.95" customHeight="1">
      <c r="A130" s="308">
        <v>33</v>
      </c>
      <c r="B130" s="378" t="s">
        <v>535</v>
      </c>
      <c r="C130" s="379"/>
      <c r="D130" s="357">
        <v>13</v>
      </c>
      <c r="E130" s="358"/>
      <c r="F130" s="358"/>
      <c r="G130" s="359"/>
      <c r="H130" s="193">
        <v>42951</v>
      </c>
      <c r="I130" s="371" t="s">
        <v>556</v>
      </c>
      <c r="J130" s="372"/>
      <c r="K130" s="191"/>
      <c r="L130" s="248" t="s">
        <v>338</v>
      </c>
    </row>
    <row r="131" spans="1:12" s="110" customFormat="1" ht="24.95" customHeight="1">
      <c r="A131" s="308">
        <v>34</v>
      </c>
      <c r="B131" s="378" t="s">
        <v>535</v>
      </c>
      <c r="C131" s="379"/>
      <c r="D131" s="357">
        <v>60</v>
      </c>
      <c r="E131" s="358"/>
      <c r="F131" s="358"/>
      <c r="G131" s="359"/>
      <c r="H131" s="193">
        <v>42954</v>
      </c>
      <c r="I131" s="371" t="s">
        <v>558</v>
      </c>
      <c r="J131" s="372"/>
      <c r="K131" s="191"/>
      <c r="L131" s="259" t="s">
        <v>338</v>
      </c>
    </row>
    <row r="132" spans="1:12" s="110" customFormat="1" ht="24.95" customHeight="1">
      <c r="A132" s="308">
        <v>35</v>
      </c>
      <c r="B132" s="378" t="s">
        <v>559</v>
      </c>
      <c r="C132" s="379"/>
      <c r="D132" s="357">
        <v>5</v>
      </c>
      <c r="E132" s="358"/>
      <c r="F132" s="358"/>
      <c r="G132" s="359"/>
      <c r="H132" s="193">
        <v>42954</v>
      </c>
      <c r="I132" s="371" t="s">
        <v>560</v>
      </c>
      <c r="J132" s="372"/>
      <c r="K132" s="191"/>
      <c r="L132" s="259" t="s">
        <v>338</v>
      </c>
    </row>
    <row r="133" spans="1:12" s="110" customFormat="1" ht="24.95" customHeight="1">
      <c r="A133" s="308">
        <v>36</v>
      </c>
      <c r="B133" s="378" t="s">
        <v>672</v>
      </c>
      <c r="C133" s="379"/>
      <c r="D133" s="357">
        <v>31</v>
      </c>
      <c r="E133" s="358"/>
      <c r="F133" s="358"/>
      <c r="G133" s="359"/>
      <c r="H133" s="193">
        <v>43006</v>
      </c>
      <c r="I133" s="371" t="s">
        <v>673</v>
      </c>
      <c r="J133" s="372"/>
      <c r="K133" s="191"/>
      <c r="L133" s="309" t="s">
        <v>338</v>
      </c>
    </row>
    <row r="134" spans="1:12" s="110" customFormat="1" ht="24" customHeight="1">
      <c r="A134" s="369" t="s">
        <v>129</v>
      </c>
      <c r="B134" s="369"/>
      <c r="C134" s="369"/>
      <c r="D134" s="370">
        <f>SUM(D98:G133)</f>
        <v>26647</v>
      </c>
      <c r="E134" s="370"/>
      <c r="F134" s="370"/>
      <c r="G134" s="370"/>
      <c r="H134" s="187"/>
      <c r="I134" s="370"/>
      <c r="J134" s="370"/>
      <c r="K134" s="370"/>
      <c r="L134" s="370"/>
    </row>
    <row r="135" spans="1:12" s="110" customFormat="1" ht="34.5" customHeight="1">
      <c r="A135" s="387" t="s">
        <v>477</v>
      </c>
      <c r="B135" s="387"/>
      <c r="C135" s="387"/>
      <c r="D135" s="387"/>
      <c r="E135" s="387"/>
      <c r="F135" s="387"/>
      <c r="G135" s="387"/>
      <c r="H135" s="387"/>
      <c r="I135" s="387"/>
      <c r="J135" s="387"/>
      <c r="K135" s="387"/>
      <c r="L135" s="387"/>
    </row>
    <row r="136" spans="1:12" s="54" customFormat="1" ht="36.75" customHeight="1">
      <c r="A136" s="134" t="s">
        <v>118</v>
      </c>
      <c r="B136" s="396" t="s">
        <v>119</v>
      </c>
      <c r="C136" s="397"/>
      <c r="D136" s="396" t="s">
        <v>120</v>
      </c>
      <c r="E136" s="411"/>
      <c r="F136" s="411"/>
      <c r="G136" s="397"/>
      <c r="H136" s="81" t="s">
        <v>332</v>
      </c>
      <c r="I136" s="396" t="s">
        <v>330</v>
      </c>
      <c r="J136" s="397"/>
      <c r="K136" s="154" t="s">
        <v>89</v>
      </c>
      <c r="L136" s="154" t="s">
        <v>337</v>
      </c>
    </row>
    <row r="137" spans="1:12" s="110" customFormat="1" ht="24.95" customHeight="1">
      <c r="A137" s="88">
        <v>1</v>
      </c>
      <c r="B137" s="367" t="s">
        <v>456</v>
      </c>
      <c r="C137" s="368"/>
      <c r="D137" s="373">
        <v>200</v>
      </c>
      <c r="E137" s="374"/>
      <c r="F137" s="374"/>
      <c r="G137" s="375"/>
      <c r="H137" s="188">
        <v>42883</v>
      </c>
      <c r="I137" s="376"/>
      <c r="J137" s="377"/>
      <c r="K137" s="174"/>
      <c r="L137" s="87" t="s">
        <v>455</v>
      </c>
    </row>
    <row r="138" spans="1:12" s="110" customFormat="1" ht="24.95" customHeight="1">
      <c r="A138" s="88">
        <v>2</v>
      </c>
      <c r="B138" s="367" t="s">
        <v>457</v>
      </c>
      <c r="C138" s="368"/>
      <c r="D138" s="373">
        <v>300</v>
      </c>
      <c r="E138" s="374"/>
      <c r="F138" s="374"/>
      <c r="G138" s="375"/>
      <c r="H138" s="188">
        <v>42883</v>
      </c>
      <c r="I138" s="376"/>
      <c r="J138" s="377"/>
      <c r="K138" s="174"/>
      <c r="L138" s="87" t="s">
        <v>455</v>
      </c>
    </row>
    <row r="139" spans="1:12" s="110" customFormat="1" ht="24.95" customHeight="1">
      <c r="A139" s="334">
        <v>3</v>
      </c>
      <c r="B139" s="367" t="s">
        <v>454</v>
      </c>
      <c r="C139" s="368"/>
      <c r="D139" s="373">
        <v>3708</v>
      </c>
      <c r="E139" s="374"/>
      <c r="F139" s="374"/>
      <c r="G139" s="375"/>
      <c r="H139" s="188">
        <v>42884</v>
      </c>
      <c r="I139" s="376" t="s">
        <v>454</v>
      </c>
      <c r="J139" s="377"/>
      <c r="K139" s="174"/>
      <c r="L139" s="87" t="s">
        <v>455</v>
      </c>
    </row>
    <row r="140" spans="1:12" s="110" customFormat="1" ht="24.95" customHeight="1">
      <c r="A140" s="334">
        <v>4</v>
      </c>
      <c r="B140" s="367" t="s">
        <v>458</v>
      </c>
      <c r="C140" s="368"/>
      <c r="D140" s="373">
        <v>7779</v>
      </c>
      <c r="E140" s="374"/>
      <c r="F140" s="374"/>
      <c r="G140" s="375"/>
      <c r="H140" s="188">
        <v>42884</v>
      </c>
      <c r="I140" s="376"/>
      <c r="J140" s="377"/>
      <c r="K140" s="174"/>
      <c r="L140" s="87" t="s">
        <v>455</v>
      </c>
    </row>
    <row r="141" spans="1:12" s="110" customFormat="1" ht="24.95" customHeight="1">
      <c r="A141" s="334">
        <v>5</v>
      </c>
      <c r="B141" s="378" t="s">
        <v>459</v>
      </c>
      <c r="C141" s="379"/>
      <c r="D141" s="357">
        <v>746</v>
      </c>
      <c r="E141" s="358"/>
      <c r="F141" s="358"/>
      <c r="G141" s="359"/>
      <c r="H141" s="193">
        <v>42891</v>
      </c>
      <c r="I141" s="371"/>
      <c r="J141" s="372"/>
      <c r="K141" s="191"/>
      <c r="L141" s="196" t="s">
        <v>338</v>
      </c>
    </row>
    <row r="142" spans="1:12" s="110" customFormat="1" ht="24.95" customHeight="1">
      <c r="A142" s="334">
        <v>6</v>
      </c>
      <c r="B142" s="378" t="s">
        <v>371</v>
      </c>
      <c r="C142" s="379"/>
      <c r="D142" s="357">
        <v>3000</v>
      </c>
      <c r="E142" s="358"/>
      <c r="F142" s="358"/>
      <c r="G142" s="359"/>
      <c r="H142" s="193">
        <v>42891</v>
      </c>
      <c r="I142" s="371" t="s">
        <v>372</v>
      </c>
      <c r="J142" s="372"/>
      <c r="K142" s="191"/>
      <c r="L142" s="196" t="s">
        <v>338</v>
      </c>
    </row>
    <row r="143" spans="1:12" s="110" customFormat="1" ht="24.95" customHeight="1">
      <c r="A143" s="334">
        <v>7</v>
      </c>
      <c r="B143" s="378" t="s">
        <v>373</v>
      </c>
      <c r="C143" s="379"/>
      <c r="D143" s="357">
        <f>20-15</f>
        <v>5</v>
      </c>
      <c r="E143" s="358"/>
      <c r="F143" s="358"/>
      <c r="G143" s="359"/>
      <c r="H143" s="193">
        <v>42892</v>
      </c>
      <c r="I143" s="371" t="s">
        <v>677</v>
      </c>
      <c r="J143" s="372"/>
      <c r="K143" s="191"/>
      <c r="L143" s="196" t="s">
        <v>338</v>
      </c>
    </row>
    <row r="144" spans="1:12" s="110" customFormat="1" ht="24.95" customHeight="1">
      <c r="A144" s="334">
        <v>8</v>
      </c>
      <c r="B144" s="378" t="s">
        <v>460</v>
      </c>
      <c r="C144" s="379"/>
      <c r="D144" s="357">
        <v>10</v>
      </c>
      <c r="E144" s="358"/>
      <c r="F144" s="358"/>
      <c r="G144" s="359"/>
      <c r="H144" s="193">
        <v>42892</v>
      </c>
      <c r="I144" s="371"/>
      <c r="J144" s="372"/>
      <c r="K144" s="191"/>
      <c r="L144" s="196" t="s">
        <v>338</v>
      </c>
    </row>
    <row r="145" spans="1:12" s="110" customFormat="1" ht="24.95" customHeight="1">
      <c r="A145" s="334">
        <v>9</v>
      </c>
      <c r="B145" s="380" t="s">
        <v>371</v>
      </c>
      <c r="C145" s="381"/>
      <c r="D145" s="382">
        <v>-3000</v>
      </c>
      <c r="E145" s="383"/>
      <c r="F145" s="383"/>
      <c r="G145" s="384"/>
      <c r="H145" s="322"/>
      <c r="I145" s="385" t="s">
        <v>372</v>
      </c>
      <c r="J145" s="386"/>
      <c r="K145" s="323"/>
      <c r="L145" s="324" t="s">
        <v>338</v>
      </c>
    </row>
    <row r="146" spans="1:12" s="110" customFormat="1" ht="24.95" customHeight="1">
      <c r="A146" s="334">
        <v>10</v>
      </c>
      <c r="B146" s="367" t="s">
        <v>697</v>
      </c>
      <c r="C146" s="368"/>
      <c r="D146" s="373">
        <v>16412.37</v>
      </c>
      <c r="E146" s="374"/>
      <c r="F146" s="374"/>
      <c r="G146" s="375"/>
      <c r="H146" s="188">
        <v>43040</v>
      </c>
      <c r="I146" s="376" t="s">
        <v>698</v>
      </c>
      <c r="J146" s="377"/>
      <c r="K146" s="174"/>
      <c r="L146" s="333" t="s">
        <v>455</v>
      </c>
    </row>
    <row r="147" spans="1:12" s="110" customFormat="1" ht="24" customHeight="1">
      <c r="A147" s="369" t="s">
        <v>129</v>
      </c>
      <c r="B147" s="369"/>
      <c r="C147" s="369"/>
      <c r="D147" s="413">
        <f>SUM(D137:G146)</f>
        <v>29160.37</v>
      </c>
      <c r="E147" s="414"/>
      <c r="F147" s="414"/>
      <c r="G147" s="415"/>
      <c r="H147" s="187"/>
      <c r="I147" s="413"/>
      <c r="J147" s="415"/>
      <c r="K147" s="413"/>
      <c r="L147" s="415"/>
    </row>
    <row r="148" spans="1:12" s="60" customFormat="1" ht="36" customHeight="1">
      <c r="A148" s="135"/>
      <c r="B148" s="136"/>
      <c r="C148" s="136"/>
      <c r="D148" s="135"/>
      <c r="E148" s="135"/>
      <c r="F148" s="135"/>
      <c r="G148" s="135"/>
      <c r="H148" s="189"/>
      <c r="I148" s="105"/>
      <c r="J148" s="105"/>
      <c r="K148" s="137"/>
      <c r="L148" s="136"/>
    </row>
    <row r="149" spans="1:12" s="46" customFormat="1" ht="34.5" customHeight="1">
      <c r="A149" s="387" t="s">
        <v>482</v>
      </c>
      <c r="B149" s="387"/>
      <c r="C149" s="387"/>
      <c r="D149" s="387"/>
      <c r="E149" s="387"/>
      <c r="F149" s="387"/>
      <c r="G149" s="387"/>
      <c r="H149" s="387"/>
      <c r="I149" s="387"/>
      <c r="J149" s="387"/>
      <c r="K149" s="387"/>
      <c r="L149" s="387"/>
    </row>
    <row r="150" spans="1:12" ht="24" customHeight="1">
      <c r="A150" s="88">
        <v>1</v>
      </c>
      <c r="B150" s="96" t="s">
        <v>122</v>
      </c>
      <c r="C150" s="95" t="s">
        <v>103</v>
      </c>
      <c r="D150" s="416">
        <v>500</v>
      </c>
      <c r="E150" s="417"/>
      <c r="F150" s="417"/>
      <c r="G150" s="418"/>
      <c r="H150" s="97">
        <v>42825</v>
      </c>
      <c r="I150" s="98" t="s">
        <v>182</v>
      </c>
      <c r="J150" s="96" t="s">
        <v>181</v>
      </c>
      <c r="K150" s="98"/>
      <c r="L150" s="138"/>
    </row>
    <row r="151" spans="1:12" s="46" customFormat="1" ht="24" customHeight="1">
      <c r="A151" s="88">
        <v>2</v>
      </c>
      <c r="B151" s="96" t="s">
        <v>177</v>
      </c>
      <c r="C151" s="95" t="s">
        <v>138</v>
      </c>
      <c r="D151" s="416">
        <f>3007-150</f>
        <v>2857</v>
      </c>
      <c r="E151" s="417"/>
      <c r="F151" s="417"/>
      <c r="G151" s="418"/>
      <c r="H151" s="97">
        <v>42854</v>
      </c>
      <c r="I151" s="98" t="s">
        <v>183</v>
      </c>
      <c r="J151" s="96" t="s">
        <v>181</v>
      </c>
      <c r="K151" s="98"/>
      <c r="L151" s="138"/>
    </row>
    <row r="152" spans="1:12" s="46" customFormat="1" ht="24" customHeight="1">
      <c r="A152" s="272">
        <v>3</v>
      </c>
      <c r="B152" s="96" t="s">
        <v>174</v>
      </c>
      <c r="C152" s="95" t="s">
        <v>175</v>
      </c>
      <c r="D152" s="416">
        <v>1788</v>
      </c>
      <c r="E152" s="417"/>
      <c r="F152" s="417"/>
      <c r="G152" s="418"/>
      <c r="H152" s="97">
        <v>42858</v>
      </c>
      <c r="I152" s="132" t="s">
        <v>176</v>
      </c>
      <c r="J152" s="96" t="s">
        <v>181</v>
      </c>
      <c r="K152" s="98"/>
      <c r="L152" s="96"/>
    </row>
    <row r="153" spans="1:12" s="110" customFormat="1" ht="37.5" customHeight="1">
      <c r="A153" s="272">
        <v>4</v>
      </c>
      <c r="B153" s="96" t="s">
        <v>255</v>
      </c>
      <c r="C153" s="95" t="s">
        <v>253</v>
      </c>
      <c r="D153" s="416">
        <v>178</v>
      </c>
      <c r="E153" s="417"/>
      <c r="F153" s="417"/>
      <c r="G153" s="418"/>
      <c r="H153" s="97">
        <v>42888</v>
      </c>
      <c r="I153" s="132" t="s">
        <v>266</v>
      </c>
      <c r="J153" s="96" t="s">
        <v>181</v>
      </c>
      <c r="K153" s="98"/>
      <c r="L153" s="96"/>
    </row>
    <row r="154" spans="1:12" s="110" customFormat="1" ht="27" customHeight="1">
      <c r="A154" s="272">
        <v>5</v>
      </c>
      <c r="B154" s="96" t="s">
        <v>270</v>
      </c>
      <c r="C154" s="95" t="s">
        <v>271</v>
      </c>
      <c r="D154" s="416">
        <v>4719</v>
      </c>
      <c r="E154" s="417"/>
      <c r="F154" s="417"/>
      <c r="G154" s="418"/>
      <c r="H154" s="97">
        <v>42889</v>
      </c>
      <c r="I154" s="132" t="s">
        <v>272</v>
      </c>
      <c r="J154" s="96" t="s">
        <v>181</v>
      </c>
      <c r="K154" s="98"/>
      <c r="L154" s="96"/>
    </row>
    <row r="155" spans="1:12" s="110" customFormat="1" ht="21.75" customHeight="1">
      <c r="A155" s="272">
        <v>6</v>
      </c>
      <c r="B155" s="96" t="s">
        <v>328</v>
      </c>
      <c r="C155" s="95" t="s">
        <v>284</v>
      </c>
      <c r="D155" s="416">
        <v>285</v>
      </c>
      <c r="E155" s="417"/>
      <c r="F155" s="417"/>
      <c r="G155" s="418"/>
      <c r="H155" s="97">
        <v>42897</v>
      </c>
      <c r="I155" s="132" t="s">
        <v>329</v>
      </c>
      <c r="J155" s="96" t="s">
        <v>181</v>
      </c>
      <c r="K155" s="98"/>
      <c r="L155" s="96"/>
    </row>
    <row r="156" spans="1:12" s="110" customFormat="1" ht="27" customHeight="1">
      <c r="A156" s="272">
        <v>7</v>
      </c>
      <c r="B156" s="96" t="s">
        <v>325</v>
      </c>
      <c r="C156" s="95" t="s">
        <v>326</v>
      </c>
      <c r="D156" s="416">
        <v>3149</v>
      </c>
      <c r="E156" s="417"/>
      <c r="F156" s="417"/>
      <c r="G156" s="418"/>
      <c r="H156" s="97">
        <v>42897</v>
      </c>
      <c r="I156" s="132" t="s">
        <v>327</v>
      </c>
      <c r="J156" s="96" t="s">
        <v>181</v>
      </c>
      <c r="K156" s="98"/>
      <c r="L156" s="96"/>
    </row>
    <row r="157" spans="1:12" s="110" customFormat="1" ht="43.5" customHeight="1">
      <c r="A157" s="272">
        <v>8</v>
      </c>
      <c r="B157" s="96" t="s">
        <v>607</v>
      </c>
      <c r="C157" s="95" t="s">
        <v>608</v>
      </c>
      <c r="D157" s="416">
        <v>108</v>
      </c>
      <c r="E157" s="417"/>
      <c r="F157" s="417"/>
      <c r="G157" s="418"/>
      <c r="H157" s="97">
        <v>42970</v>
      </c>
      <c r="I157" s="132" t="s">
        <v>609</v>
      </c>
      <c r="J157" s="96" t="s">
        <v>181</v>
      </c>
      <c r="K157" s="98" t="s">
        <v>611</v>
      </c>
      <c r="L157" s="96"/>
    </row>
    <row r="158" spans="1:12" s="110" customFormat="1" ht="24" customHeight="1">
      <c r="A158" s="369" t="s">
        <v>129</v>
      </c>
      <c r="B158" s="369"/>
      <c r="C158" s="369"/>
      <c r="D158" s="413">
        <f>SUM(D150:G157)</f>
        <v>13584</v>
      </c>
      <c r="E158" s="414"/>
      <c r="F158" s="414"/>
      <c r="G158" s="415"/>
      <c r="H158" s="195"/>
      <c r="I158" s="413"/>
      <c r="J158" s="415"/>
      <c r="K158" s="413"/>
      <c r="L158" s="415"/>
    </row>
    <row r="159" spans="1:12" ht="40.5" customHeight="1"/>
    <row r="160" spans="1:12" ht="40.5" customHeight="1"/>
    <row r="161" ht="40.5" customHeight="1"/>
    <row r="162" ht="40.5" customHeight="1"/>
    <row r="163" ht="40.5" customHeight="1"/>
  </sheetData>
  <mergeCells count="196">
    <mergeCell ref="A147:C147"/>
    <mergeCell ref="D147:G147"/>
    <mergeCell ref="I147:J147"/>
    <mergeCell ref="B139:C139"/>
    <mergeCell ref="D139:G139"/>
    <mergeCell ref="A158:C158"/>
    <mergeCell ref="D158:G158"/>
    <mergeCell ref="I158:J158"/>
    <mergeCell ref="K158:L158"/>
    <mergeCell ref="D150:G150"/>
    <mergeCell ref="D151:G151"/>
    <mergeCell ref="D152:G152"/>
    <mergeCell ref="D153:G153"/>
    <mergeCell ref="D154:G154"/>
    <mergeCell ref="D155:G155"/>
    <mergeCell ref="D156:G156"/>
    <mergeCell ref="K147:L147"/>
    <mergeCell ref="B140:C140"/>
    <mergeCell ref="D140:G140"/>
    <mergeCell ref="I140:J140"/>
    <mergeCell ref="B146:C146"/>
    <mergeCell ref="D157:G157"/>
    <mergeCell ref="A67:C67"/>
    <mergeCell ref="A68:L68"/>
    <mergeCell ref="K59:K60"/>
    <mergeCell ref="D144:G144"/>
    <mergeCell ref="I144:J144"/>
    <mergeCell ref="B141:C141"/>
    <mergeCell ref="D141:G141"/>
    <mergeCell ref="I141:J141"/>
    <mergeCell ref="B142:C142"/>
    <mergeCell ref="D142:G142"/>
    <mergeCell ref="I142:J142"/>
    <mergeCell ref="B143:C143"/>
    <mergeCell ref="D143:G143"/>
    <mergeCell ref="I143:J143"/>
    <mergeCell ref="D111:G111"/>
    <mergeCell ref="B113:C113"/>
    <mergeCell ref="D113:G113"/>
    <mergeCell ref="B114:C114"/>
    <mergeCell ref="B136:C136"/>
    <mergeCell ref="D136:G136"/>
    <mergeCell ref="I136:J136"/>
    <mergeCell ref="B121:C121"/>
    <mergeCell ref="I124:J124"/>
    <mergeCell ref="I111:J111"/>
    <mergeCell ref="A55:L55"/>
    <mergeCell ref="B137:C137"/>
    <mergeCell ref="D137:G137"/>
    <mergeCell ref="I137:J137"/>
    <mergeCell ref="I97:J97"/>
    <mergeCell ref="D97:G97"/>
    <mergeCell ref="B98:C98"/>
    <mergeCell ref="D98:G98"/>
    <mergeCell ref="I98:J98"/>
    <mergeCell ref="K134:L134"/>
    <mergeCell ref="B106:C106"/>
    <mergeCell ref="D106:G106"/>
    <mergeCell ref="I106:J106"/>
    <mergeCell ref="B107:C107"/>
    <mergeCell ref="D107:G107"/>
    <mergeCell ref="I107:J107"/>
    <mergeCell ref="D108:G108"/>
    <mergeCell ref="A95:C95"/>
    <mergeCell ref="I99:J99"/>
    <mergeCell ref="I100:J100"/>
    <mergeCell ref="I104:J104"/>
    <mergeCell ref="B101:C101"/>
    <mergeCell ref="B102:C102"/>
    <mergeCell ref="A135:L135"/>
    <mergeCell ref="D99:G99"/>
    <mergeCell ref="D100:G100"/>
    <mergeCell ref="D101:G101"/>
    <mergeCell ref="D102:G102"/>
    <mergeCell ref="D103:G103"/>
    <mergeCell ref="B104:C104"/>
    <mergeCell ref="D104:G104"/>
    <mergeCell ref="D134:G134"/>
    <mergeCell ref="B105:C105"/>
    <mergeCell ref="D105:G105"/>
    <mergeCell ref="B108:C108"/>
    <mergeCell ref="B116:C116"/>
    <mergeCell ref="D116:G116"/>
    <mergeCell ref="B115:C115"/>
    <mergeCell ref="B122:C122"/>
    <mergeCell ref="B109:C109"/>
    <mergeCell ref="D109:G109"/>
    <mergeCell ref="B126:C126"/>
    <mergeCell ref="I109:J109"/>
    <mergeCell ref="B110:C110"/>
    <mergeCell ref="D110:G110"/>
    <mergeCell ref="B112:C112"/>
    <mergeCell ref="D112:G112"/>
    <mergeCell ref="B111:C111"/>
    <mergeCell ref="A1:L1"/>
    <mergeCell ref="D31:D32"/>
    <mergeCell ref="G31:G32"/>
    <mergeCell ref="H31:H32"/>
    <mergeCell ref="I31:I32"/>
    <mergeCell ref="E31:E32"/>
    <mergeCell ref="F31:F32"/>
    <mergeCell ref="E17:E18"/>
    <mergeCell ref="F17:F18"/>
    <mergeCell ref="L17:L18"/>
    <mergeCell ref="J17:J18"/>
    <mergeCell ref="I17:I18"/>
    <mergeCell ref="K17:K18"/>
    <mergeCell ref="J31:J32"/>
    <mergeCell ref="K31:K32"/>
    <mergeCell ref="L31:L32"/>
    <mergeCell ref="A3:L3"/>
    <mergeCell ref="K8:L8"/>
    <mergeCell ref="I123:J123"/>
    <mergeCell ref="B120:C120"/>
    <mergeCell ref="B144:C144"/>
    <mergeCell ref="B133:C133"/>
    <mergeCell ref="D133:G133"/>
    <mergeCell ref="I133:J133"/>
    <mergeCell ref="D129:G129"/>
    <mergeCell ref="I129:J129"/>
    <mergeCell ref="B138:C138"/>
    <mergeCell ref="D138:G138"/>
    <mergeCell ref="I138:J138"/>
    <mergeCell ref="I120:J120"/>
    <mergeCell ref="I139:J139"/>
    <mergeCell ref="B131:C131"/>
    <mergeCell ref="D131:G131"/>
    <mergeCell ref="I131:J131"/>
    <mergeCell ref="B132:C132"/>
    <mergeCell ref="D132:G132"/>
    <mergeCell ref="I125:J125"/>
    <mergeCell ref="A54:C54"/>
    <mergeCell ref="D14:D15"/>
    <mergeCell ref="D17:D18"/>
    <mergeCell ref="G17:G18"/>
    <mergeCell ref="H17:H18"/>
    <mergeCell ref="I119:J119"/>
    <mergeCell ref="B119:C119"/>
    <mergeCell ref="B123:C123"/>
    <mergeCell ref="I112:J112"/>
    <mergeCell ref="I114:J114"/>
    <mergeCell ref="I116:J116"/>
    <mergeCell ref="I115:J115"/>
    <mergeCell ref="I113:J113"/>
    <mergeCell ref="D121:G121"/>
    <mergeCell ref="I121:J121"/>
    <mergeCell ref="D115:G115"/>
    <mergeCell ref="A96:L96"/>
    <mergeCell ref="B97:C97"/>
    <mergeCell ref="B99:C99"/>
    <mergeCell ref="B100:C100"/>
    <mergeCell ref="D120:G120"/>
    <mergeCell ref="D122:G122"/>
    <mergeCell ref="I117:J117"/>
    <mergeCell ref="I118:J118"/>
    <mergeCell ref="D146:G146"/>
    <mergeCell ref="I146:J146"/>
    <mergeCell ref="B145:C145"/>
    <mergeCell ref="D145:G145"/>
    <mergeCell ref="I145:J145"/>
    <mergeCell ref="A149:L149"/>
    <mergeCell ref="L59:L61"/>
    <mergeCell ref="B130:C130"/>
    <mergeCell ref="D130:G130"/>
    <mergeCell ref="I130:J130"/>
    <mergeCell ref="B125:C125"/>
    <mergeCell ref="D125:G125"/>
    <mergeCell ref="B103:C103"/>
    <mergeCell ref="I101:J101"/>
    <mergeCell ref="I102:J102"/>
    <mergeCell ref="I103:J103"/>
    <mergeCell ref="I132:J132"/>
    <mergeCell ref="I122:J122"/>
    <mergeCell ref="D119:G119"/>
    <mergeCell ref="B117:C117"/>
    <mergeCell ref="D117:G117"/>
    <mergeCell ref="I105:J105"/>
    <mergeCell ref="I108:J108"/>
    <mergeCell ref="I110:J110"/>
    <mergeCell ref="B129:C129"/>
    <mergeCell ref="A134:C134"/>
    <mergeCell ref="I134:J134"/>
    <mergeCell ref="D126:G126"/>
    <mergeCell ref="I126:J126"/>
    <mergeCell ref="B127:C127"/>
    <mergeCell ref="D127:G127"/>
    <mergeCell ref="I127:J127"/>
    <mergeCell ref="B128:C128"/>
    <mergeCell ref="D128:G128"/>
    <mergeCell ref="I128:J128"/>
    <mergeCell ref="D114:G114"/>
    <mergeCell ref="B118:C118"/>
    <mergeCell ref="B124:C124"/>
    <mergeCell ref="D124:G124"/>
    <mergeCell ref="D123:G123"/>
    <mergeCell ref="D118:G118"/>
  </mergeCells>
  <phoneticPr fontId="12" type="noConversion"/>
  <printOptions horizontalCentered="1"/>
  <pageMargins left="0.39370078740157483" right="0.39370078740157483" top="0.39370078740157483" bottom="0.39370078740157483" header="0.51181102362204722" footer="0.51181102362204722"/>
  <pageSetup paperSize="9" scale="80" orientation="portrait" r:id="rId1"/>
</worksheet>
</file>

<file path=xl/worksheets/sheet3.xml><?xml version="1.0" encoding="utf-8"?>
<worksheet xmlns="http://schemas.openxmlformats.org/spreadsheetml/2006/main" xmlns:r="http://schemas.openxmlformats.org/officeDocument/2006/relationships">
  <sheetPr codeName="Sheet1"/>
  <dimension ref="A1:M100"/>
  <sheetViews>
    <sheetView view="pageBreakPreview" zoomScale="85" zoomScaleNormal="80" workbookViewId="0">
      <pane ySplit="2" topLeftCell="A87" activePane="bottomLeft" state="frozen"/>
      <selection pane="bottomLeft" activeCell="H57" sqref="H57"/>
    </sheetView>
  </sheetViews>
  <sheetFormatPr defaultRowHeight="14.25"/>
  <cols>
    <col min="1" max="1" width="4.5" style="60" customWidth="1"/>
    <col min="2" max="2" width="41.125" customWidth="1"/>
    <col min="3" max="3" width="5.125" customWidth="1"/>
    <col min="4" max="4" width="7.875" style="22" customWidth="1"/>
    <col min="5" max="5" width="10" style="27" customWidth="1"/>
    <col min="6" max="6" width="11.625" style="22" customWidth="1"/>
    <col min="7" max="7" width="92.25" style="17" customWidth="1"/>
    <col min="8" max="8" width="11" bestFit="1" customWidth="1"/>
    <col min="11" max="11" width="11" bestFit="1" customWidth="1"/>
  </cols>
  <sheetData>
    <row r="1" spans="1:7" ht="18" customHeight="1">
      <c r="A1" s="423" t="s">
        <v>46</v>
      </c>
      <c r="B1" s="424"/>
      <c r="C1" s="424"/>
      <c r="D1" s="424"/>
      <c r="E1" s="424"/>
      <c r="F1" s="424"/>
      <c r="G1" s="424"/>
    </row>
    <row r="2" spans="1:7" ht="30" customHeight="1">
      <c r="A2" s="101" t="s">
        <v>0</v>
      </c>
      <c r="B2" s="28" t="s">
        <v>1</v>
      </c>
      <c r="C2" s="28" t="s">
        <v>2</v>
      </c>
      <c r="D2" s="18" t="s">
        <v>3</v>
      </c>
      <c r="E2" s="18" t="s">
        <v>4</v>
      </c>
      <c r="F2" s="18" t="s">
        <v>5</v>
      </c>
      <c r="G2" s="13" t="s">
        <v>715</v>
      </c>
    </row>
    <row r="3" spans="1:7" ht="18.75" customHeight="1">
      <c r="A3" s="425" t="s">
        <v>397</v>
      </c>
      <c r="B3" s="426"/>
      <c r="C3" s="28"/>
      <c r="D3" s="20"/>
      <c r="E3" s="20"/>
      <c r="F3" s="20"/>
      <c r="G3" s="13"/>
    </row>
    <row r="4" spans="1:7" ht="26.25" customHeight="1">
      <c r="A4" s="79">
        <v>1</v>
      </c>
      <c r="B4" s="9" t="s">
        <v>391</v>
      </c>
      <c r="C4" s="3" t="s">
        <v>7</v>
      </c>
      <c r="D4" s="19">
        <f>(30731612.0546+(30572.1605-3078.5809)*2800)/1000000</f>
        <v>107.71363493459999</v>
      </c>
      <c r="E4" s="19">
        <v>16</v>
      </c>
      <c r="F4" s="19">
        <f t="shared" ref="F4:F10" si="0">D4*E4</f>
        <v>1723.4181589535999</v>
      </c>
      <c r="G4" s="11"/>
    </row>
    <row r="5" spans="1:7" ht="24" customHeight="1">
      <c r="A5" s="79">
        <v>2</v>
      </c>
      <c r="B5" s="9" t="s">
        <v>392</v>
      </c>
      <c r="C5" s="3" t="s">
        <v>7</v>
      </c>
      <c r="D5" s="20">
        <f>13212344/1000000+(11956)*2.8/1000</f>
        <v>46.689143999999999</v>
      </c>
      <c r="E5" s="19">
        <v>16</v>
      </c>
      <c r="F5" s="19">
        <f t="shared" si="0"/>
        <v>747.02630399999998</v>
      </c>
      <c r="G5" s="11"/>
    </row>
    <row r="6" spans="1:7" ht="24" customHeight="1">
      <c r="A6" s="79">
        <v>3</v>
      </c>
      <c r="B6" s="9" t="s">
        <v>393</v>
      </c>
      <c r="C6" s="3" t="s">
        <v>7</v>
      </c>
      <c r="D6" s="20">
        <f>(10858860)/1000000+(11400)*2800/1000000</f>
        <v>42.778860000000002</v>
      </c>
      <c r="E6" s="19">
        <v>16</v>
      </c>
      <c r="F6" s="19">
        <f t="shared" si="0"/>
        <v>684.46176000000003</v>
      </c>
      <c r="G6" s="11"/>
    </row>
    <row r="7" spans="1:7" ht="24" customHeight="1">
      <c r="A7" s="79">
        <v>4</v>
      </c>
      <c r="B7" s="9" t="s">
        <v>394</v>
      </c>
      <c r="C7" s="3" t="s">
        <v>7</v>
      </c>
      <c r="D7" s="20">
        <f>(6981090)/1000000+(6908)*2800/1000000</f>
        <v>26.32349</v>
      </c>
      <c r="E7" s="19">
        <v>16</v>
      </c>
      <c r="F7" s="19">
        <f t="shared" si="0"/>
        <v>421.17583999999999</v>
      </c>
      <c r="G7" s="11"/>
    </row>
    <row r="8" spans="1:7" ht="27.75" customHeight="1">
      <c r="A8" s="79">
        <v>5</v>
      </c>
      <c r="B8" s="160" t="s">
        <v>395</v>
      </c>
      <c r="C8" s="3" t="s">
        <v>7</v>
      </c>
      <c r="D8" s="19">
        <f>4657400/1000000</f>
        <v>4.6574</v>
      </c>
      <c r="E8" s="19">
        <v>16</v>
      </c>
      <c r="F8" s="19">
        <f t="shared" si="0"/>
        <v>74.5184</v>
      </c>
      <c r="G8" s="11"/>
    </row>
    <row r="9" spans="1:7" ht="27.75" customHeight="1">
      <c r="A9" s="79">
        <v>6</v>
      </c>
      <c r="B9" s="160" t="s">
        <v>396</v>
      </c>
      <c r="C9" s="3" t="s">
        <v>7</v>
      </c>
      <c r="D9" s="19">
        <f>2191776/1000000+(1384+1528)*1.2/1000000</f>
        <v>2.1952704000000001</v>
      </c>
      <c r="E9" s="19">
        <v>16</v>
      </c>
      <c r="F9" s="19">
        <f t="shared" si="0"/>
        <v>35.124326400000001</v>
      </c>
      <c r="G9" s="11"/>
    </row>
    <row r="10" spans="1:7" s="110" customFormat="1" ht="27.75" customHeight="1">
      <c r="A10" s="79">
        <v>7</v>
      </c>
      <c r="B10" s="160" t="s">
        <v>398</v>
      </c>
      <c r="C10" s="47" t="s">
        <v>399</v>
      </c>
      <c r="D10" s="19">
        <v>23</v>
      </c>
      <c r="E10" s="19">
        <v>79</v>
      </c>
      <c r="F10" s="19">
        <f t="shared" si="0"/>
        <v>1817</v>
      </c>
      <c r="G10" s="160"/>
    </row>
    <row r="11" spans="1:7" ht="23.1" customHeight="1">
      <c r="A11" s="101"/>
      <c r="B11" s="2"/>
      <c r="C11" s="2"/>
      <c r="D11" s="21"/>
      <c r="E11" s="25" t="s">
        <v>9</v>
      </c>
      <c r="F11" s="23">
        <f>SUM(F4:F10)</f>
        <v>5502.7247893536005</v>
      </c>
      <c r="G11" s="16"/>
    </row>
    <row r="12" spans="1:7" ht="22.5" customHeight="1">
      <c r="A12" s="427" t="s">
        <v>403</v>
      </c>
      <c r="B12" s="425"/>
      <c r="C12" s="2"/>
      <c r="D12" s="21"/>
      <c r="E12" s="20"/>
      <c r="F12" s="21"/>
      <c r="G12" s="16"/>
    </row>
    <row r="13" spans="1:7" ht="26.25" customHeight="1">
      <c r="A13" s="79">
        <v>1</v>
      </c>
      <c r="B13" s="161" t="s">
        <v>404</v>
      </c>
      <c r="C13" s="47" t="s">
        <v>517</v>
      </c>
      <c r="D13" s="19">
        <v>1</v>
      </c>
      <c r="E13" s="50">
        <v>1000</v>
      </c>
      <c r="F13" s="20">
        <f t="shared" ref="F13" si="1">D13*E13</f>
        <v>1000</v>
      </c>
      <c r="G13" s="51"/>
    </row>
    <row r="14" spans="1:7" ht="31.5" customHeight="1">
      <c r="A14" s="79">
        <v>2</v>
      </c>
      <c r="B14" s="161" t="s">
        <v>405</v>
      </c>
      <c r="C14" s="3" t="s">
        <v>7</v>
      </c>
      <c r="D14" s="20">
        <f>43+12</f>
        <v>55</v>
      </c>
      <c r="E14" s="24">
        <v>40</v>
      </c>
      <c r="F14" s="20">
        <f t="shared" ref="F14:F15" si="2">D14*E14</f>
        <v>2200</v>
      </c>
      <c r="G14" s="14"/>
    </row>
    <row r="15" spans="1:7" ht="24" customHeight="1">
      <c r="A15" s="79">
        <v>3</v>
      </c>
      <c r="B15" s="9" t="s">
        <v>24</v>
      </c>
      <c r="C15" s="10" t="s">
        <v>18</v>
      </c>
      <c r="D15" s="20">
        <f>2.75*5</f>
        <v>13.75</v>
      </c>
      <c r="E15" s="24">
        <v>87</v>
      </c>
      <c r="F15" s="20">
        <f t="shared" si="2"/>
        <v>1196.25</v>
      </c>
      <c r="G15" s="29"/>
    </row>
    <row r="16" spans="1:7" ht="24" customHeight="1">
      <c r="A16" s="79">
        <v>4</v>
      </c>
      <c r="B16" s="4" t="s">
        <v>10</v>
      </c>
      <c r="C16" s="3" t="s">
        <v>7</v>
      </c>
      <c r="D16" s="20">
        <f>(3878730+2025959.7727+6750*300+7902*2400+3240*400+1254400+3305*400+1296000)/1000000</f>
        <v>32.062889772700004</v>
      </c>
      <c r="E16" s="24">
        <v>40</v>
      </c>
      <c r="F16" s="20">
        <f t="shared" ref="F16:F18" si="3">D16*E16</f>
        <v>1282.5155909080001</v>
      </c>
      <c r="G16" s="11"/>
    </row>
    <row r="17" spans="1:12" s="110" customFormat="1" ht="24" customHeight="1">
      <c r="A17" s="79">
        <v>5</v>
      </c>
      <c r="B17" s="161" t="s">
        <v>406</v>
      </c>
      <c r="C17" s="3" t="s">
        <v>7</v>
      </c>
      <c r="D17" s="20">
        <f>(3380.1794+1760+2335+2830+1760+4175+1960+640+1375+810*2+7665)*2710/1000000</f>
        <v>79.945486173999996</v>
      </c>
      <c r="E17" s="50">
        <v>15</v>
      </c>
      <c r="F17" s="20">
        <f t="shared" si="3"/>
        <v>1199.1822926099999</v>
      </c>
      <c r="G17" s="160"/>
    </row>
    <row r="18" spans="1:12" s="110" customFormat="1" ht="24" customHeight="1">
      <c r="A18" s="79">
        <v>6</v>
      </c>
      <c r="B18" s="161" t="s">
        <v>407</v>
      </c>
      <c r="C18" s="47" t="s">
        <v>408</v>
      </c>
      <c r="D18" s="20">
        <v>1</v>
      </c>
      <c r="E18" s="50">
        <f>已付款项!D110+已付款项!D111+已付款项!D113+已付款项!D118+已付款项!D119+已付款项!D120+已付款项!D123</f>
        <v>2418</v>
      </c>
      <c r="F18" s="20">
        <f t="shared" si="3"/>
        <v>2418</v>
      </c>
      <c r="G18" s="160"/>
    </row>
    <row r="19" spans="1:12" ht="24" customHeight="1">
      <c r="A19" s="101"/>
      <c r="B19" s="2"/>
      <c r="C19" s="2"/>
      <c r="D19" s="21"/>
      <c r="E19" s="25" t="s">
        <v>9</v>
      </c>
      <c r="F19" s="23">
        <f>SUM(F13:F18)</f>
        <v>9295.9478835179998</v>
      </c>
      <c r="G19" s="16"/>
    </row>
    <row r="20" spans="1:12" ht="24" customHeight="1">
      <c r="A20" s="427" t="s">
        <v>402</v>
      </c>
      <c r="B20" s="426"/>
      <c r="C20" s="2"/>
      <c r="D20" s="21"/>
      <c r="E20" s="20"/>
      <c r="F20" s="21"/>
      <c r="G20" s="16"/>
      <c r="K20">
        <f>(11485+7500+5640+2787.5*2+14920+4850+5725.9664+6715+3335)/1000</f>
        <v>65.7459664</v>
      </c>
      <c r="L20">
        <f>K20*30</f>
        <v>1972.3789919999999</v>
      </c>
    </row>
    <row r="21" spans="1:12" ht="30.75" customHeight="1">
      <c r="A21" s="79">
        <v>1</v>
      </c>
      <c r="B21" s="9" t="s">
        <v>400</v>
      </c>
      <c r="C21" s="47" t="s">
        <v>17</v>
      </c>
      <c r="D21" s="19">
        <v>1</v>
      </c>
      <c r="E21" s="19">
        <v>1070</v>
      </c>
      <c r="F21" s="19">
        <f>D21*E21</f>
        <v>1070</v>
      </c>
      <c r="G21" s="29"/>
      <c r="K21" s="110">
        <f>5743750/1000000</f>
        <v>5.7437500000000004</v>
      </c>
      <c r="L21">
        <f>K21*120</f>
        <v>689.25</v>
      </c>
    </row>
    <row r="22" spans="1:12" s="110" customFormat="1" ht="30.75" customHeight="1">
      <c r="A22" s="79">
        <v>2</v>
      </c>
      <c r="B22" s="9" t="s">
        <v>401</v>
      </c>
      <c r="C22" s="47" t="s">
        <v>17</v>
      </c>
      <c r="D22" s="19">
        <v>1</v>
      </c>
      <c r="E22" s="19">
        <v>1800</v>
      </c>
      <c r="F22" s="19">
        <f>D22*E22</f>
        <v>1800</v>
      </c>
      <c r="G22" s="51"/>
    </row>
    <row r="23" spans="1:12" ht="24" customHeight="1">
      <c r="A23" s="101"/>
      <c r="B23" s="2"/>
      <c r="C23" s="2"/>
      <c r="D23" s="21"/>
      <c r="E23" s="25" t="s">
        <v>9</v>
      </c>
      <c r="F23" s="23">
        <f>SUM(F21:F22)</f>
        <v>2870</v>
      </c>
      <c r="G23" s="16"/>
    </row>
    <row r="24" spans="1:12" ht="18.75" customHeight="1">
      <c r="A24" s="419" t="s">
        <v>412</v>
      </c>
      <c r="B24" s="420"/>
      <c r="C24" s="2"/>
      <c r="D24" s="21"/>
      <c r="E24" s="20"/>
      <c r="F24" s="21"/>
      <c r="G24" s="16"/>
    </row>
    <row r="25" spans="1:12" ht="32.25" customHeight="1">
      <c r="A25" s="79">
        <v>1</v>
      </c>
      <c r="B25" s="5" t="s">
        <v>409</v>
      </c>
      <c r="C25" s="12" t="s">
        <v>36</v>
      </c>
      <c r="D25" s="20">
        <v>1</v>
      </c>
      <c r="E25" s="24">
        <v>1400</v>
      </c>
      <c r="F25" s="20">
        <f t="shared" ref="F25" si="4">D25*E25</f>
        <v>1400</v>
      </c>
      <c r="G25" s="29"/>
    </row>
    <row r="26" spans="1:12" ht="21" customHeight="1">
      <c r="A26" s="101"/>
      <c r="B26" s="2"/>
      <c r="C26" s="2"/>
      <c r="D26" s="21"/>
      <c r="E26" s="25" t="s">
        <v>9</v>
      </c>
      <c r="F26" s="23">
        <f>SUM(F25:F25)</f>
        <v>1400</v>
      </c>
      <c r="G26" s="16"/>
    </row>
    <row r="27" spans="1:12" ht="21" customHeight="1">
      <c r="A27" s="429" t="s">
        <v>413</v>
      </c>
      <c r="B27" s="430"/>
      <c r="C27" s="2"/>
      <c r="D27" s="21"/>
      <c r="E27" s="20"/>
      <c r="F27" s="21"/>
      <c r="G27" s="16"/>
    </row>
    <row r="28" spans="1:12" s="1" customFormat="1" ht="36" customHeight="1">
      <c r="A28" s="102">
        <v>1</v>
      </c>
      <c r="B28" s="9" t="s">
        <v>410</v>
      </c>
      <c r="C28" s="6" t="s">
        <v>354</v>
      </c>
      <c r="D28" s="20">
        <v>1</v>
      </c>
      <c r="E28" s="19">
        <f>已付款项!D100+已付款项!D101+已付款项!D102+已付款项!D103+已付款项!D104+已付款项!D105+已付款项!D106+已付款项!D107</f>
        <v>3065</v>
      </c>
      <c r="F28" s="19">
        <f t="shared" ref="F28" si="5">AVERAGE(D28*E28)</f>
        <v>3065</v>
      </c>
      <c r="G28" s="15"/>
    </row>
    <row r="29" spans="1:12" s="1" customFormat="1" ht="36" customHeight="1">
      <c r="A29" s="102">
        <v>2</v>
      </c>
      <c r="B29" s="9" t="s">
        <v>411</v>
      </c>
      <c r="C29" s="6" t="s">
        <v>36</v>
      </c>
      <c r="D29" s="20">
        <v>1</v>
      </c>
      <c r="E29" s="19">
        <v>4000</v>
      </c>
      <c r="F29" s="19">
        <f t="shared" ref="F29" si="6">AVERAGE(D29*E29)</f>
        <v>4000</v>
      </c>
      <c r="G29" s="15"/>
    </row>
    <row r="30" spans="1:12" ht="20.100000000000001" customHeight="1">
      <c r="A30" s="101"/>
      <c r="B30" s="2"/>
      <c r="C30" s="2"/>
      <c r="D30" s="21"/>
      <c r="E30" s="25" t="s">
        <v>9</v>
      </c>
      <c r="F30" s="23">
        <f>SUM(F28:F29)</f>
        <v>7065</v>
      </c>
      <c r="G30" s="16"/>
    </row>
    <row r="31" spans="1:12" ht="22.5" customHeight="1">
      <c r="A31" s="421" t="s">
        <v>414</v>
      </c>
      <c r="B31" s="422"/>
      <c r="C31" s="428">
        <f>F11+F19+F23+F26+F30</f>
        <v>26133.672672871602</v>
      </c>
      <c r="D31" s="428"/>
      <c r="E31" s="428"/>
      <c r="F31" s="428"/>
      <c r="G31" s="16"/>
    </row>
    <row r="32" spans="1:12" ht="32.25" customHeight="1">
      <c r="A32" s="431" t="s">
        <v>28</v>
      </c>
      <c r="B32" s="431"/>
      <c r="C32" s="431"/>
      <c r="D32" s="431"/>
      <c r="E32" s="431"/>
      <c r="F32" s="431"/>
      <c r="G32" s="431"/>
    </row>
    <row r="33" spans="1:13" s="46" customFormat="1" ht="30" customHeight="1">
      <c r="A33" s="101" t="s">
        <v>0</v>
      </c>
      <c r="B33" s="39" t="s">
        <v>1</v>
      </c>
      <c r="C33" s="39" t="s">
        <v>2</v>
      </c>
      <c r="D33" s="18" t="s">
        <v>3</v>
      </c>
      <c r="E33" s="18" t="s">
        <v>188</v>
      </c>
      <c r="F33" s="18" t="s">
        <v>5</v>
      </c>
      <c r="G33" s="13" t="s">
        <v>6</v>
      </c>
    </row>
    <row r="34" spans="1:13" s="75" customFormat="1" ht="29.25" customHeight="1">
      <c r="A34" s="79">
        <v>1</v>
      </c>
      <c r="B34" s="40" t="s">
        <v>32</v>
      </c>
      <c r="C34" s="74" t="s">
        <v>33</v>
      </c>
      <c r="D34" s="44">
        <f>57231784.1954/1000000</f>
        <v>57.231784195400003</v>
      </c>
      <c r="E34" s="44">
        <v>150</v>
      </c>
      <c r="F34" s="44">
        <f>D34*E34</f>
        <v>8584.7676293100012</v>
      </c>
      <c r="G34" s="45"/>
    </row>
    <row r="35" spans="1:13" s="75" customFormat="1" ht="29.25" customHeight="1">
      <c r="A35" s="79">
        <v>2</v>
      </c>
      <c r="B35" s="40" t="s">
        <v>96</v>
      </c>
      <c r="C35" s="74" t="s">
        <v>94</v>
      </c>
      <c r="D35" s="44">
        <v>1</v>
      </c>
      <c r="E35" s="44">
        <v>200</v>
      </c>
      <c r="F35" s="44">
        <f>D35*E35</f>
        <v>200</v>
      </c>
      <c r="G35" s="45"/>
    </row>
    <row r="36" spans="1:13" s="75" customFormat="1" ht="29.25" customHeight="1">
      <c r="A36" s="79">
        <v>3</v>
      </c>
      <c r="B36" s="40" t="s">
        <v>91</v>
      </c>
      <c r="C36" s="74" t="s">
        <v>30</v>
      </c>
      <c r="D36" s="44">
        <f>(12060-760+6030+6832.3549+2520+5125+2880-960+9480+4485-1570-1370)/1000</f>
        <v>44.7523549</v>
      </c>
      <c r="E36" s="44">
        <v>25</v>
      </c>
      <c r="F36" s="44">
        <f t="shared" ref="F36:F94" si="7">D36*E36</f>
        <v>1118.8088725</v>
      </c>
      <c r="G36" s="45"/>
      <c r="H36" s="44"/>
    </row>
    <row r="37" spans="1:13" s="75" customFormat="1" ht="24" customHeight="1">
      <c r="A37" s="79">
        <v>4</v>
      </c>
      <c r="B37" s="78" t="s">
        <v>92</v>
      </c>
      <c r="C37" s="41" t="s">
        <v>18</v>
      </c>
      <c r="D37" s="42">
        <f>(4485+2830+2545+1190*2+1900+2105+1780)/1000</f>
        <v>18.024999999999999</v>
      </c>
      <c r="E37" s="44">
        <v>25</v>
      </c>
      <c r="F37" s="44">
        <f t="shared" si="7"/>
        <v>450.62499999999994</v>
      </c>
      <c r="G37" s="45"/>
      <c r="K37" s="146"/>
      <c r="L37" s="145"/>
    </row>
    <row r="38" spans="1:13" s="60" customFormat="1" ht="29.25" customHeight="1">
      <c r="A38" s="79">
        <v>5</v>
      </c>
      <c r="B38" s="69" t="s">
        <v>440</v>
      </c>
      <c r="C38" s="186" t="s">
        <v>58</v>
      </c>
      <c r="D38" s="67">
        <v>1</v>
      </c>
      <c r="E38" s="67">
        <f>4500+1638-49-60</f>
        <v>6029</v>
      </c>
      <c r="F38" s="67">
        <f t="shared" si="7"/>
        <v>6029</v>
      </c>
      <c r="G38" s="68"/>
      <c r="K38" s="162"/>
      <c r="L38" s="163"/>
      <c r="M38" s="163"/>
    </row>
    <row r="39" spans="1:13" s="110" customFormat="1" ht="29.25" customHeight="1">
      <c r="A39" s="79">
        <v>6</v>
      </c>
      <c r="B39" s="69" t="s">
        <v>494</v>
      </c>
      <c r="C39" s="186" t="s">
        <v>333</v>
      </c>
      <c r="D39" s="67">
        <v>1</v>
      </c>
      <c r="E39" s="67">
        <v>400</v>
      </c>
      <c r="F39" s="67">
        <f t="shared" ref="F39" si="8">D39*E39</f>
        <v>400</v>
      </c>
      <c r="G39" s="68"/>
    </row>
    <row r="40" spans="1:13" s="110" customFormat="1" ht="29.25" customHeight="1">
      <c r="A40" s="79">
        <v>7</v>
      </c>
      <c r="B40" s="69" t="s">
        <v>431</v>
      </c>
      <c r="C40" s="186" t="s">
        <v>432</v>
      </c>
      <c r="D40" s="67">
        <v>1</v>
      </c>
      <c r="E40" s="67">
        <v>530</v>
      </c>
      <c r="F40" s="67">
        <f t="shared" ref="F40" si="9">D40*E40</f>
        <v>530</v>
      </c>
      <c r="G40" s="68"/>
    </row>
    <row r="41" spans="1:13" s="110" customFormat="1" ht="29.25" customHeight="1">
      <c r="A41" s="79">
        <v>8</v>
      </c>
      <c r="B41" s="69" t="s">
        <v>258</v>
      </c>
      <c r="C41" s="186" t="s">
        <v>259</v>
      </c>
      <c r="D41" s="67">
        <v>1</v>
      </c>
      <c r="E41" s="67">
        <v>57.8</v>
      </c>
      <c r="F41" s="67">
        <f t="shared" ref="F41" si="10">D41*E41</f>
        <v>57.8</v>
      </c>
      <c r="G41" s="68"/>
    </row>
    <row r="42" spans="1:13" s="46" customFormat="1" ht="29.25" customHeight="1">
      <c r="A42" s="79">
        <v>9</v>
      </c>
      <c r="B42" s="69" t="s">
        <v>202</v>
      </c>
      <c r="C42" s="252" t="s">
        <v>11</v>
      </c>
      <c r="D42" s="67">
        <f>(3517400+4937815.3571)/1000000</f>
        <v>8.4552153570999984</v>
      </c>
      <c r="E42" s="67">
        <f>F42/D42</f>
        <v>155.61401388731522</v>
      </c>
      <c r="F42" s="67">
        <f>1385-69.25</f>
        <v>1315.75</v>
      </c>
      <c r="G42" s="68" t="s">
        <v>228</v>
      </c>
    </row>
    <row r="43" spans="1:13" s="75" customFormat="1" ht="29.25" customHeight="1">
      <c r="A43" s="79">
        <v>10</v>
      </c>
      <c r="B43" s="69" t="s">
        <v>35</v>
      </c>
      <c r="C43" s="186" t="s">
        <v>34</v>
      </c>
      <c r="D43" s="67">
        <v>3</v>
      </c>
      <c r="E43" s="67">
        <v>1160</v>
      </c>
      <c r="F43" s="67">
        <f t="shared" si="7"/>
        <v>3480</v>
      </c>
      <c r="G43" s="68"/>
    </row>
    <row r="44" spans="1:13" s="75" customFormat="1" ht="29.25" customHeight="1">
      <c r="A44" s="79">
        <v>11</v>
      </c>
      <c r="B44" s="69" t="s">
        <v>495</v>
      </c>
      <c r="C44" s="186" t="s">
        <v>34</v>
      </c>
      <c r="D44" s="67">
        <v>1</v>
      </c>
      <c r="E44" s="67">
        <v>2580</v>
      </c>
      <c r="F44" s="67">
        <f t="shared" ref="F44:F55" si="11">D44*E44</f>
        <v>2580</v>
      </c>
      <c r="G44" s="68"/>
    </row>
    <row r="45" spans="1:13" s="75" customFormat="1" ht="29.25" customHeight="1">
      <c r="A45" s="79">
        <v>12</v>
      </c>
      <c r="B45" s="69" t="s">
        <v>496</v>
      </c>
      <c r="C45" s="186" t="s">
        <v>497</v>
      </c>
      <c r="D45" s="67">
        <v>1</v>
      </c>
      <c r="E45" s="67">
        <v>100</v>
      </c>
      <c r="F45" s="67">
        <f t="shared" ref="F45" si="12">D45*E45</f>
        <v>100</v>
      </c>
      <c r="G45" s="68"/>
    </row>
    <row r="46" spans="1:13" s="206" customFormat="1" ht="24" customHeight="1">
      <c r="A46" s="79">
        <v>13</v>
      </c>
      <c r="B46" s="220" t="s">
        <v>506</v>
      </c>
      <c r="C46" s="221" t="s">
        <v>8</v>
      </c>
      <c r="D46" s="222">
        <f>2.18*2+0.98</f>
        <v>5.34</v>
      </c>
      <c r="E46" s="222">
        <v>100</v>
      </c>
      <c r="F46" s="36">
        <f t="shared" si="11"/>
        <v>534</v>
      </c>
      <c r="G46" s="38"/>
    </row>
    <row r="47" spans="1:13" s="206" customFormat="1" ht="24" customHeight="1">
      <c r="A47" s="79">
        <v>14</v>
      </c>
      <c r="B47" s="220" t="s">
        <v>507</v>
      </c>
      <c r="C47" s="221" t="s">
        <v>8</v>
      </c>
      <c r="D47" s="222">
        <f>1.45*2+1.2</f>
        <v>4.0999999999999996</v>
      </c>
      <c r="E47" s="222">
        <v>100</v>
      </c>
      <c r="F47" s="36">
        <f t="shared" ref="F47" si="13">D47*E47</f>
        <v>409.99999999999994</v>
      </c>
      <c r="G47" s="38"/>
    </row>
    <row r="48" spans="1:13" s="206" customFormat="1" ht="27.75" customHeight="1">
      <c r="A48" s="79">
        <v>15</v>
      </c>
      <c r="B48" s="37" t="s">
        <v>37</v>
      </c>
      <c r="C48" s="221" t="s">
        <v>8</v>
      </c>
      <c r="D48" s="222">
        <f>2.35*2+2.25</f>
        <v>6.95</v>
      </c>
      <c r="E48" s="222">
        <v>130</v>
      </c>
      <c r="F48" s="36">
        <f t="shared" si="11"/>
        <v>903.5</v>
      </c>
      <c r="G48" s="37"/>
    </row>
    <row r="49" spans="1:11" s="75" customFormat="1" ht="29.25" customHeight="1">
      <c r="A49" s="79">
        <v>16</v>
      </c>
      <c r="B49" s="40" t="s">
        <v>314</v>
      </c>
      <c r="C49" s="74" t="s">
        <v>315</v>
      </c>
      <c r="D49" s="44">
        <v>1</v>
      </c>
      <c r="E49" s="44">
        <v>1500</v>
      </c>
      <c r="F49" s="44">
        <f t="shared" si="11"/>
        <v>1500</v>
      </c>
      <c r="G49" s="45" t="s">
        <v>316</v>
      </c>
    </row>
    <row r="50" spans="1:11" s="75" customFormat="1" ht="27.75" customHeight="1">
      <c r="A50" s="79">
        <v>17</v>
      </c>
      <c r="B50" s="61" t="s">
        <v>313</v>
      </c>
      <c r="C50" s="76" t="s">
        <v>7</v>
      </c>
      <c r="D50" s="77">
        <f>(1400)*2300/1000000</f>
        <v>3.22</v>
      </c>
      <c r="E50" s="77">
        <v>860</v>
      </c>
      <c r="F50" s="44">
        <f t="shared" si="11"/>
        <v>2769.2000000000003</v>
      </c>
      <c r="G50" s="61">
        <f>1.33*2.285*860</f>
        <v>2613.5830000000005</v>
      </c>
      <c r="H50" s="243">
        <f>SUM(F50:F52)</f>
        <v>7487.48</v>
      </c>
    </row>
    <row r="51" spans="1:11" s="75" customFormat="1" ht="24" customHeight="1">
      <c r="A51" s="79">
        <v>18</v>
      </c>
      <c r="B51" s="40" t="s">
        <v>312</v>
      </c>
      <c r="C51" s="76" t="s">
        <v>7</v>
      </c>
      <c r="D51" s="77">
        <f>1560*2050/1000000</f>
        <v>3.198</v>
      </c>
      <c r="E51" s="77">
        <v>860</v>
      </c>
      <c r="F51" s="44">
        <f t="shared" si="11"/>
        <v>2750.2799999999997</v>
      </c>
      <c r="G51" s="61">
        <f>1.52*2.025*860</f>
        <v>2647.08</v>
      </c>
      <c r="H51" s="75">
        <f>SUM(G50:G52)</f>
        <v>7198.2630000000008</v>
      </c>
    </row>
    <row r="52" spans="1:11" s="75" customFormat="1" ht="29.25" customHeight="1">
      <c r="A52" s="79">
        <v>19</v>
      </c>
      <c r="B52" s="40" t="s">
        <v>317</v>
      </c>
      <c r="C52" s="74" t="s">
        <v>178</v>
      </c>
      <c r="D52" s="44">
        <f>1.56+2.05*2+1.4+2.3*2+0.08*8</f>
        <v>12.3</v>
      </c>
      <c r="E52" s="44">
        <v>160</v>
      </c>
      <c r="F52" s="44">
        <f t="shared" si="11"/>
        <v>1968</v>
      </c>
      <c r="G52" s="61">
        <f>(1.33+2.285*2+1.52+2.025*2+0.08*8)*160</f>
        <v>1937.6</v>
      </c>
      <c r="H52" s="243">
        <f>H50-H51</f>
        <v>289.21699999999873</v>
      </c>
    </row>
    <row r="53" spans="1:11" ht="24" customHeight="1">
      <c r="A53" s="79">
        <v>20</v>
      </c>
      <c r="B53" s="64" t="s">
        <v>57</v>
      </c>
      <c r="C53" s="184" t="s">
        <v>7</v>
      </c>
      <c r="D53" s="185">
        <v>8.81</v>
      </c>
      <c r="E53" s="71">
        <v>528</v>
      </c>
      <c r="F53" s="67">
        <f t="shared" si="11"/>
        <v>4651.68</v>
      </c>
      <c r="G53" s="68" t="s">
        <v>60</v>
      </c>
      <c r="K53" s="43"/>
    </row>
    <row r="54" spans="1:11" s="110" customFormat="1" ht="24" customHeight="1">
      <c r="A54" s="79">
        <v>21</v>
      </c>
      <c r="B54" s="64" t="s">
        <v>310</v>
      </c>
      <c r="C54" s="65" t="s">
        <v>311</v>
      </c>
      <c r="D54" s="185">
        <v>4</v>
      </c>
      <c r="E54" s="71">
        <v>400</v>
      </c>
      <c r="F54" s="67">
        <f t="shared" si="11"/>
        <v>1600</v>
      </c>
      <c r="G54" s="68" t="s">
        <v>60</v>
      </c>
      <c r="K54" s="43"/>
    </row>
    <row r="55" spans="1:11" s="110" customFormat="1" ht="24" customHeight="1">
      <c r="A55" s="79">
        <v>22</v>
      </c>
      <c r="B55" s="64" t="s">
        <v>348</v>
      </c>
      <c r="C55" s="65" t="s">
        <v>17</v>
      </c>
      <c r="D55" s="185">
        <v>1</v>
      </c>
      <c r="E55" s="71">
        <v>1500</v>
      </c>
      <c r="F55" s="67">
        <f t="shared" si="11"/>
        <v>1500</v>
      </c>
      <c r="G55" s="68" t="s">
        <v>349</v>
      </c>
      <c r="K55" s="43"/>
    </row>
    <row r="56" spans="1:11" ht="23.25" customHeight="1">
      <c r="A56" s="79">
        <v>23</v>
      </c>
      <c r="B56" s="69" t="s">
        <v>22</v>
      </c>
      <c r="C56" s="72" t="s">
        <v>17</v>
      </c>
      <c r="D56" s="70">
        <v>1</v>
      </c>
      <c r="E56" s="71">
        <v>2000</v>
      </c>
      <c r="F56" s="67">
        <f>D56*E56</f>
        <v>2000</v>
      </c>
      <c r="G56" s="68" t="s">
        <v>51</v>
      </c>
    </row>
    <row r="57" spans="1:11" ht="24" customHeight="1">
      <c r="A57" s="79">
        <v>24</v>
      </c>
      <c r="B57" s="64" t="s">
        <v>55</v>
      </c>
      <c r="C57" s="72" t="s">
        <v>23</v>
      </c>
      <c r="D57" s="185">
        <v>1</v>
      </c>
      <c r="E57" s="71">
        <v>43257</v>
      </c>
      <c r="F57" s="67">
        <f t="shared" ref="F57:F58" si="14">D57*E57</f>
        <v>43257</v>
      </c>
      <c r="G57" s="68"/>
      <c r="H57">
        <f>(2703*2710+2830*2710+1730*2710+2105*2400+1900*2400+2545*2400+1190*2*2720+810*2*1200+1010*500+833*500+1960*600+2025*600)/1000000</f>
        <v>47.132829999999998</v>
      </c>
    </row>
    <row r="58" spans="1:11" ht="24" customHeight="1">
      <c r="A58" s="79">
        <v>25</v>
      </c>
      <c r="B58" s="61" t="s">
        <v>56</v>
      </c>
      <c r="C58" s="62" t="s">
        <v>23</v>
      </c>
      <c r="D58" s="63">
        <v>1</v>
      </c>
      <c r="E58" s="43">
        <v>13000</v>
      </c>
      <c r="F58" s="44">
        <f t="shared" si="14"/>
        <v>13000</v>
      </c>
      <c r="G58" s="45"/>
    </row>
    <row r="59" spans="1:11" s="110" customFormat="1" ht="23.25" customHeight="1">
      <c r="A59" s="79">
        <v>26</v>
      </c>
      <c r="B59" s="69" t="s">
        <v>20</v>
      </c>
      <c r="C59" s="72" t="s">
        <v>19</v>
      </c>
      <c r="D59" s="70">
        <v>5</v>
      </c>
      <c r="E59" s="71">
        <f>119/5</f>
        <v>23.8</v>
      </c>
      <c r="F59" s="67">
        <v>119</v>
      </c>
      <c r="G59" s="68" t="s">
        <v>110</v>
      </c>
    </row>
    <row r="60" spans="1:11" ht="23.25" customHeight="1">
      <c r="A60" s="79">
        <v>27</v>
      </c>
      <c r="B60" s="69" t="s">
        <v>415</v>
      </c>
      <c r="C60" s="72" t="s">
        <v>19</v>
      </c>
      <c r="D60" s="70">
        <v>2</v>
      </c>
      <c r="E60" s="71">
        <v>94</v>
      </c>
      <c r="F60" s="67">
        <f t="shared" ref="F60:F65" si="15">D60*E60</f>
        <v>188</v>
      </c>
      <c r="G60" s="68" t="s">
        <v>416</v>
      </c>
    </row>
    <row r="61" spans="1:11" ht="23.25" customHeight="1">
      <c r="A61" s="79">
        <v>28</v>
      </c>
      <c r="B61" s="69" t="s">
        <v>26</v>
      </c>
      <c r="C61" s="72" t="s">
        <v>25</v>
      </c>
      <c r="D61" s="70">
        <v>1</v>
      </c>
      <c r="E61" s="71">
        <f>1699*0.75</f>
        <v>1274.25</v>
      </c>
      <c r="F61" s="67">
        <f t="shared" si="15"/>
        <v>1274.25</v>
      </c>
      <c r="G61" s="68" t="s">
        <v>250</v>
      </c>
    </row>
    <row r="62" spans="1:11" ht="23.25" customHeight="1">
      <c r="A62" s="79">
        <v>29</v>
      </c>
      <c r="B62" s="69" t="s">
        <v>52</v>
      </c>
      <c r="C62" s="72" t="s">
        <v>19</v>
      </c>
      <c r="D62" s="70">
        <v>1</v>
      </c>
      <c r="E62" s="71">
        <f>699*0.75</f>
        <v>524.25</v>
      </c>
      <c r="F62" s="67">
        <f t="shared" si="15"/>
        <v>524.25</v>
      </c>
      <c r="G62" s="68" t="s">
        <v>251</v>
      </c>
    </row>
    <row r="63" spans="1:11" ht="24" customHeight="1">
      <c r="A63" s="79">
        <v>30</v>
      </c>
      <c r="B63" s="64" t="s">
        <v>31</v>
      </c>
      <c r="C63" s="65" t="s">
        <v>25</v>
      </c>
      <c r="D63" s="70">
        <v>1</v>
      </c>
      <c r="E63" s="71">
        <v>319</v>
      </c>
      <c r="F63" s="67">
        <f t="shared" si="15"/>
        <v>319</v>
      </c>
      <c r="G63" s="68" t="s">
        <v>260</v>
      </c>
    </row>
    <row r="64" spans="1:11" ht="24" customHeight="1">
      <c r="A64" s="79">
        <v>31</v>
      </c>
      <c r="B64" s="64" t="s">
        <v>29</v>
      </c>
      <c r="C64" s="65" t="s">
        <v>25</v>
      </c>
      <c r="D64" s="70">
        <v>1</v>
      </c>
      <c r="E64" s="71">
        <v>319</v>
      </c>
      <c r="F64" s="67">
        <f t="shared" si="15"/>
        <v>319</v>
      </c>
      <c r="G64" s="68" t="s">
        <v>260</v>
      </c>
    </row>
    <row r="65" spans="1:7" ht="24" customHeight="1">
      <c r="A65" s="79">
        <v>32</v>
      </c>
      <c r="B65" s="64" t="s">
        <v>38</v>
      </c>
      <c r="C65" s="65" t="s">
        <v>25</v>
      </c>
      <c r="D65" s="70">
        <v>1</v>
      </c>
      <c r="E65" s="71">
        <v>119</v>
      </c>
      <c r="F65" s="67">
        <f t="shared" si="15"/>
        <v>119</v>
      </c>
      <c r="G65" s="68" t="s">
        <v>297</v>
      </c>
    </row>
    <row r="66" spans="1:7" ht="27.75" customHeight="1">
      <c r="A66" s="79">
        <v>33</v>
      </c>
      <c r="B66" s="64" t="s">
        <v>191</v>
      </c>
      <c r="C66" s="65" t="s">
        <v>25</v>
      </c>
      <c r="D66" s="66">
        <v>3</v>
      </c>
      <c r="E66" s="66">
        <f>F66/3</f>
        <v>49.5</v>
      </c>
      <c r="F66" s="67">
        <v>148.5</v>
      </c>
      <c r="G66" s="68" t="s">
        <v>101</v>
      </c>
    </row>
    <row r="67" spans="1:7" s="60" customFormat="1" ht="27.75" customHeight="1">
      <c r="A67" s="79">
        <v>34</v>
      </c>
      <c r="B67" s="64" t="s">
        <v>192</v>
      </c>
      <c r="C67" s="65" t="s">
        <v>25</v>
      </c>
      <c r="D67" s="66">
        <v>1</v>
      </c>
      <c r="E67" s="66">
        <v>75</v>
      </c>
      <c r="F67" s="67">
        <f>E67*D67</f>
        <v>75</v>
      </c>
      <c r="G67" s="68" t="s">
        <v>249</v>
      </c>
    </row>
    <row r="68" spans="1:7" ht="21" customHeight="1">
      <c r="A68" s="79">
        <v>35</v>
      </c>
      <c r="B68" s="69" t="s">
        <v>268</v>
      </c>
      <c r="C68" s="65" t="s">
        <v>16</v>
      </c>
      <c r="D68" s="70">
        <v>1</v>
      </c>
      <c r="E68" s="71">
        <v>249</v>
      </c>
      <c r="F68" s="67">
        <f>D68*E68</f>
        <v>249</v>
      </c>
      <c r="G68" s="68" t="s">
        <v>269</v>
      </c>
    </row>
    <row r="69" spans="1:7" ht="29.25" customHeight="1">
      <c r="A69" s="79">
        <v>36</v>
      </c>
      <c r="B69" s="69" t="s">
        <v>39</v>
      </c>
      <c r="C69" s="65" t="s">
        <v>16</v>
      </c>
      <c r="D69" s="70">
        <v>1</v>
      </c>
      <c r="E69" s="71">
        <v>822</v>
      </c>
      <c r="F69" s="67">
        <f>D69*E69</f>
        <v>822</v>
      </c>
      <c r="G69" s="68" t="s">
        <v>248</v>
      </c>
    </row>
    <row r="70" spans="1:7" ht="24" customHeight="1">
      <c r="A70" s="79">
        <v>37</v>
      </c>
      <c r="B70" s="69" t="s">
        <v>290</v>
      </c>
      <c r="C70" s="65" t="s">
        <v>16</v>
      </c>
      <c r="D70" s="70">
        <v>1</v>
      </c>
      <c r="E70" s="71">
        <f>7372+100</f>
        <v>7472</v>
      </c>
      <c r="F70" s="67">
        <f t="shared" ref="F70:F76" si="16">D70*E70</f>
        <v>7472</v>
      </c>
      <c r="G70" s="68" t="s">
        <v>95</v>
      </c>
    </row>
    <row r="71" spans="1:7" ht="21" customHeight="1">
      <c r="A71" s="79">
        <v>38</v>
      </c>
      <c r="B71" s="69" t="s">
        <v>61</v>
      </c>
      <c r="C71" s="65" t="s">
        <v>21</v>
      </c>
      <c r="D71" s="70">
        <v>1</v>
      </c>
      <c r="E71" s="71">
        <f>966+170</f>
        <v>1136</v>
      </c>
      <c r="F71" s="67">
        <f t="shared" si="16"/>
        <v>1136</v>
      </c>
      <c r="G71" s="68" t="s">
        <v>461</v>
      </c>
    </row>
    <row r="72" spans="1:7" ht="27.75" customHeight="1">
      <c r="A72" s="79">
        <v>39</v>
      </c>
      <c r="B72" s="128" t="s">
        <v>27</v>
      </c>
      <c r="C72" s="65" t="s">
        <v>25</v>
      </c>
      <c r="D72" s="66">
        <v>1</v>
      </c>
      <c r="E72" s="66">
        <v>96</v>
      </c>
      <c r="F72" s="67">
        <f t="shared" si="16"/>
        <v>96</v>
      </c>
      <c r="G72" s="68"/>
    </row>
    <row r="73" spans="1:7" s="110" customFormat="1" ht="27.75" customHeight="1">
      <c r="A73" s="79">
        <v>40</v>
      </c>
      <c r="B73" s="128" t="s">
        <v>291</v>
      </c>
      <c r="C73" s="65" t="s">
        <v>292</v>
      </c>
      <c r="D73" s="66">
        <v>1</v>
      </c>
      <c r="E73" s="66">
        <f>58+16-50</f>
        <v>24</v>
      </c>
      <c r="F73" s="67">
        <f t="shared" ref="F73" si="17">D73*E73</f>
        <v>24</v>
      </c>
      <c r="G73" s="68" t="s">
        <v>293</v>
      </c>
    </row>
    <row r="74" spans="1:7" s="46" customFormat="1" ht="23.25" customHeight="1">
      <c r="A74" s="79">
        <v>41</v>
      </c>
      <c r="B74" s="69" t="s">
        <v>203</v>
      </c>
      <c r="C74" s="72" t="s">
        <v>206</v>
      </c>
      <c r="D74" s="70">
        <v>1</v>
      </c>
      <c r="E74" s="71">
        <v>199</v>
      </c>
      <c r="F74" s="67">
        <f t="shared" ref="F74" si="18">D74*E74</f>
        <v>199</v>
      </c>
      <c r="G74" s="68" t="s">
        <v>422</v>
      </c>
    </row>
    <row r="75" spans="1:7" s="46" customFormat="1" ht="23.25" customHeight="1">
      <c r="A75" s="79">
        <v>42</v>
      </c>
      <c r="B75" s="69" t="s">
        <v>205</v>
      </c>
      <c r="C75" s="72" t="s">
        <v>206</v>
      </c>
      <c r="D75" s="70">
        <v>1</v>
      </c>
      <c r="E75" s="71">
        <v>68</v>
      </c>
      <c r="F75" s="67">
        <f t="shared" ref="F75" si="19">D75*E75</f>
        <v>68</v>
      </c>
      <c r="G75" s="68" t="s">
        <v>207</v>
      </c>
    </row>
    <row r="76" spans="1:7" ht="23.25" customHeight="1">
      <c r="A76" s="79">
        <v>43</v>
      </c>
      <c r="B76" s="69" t="s">
        <v>204</v>
      </c>
      <c r="C76" s="72" t="s">
        <v>206</v>
      </c>
      <c r="D76" s="70">
        <v>1</v>
      </c>
      <c r="E76" s="71">
        <v>180</v>
      </c>
      <c r="F76" s="67">
        <f t="shared" si="16"/>
        <v>180</v>
      </c>
      <c r="G76" s="68" t="s">
        <v>208</v>
      </c>
    </row>
    <row r="77" spans="1:7" ht="23.25" customHeight="1">
      <c r="A77" s="79">
        <v>44</v>
      </c>
      <c r="B77" s="69" t="s">
        <v>48</v>
      </c>
      <c r="C77" s="65" t="s">
        <v>47</v>
      </c>
      <c r="D77" s="70">
        <v>1</v>
      </c>
      <c r="E77" s="71">
        <f>348.12+68*2+58</f>
        <v>542.12</v>
      </c>
      <c r="F77" s="67">
        <f>D77*E77</f>
        <v>542.12</v>
      </c>
      <c r="G77" s="68"/>
    </row>
    <row r="78" spans="1:7" ht="24" customHeight="1">
      <c r="A78" s="79">
        <v>45</v>
      </c>
      <c r="B78" s="69" t="s">
        <v>130</v>
      </c>
      <c r="C78" s="65" t="s">
        <v>16</v>
      </c>
      <c r="D78" s="70">
        <v>1</v>
      </c>
      <c r="E78" s="71">
        <f>2937-150</f>
        <v>2787</v>
      </c>
      <c r="F78" s="67">
        <f>D78*E78</f>
        <v>2787</v>
      </c>
      <c r="G78" s="68" t="s">
        <v>189</v>
      </c>
    </row>
    <row r="79" spans="1:7" ht="21" customHeight="1">
      <c r="A79" s="434" t="s">
        <v>54</v>
      </c>
      <c r="B79" s="435"/>
      <c r="C79" s="33"/>
      <c r="D79" s="34"/>
      <c r="E79" s="35"/>
      <c r="F79" s="36">
        <f>SUM(F34:F78)</f>
        <v>118351.53150180999</v>
      </c>
      <c r="G79" s="37"/>
    </row>
    <row r="80" spans="1:7" ht="40.5" customHeight="1">
      <c r="A80" s="436" t="s">
        <v>109</v>
      </c>
      <c r="B80" s="437"/>
      <c r="C80" s="437"/>
      <c r="D80" s="437"/>
      <c r="E80" s="437"/>
      <c r="F80" s="437"/>
      <c r="G80" s="438"/>
    </row>
    <row r="81" spans="1:8" s="46" customFormat="1" ht="30" customHeight="1">
      <c r="A81" s="101" t="s">
        <v>0</v>
      </c>
      <c r="B81" s="39" t="s">
        <v>1</v>
      </c>
      <c r="C81" s="39" t="s">
        <v>2</v>
      </c>
      <c r="D81" s="18" t="s">
        <v>187</v>
      </c>
      <c r="E81" s="18" t="s">
        <v>188</v>
      </c>
      <c r="F81" s="18" t="s">
        <v>5</v>
      </c>
      <c r="G81" s="13" t="s">
        <v>267</v>
      </c>
    </row>
    <row r="82" spans="1:8" ht="23.25" customHeight="1">
      <c r="A82" s="79">
        <v>1</v>
      </c>
      <c r="B82" s="69" t="s">
        <v>40</v>
      </c>
      <c r="C82" s="65" t="s">
        <v>41</v>
      </c>
      <c r="D82" s="70">
        <v>1</v>
      </c>
      <c r="E82" s="71">
        <v>4619</v>
      </c>
      <c r="F82" s="67">
        <f t="shared" si="7"/>
        <v>4619</v>
      </c>
      <c r="G82" s="68" t="s">
        <v>263</v>
      </c>
    </row>
    <row r="83" spans="1:8" s="110" customFormat="1" ht="23.25" customHeight="1">
      <c r="A83" s="79">
        <v>2</v>
      </c>
      <c r="B83" s="69" t="s">
        <v>261</v>
      </c>
      <c r="C83" s="65" t="s">
        <v>41</v>
      </c>
      <c r="D83" s="70">
        <v>1</v>
      </c>
      <c r="E83" s="71">
        <v>1099</v>
      </c>
      <c r="F83" s="67">
        <f t="shared" ref="F83" si="20">D83*E83</f>
        <v>1099</v>
      </c>
      <c r="G83" s="68" t="s">
        <v>262</v>
      </c>
    </row>
    <row r="84" spans="1:8" ht="23.25" customHeight="1">
      <c r="A84" s="79">
        <v>3</v>
      </c>
      <c r="B84" s="69" t="s">
        <v>42</v>
      </c>
      <c r="C84" s="65" t="s">
        <v>41</v>
      </c>
      <c r="D84" s="70">
        <v>1</v>
      </c>
      <c r="E84" s="71">
        <v>3099</v>
      </c>
      <c r="F84" s="67">
        <f t="shared" si="7"/>
        <v>3099</v>
      </c>
      <c r="G84" s="68" t="s">
        <v>324</v>
      </c>
    </row>
    <row r="85" spans="1:8" ht="23.25" customHeight="1">
      <c r="A85" s="79">
        <v>4</v>
      </c>
      <c r="B85" s="40" t="s">
        <v>59</v>
      </c>
      <c r="C85" s="41" t="s">
        <v>41</v>
      </c>
      <c r="D85" s="42">
        <v>1</v>
      </c>
      <c r="E85" s="43">
        <v>6949</v>
      </c>
      <c r="F85" s="44">
        <f t="shared" si="7"/>
        <v>6949</v>
      </c>
      <c r="G85" s="45" t="s">
        <v>193</v>
      </c>
    </row>
    <row r="86" spans="1:8" ht="23.25" customHeight="1">
      <c r="A86" s="79">
        <v>5</v>
      </c>
      <c r="B86" s="40" t="s">
        <v>50</v>
      </c>
      <c r="C86" s="41" t="s">
        <v>41</v>
      </c>
      <c r="D86" s="42">
        <v>3</v>
      </c>
      <c r="E86" s="43">
        <v>1999</v>
      </c>
      <c r="F86" s="44">
        <f t="shared" si="7"/>
        <v>5997</v>
      </c>
      <c r="G86" s="45" t="s">
        <v>49</v>
      </c>
    </row>
    <row r="87" spans="1:8" s="46" customFormat="1" ht="23.25" customHeight="1">
      <c r="A87" s="79">
        <v>6</v>
      </c>
      <c r="B87" s="40" t="s">
        <v>93</v>
      </c>
      <c r="C87" s="41" t="s">
        <v>94</v>
      </c>
      <c r="D87" s="42">
        <v>1</v>
      </c>
      <c r="E87" s="43">
        <v>300</v>
      </c>
      <c r="F87" s="44">
        <f t="shared" si="7"/>
        <v>300</v>
      </c>
      <c r="G87" s="45"/>
    </row>
    <row r="88" spans="1:8" ht="23.25" customHeight="1">
      <c r="A88" s="79">
        <v>7</v>
      </c>
      <c r="B88" s="69" t="s">
        <v>43</v>
      </c>
      <c r="C88" s="65" t="s">
        <v>21</v>
      </c>
      <c r="D88" s="70">
        <v>1</v>
      </c>
      <c r="E88" s="71">
        <v>5199</v>
      </c>
      <c r="F88" s="67">
        <f t="shared" ref="F88:F89" si="21">D88*E88</f>
        <v>5199</v>
      </c>
      <c r="G88" s="68" t="s">
        <v>99</v>
      </c>
    </row>
    <row r="89" spans="1:8" s="110" customFormat="1" ht="23.25" customHeight="1">
      <c r="A89" s="79">
        <v>9</v>
      </c>
      <c r="B89" s="69" t="s">
        <v>516</v>
      </c>
      <c r="C89" s="65" t="s">
        <v>41</v>
      </c>
      <c r="D89" s="70">
        <v>1</v>
      </c>
      <c r="E89" s="71">
        <v>25</v>
      </c>
      <c r="F89" s="67">
        <f t="shared" si="21"/>
        <v>25</v>
      </c>
      <c r="G89" s="68" t="s">
        <v>100</v>
      </c>
    </row>
    <row r="90" spans="1:8" ht="23.25" customHeight="1">
      <c r="A90" s="79">
        <v>8</v>
      </c>
      <c r="B90" s="69" t="s">
        <v>53</v>
      </c>
      <c r="C90" s="65" t="s">
        <v>41</v>
      </c>
      <c r="D90" s="70">
        <v>1</v>
      </c>
      <c r="E90" s="71">
        <v>1578</v>
      </c>
      <c r="F90" s="67">
        <f t="shared" si="7"/>
        <v>1578</v>
      </c>
      <c r="G90" s="68" t="s">
        <v>252</v>
      </c>
    </row>
    <row r="91" spans="1:8" s="46" customFormat="1" ht="23.25" customHeight="1">
      <c r="A91" s="79">
        <v>9</v>
      </c>
      <c r="B91" s="69" t="s">
        <v>147</v>
      </c>
      <c r="C91" s="65" t="s">
        <v>41</v>
      </c>
      <c r="D91" s="70">
        <v>1</v>
      </c>
      <c r="E91" s="71">
        <v>70</v>
      </c>
      <c r="F91" s="67">
        <f t="shared" ref="F91" si="22">D91*E91</f>
        <v>70</v>
      </c>
      <c r="G91" s="68" t="s">
        <v>100</v>
      </c>
    </row>
    <row r="92" spans="1:8" s="46" customFormat="1" ht="23.25" customHeight="1">
      <c r="A92" s="79">
        <v>10</v>
      </c>
      <c r="B92" s="69" t="s">
        <v>131</v>
      </c>
      <c r="C92" s="65" t="s">
        <v>16</v>
      </c>
      <c r="D92" s="70">
        <v>1</v>
      </c>
      <c r="E92" s="71">
        <f>14690-1120</f>
        <v>13570</v>
      </c>
      <c r="F92" s="67">
        <f t="shared" ref="F92" si="23">D92*E92</f>
        <v>13570</v>
      </c>
      <c r="G92" s="68" t="s">
        <v>132</v>
      </c>
    </row>
    <row r="93" spans="1:8" ht="23.25" customHeight="1">
      <c r="A93" s="79">
        <v>11</v>
      </c>
      <c r="B93" s="69" t="s">
        <v>141</v>
      </c>
      <c r="C93" s="65" t="s">
        <v>41</v>
      </c>
      <c r="D93" s="70">
        <v>1</v>
      </c>
      <c r="E93" s="71">
        <v>4650</v>
      </c>
      <c r="F93" s="67">
        <f>D93*E93</f>
        <v>4650</v>
      </c>
      <c r="G93" s="68" t="s">
        <v>142</v>
      </c>
    </row>
    <row r="94" spans="1:8" ht="23.25" customHeight="1">
      <c r="A94" s="79">
        <v>12</v>
      </c>
      <c r="B94" s="5" t="s">
        <v>45</v>
      </c>
      <c r="C94" s="10" t="s">
        <v>41</v>
      </c>
      <c r="D94" s="20">
        <v>1</v>
      </c>
      <c r="E94" s="24">
        <v>280</v>
      </c>
      <c r="F94" s="26">
        <f t="shared" si="7"/>
        <v>280</v>
      </c>
      <c r="G94" s="30" t="s">
        <v>44</v>
      </c>
    </row>
    <row r="95" spans="1:8" s="73" customFormat="1" ht="23.25" customHeight="1">
      <c r="A95" s="79">
        <v>13</v>
      </c>
      <c r="B95" s="40" t="s">
        <v>144</v>
      </c>
      <c r="C95" s="62" t="s">
        <v>145</v>
      </c>
      <c r="D95" s="63">
        <v>1</v>
      </c>
      <c r="E95" s="80">
        <v>2500</v>
      </c>
      <c r="F95" s="44">
        <f t="shared" ref="F95" si="24">D95*E95</f>
        <v>2500</v>
      </c>
      <c r="G95" s="45" t="s">
        <v>146</v>
      </c>
      <c r="H95" s="73">
        <f>((1935+2345+2025+2520+1960)/1000)*2.3*83</f>
        <v>2058.8564999999999</v>
      </c>
    </row>
    <row r="96" spans="1:8" ht="23.25" customHeight="1">
      <c r="A96" s="439" t="s">
        <v>54</v>
      </c>
      <c r="B96" s="435"/>
      <c r="C96" s="33"/>
      <c r="D96" s="34"/>
      <c r="E96" s="35"/>
      <c r="F96" s="36">
        <f>SUM(F82:F95)</f>
        <v>49935</v>
      </c>
      <c r="G96" s="38"/>
    </row>
    <row r="97" spans="1:9" ht="22.5" customHeight="1">
      <c r="A97" s="7" t="s">
        <v>12</v>
      </c>
      <c r="B97" s="8" t="s">
        <v>114</v>
      </c>
      <c r="C97" s="432">
        <f>C31+F79+F96</f>
        <v>194420.2041746816</v>
      </c>
      <c r="D97" s="432"/>
      <c r="E97" s="432"/>
      <c r="F97" s="432"/>
      <c r="G97" s="16"/>
      <c r="I97" s="110" t="s">
        <v>610</v>
      </c>
    </row>
    <row r="98" spans="1:9" ht="22.5" customHeight="1">
      <c r="A98" s="7" t="s">
        <v>13</v>
      </c>
      <c r="B98" s="8" t="s">
        <v>115</v>
      </c>
      <c r="C98" s="432">
        <v>0</v>
      </c>
      <c r="D98" s="432"/>
      <c r="E98" s="432"/>
      <c r="F98" s="432"/>
      <c r="G98" s="16"/>
    </row>
    <row r="99" spans="1:9" ht="22.5" customHeight="1">
      <c r="A99" s="7" t="s">
        <v>14</v>
      </c>
      <c r="B99" s="8" t="s">
        <v>116</v>
      </c>
      <c r="C99" s="433">
        <v>0</v>
      </c>
      <c r="D99" s="433"/>
      <c r="E99" s="433"/>
      <c r="F99" s="433"/>
      <c r="G99" s="16"/>
    </row>
    <row r="100" spans="1:9" ht="22.5" customHeight="1">
      <c r="A100" s="7" t="s">
        <v>15</v>
      </c>
      <c r="B100" s="8" t="s">
        <v>117</v>
      </c>
      <c r="C100" s="433">
        <f>C97+C98+C99</f>
        <v>194420.2041746816</v>
      </c>
      <c r="D100" s="433"/>
      <c r="E100" s="433"/>
      <c r="F100" s="433"/>
      <c r="G100" s="16"/>
      <c r="H100" s="155"/>
    </row>
  </sheetData>
  <mergeCells count="16">
    <mergeCell ref="A32:G32"/>
    <mergeCell ref="C97:F97"/>
    <mergeCell ref="C98:F98"/>
    <mergeCell ref="C99:F99"/>
    <mergeCell ref="C100:F100"/>
    <mergeCell ref="A79:B79"/>
    <mergeCell ref="A80:G80"/>
    <mergeCell ref="A96:B96"/>
    <mergeCell ref="A24:B24"/>
    <mergeCell ref="A31:B31"/>
    <mergeCell ref="A1:G1"/>
    <mergeCell ref="A3:B3"/>
    <mergeCell ref="A20:B20"/>
    <mergeCell ref="A12:B12"/>
    <mergeCell ref="C31:F31"/>
    <mergeCell ref="A27:B27"/>
  </mergeCells>
  <phoneticPr fontId="12" type="noConversion"/>
  <printOptions horizontalCentered="1"/>
  <pageMargins left="0.39370078740157483" right="0.39370078740157483" top="0.59055118110236227" bottom="0.59055118110236227" header="0.51181102362204722" footer="0.39370078740157483"/>
  <pageSetup paperSize="9" scale="63" orientation="landscape" r:id="rId1"/>
  <headerFooter>
    <oddFooter>第 &amp;P 页，共 &amp;N 页</oddFooter>
  </headerFooter>
  <rowBreaks count="2" manualBreakCount="2">
    <brk id="31" max="16383" man="1"/>
    <brk id="58" max="6" man="1"/>
  </rowBreaks>
</worksheet>
</file>

<file path=xl/worksheets/sheet4.xml><?xml version="1.0" encoding="utf-8"?>
<worksheet xmlns="http://schemas.openxmlformats.org/spreadsheetml/2006/main" xmlns:r="http://schemas.openxmlformats.org/officeDocument/2006/relationships">
  <sheetPr codeName="Sheet2"/>
  <dimension ref="A1:N24"/>
  <sheetViews>
    <sheetView zoomScaleSheetLayoutView="100" workbookViewId="0">
      <selection activeCell="L3" sqref="L3"/>
    </sheetView>
  </sheetViews>
  <sheetFormatPr defaultColWidth="9" defaultRowHeight="14.25"/>
  <cols>
    <col min="1" max="1" width="13.125" style="31" customWidth="1"/>
    <col min="2" max="8" width="6.625" style="56" customWidth="1"/>
    <col min="9" max="12" width="8.625" style="56" customWidth="1"/>
  </cols>
  <sheetData>
    <row r="1" spans="1:14" s="46" customFormat="1" ht="28.5" customHeight="1">
      <c r="A1" s="442" t="s">
        <v>90</v>
      </c>
      <c r="B1" s="442"/>
      <c r="C1" s="442"/>
      <c r="D1" s="442"/>
      <c r="E1" s="442"/>
      <c r="F1" s="442"/>
      <c r="G1" s="442"/>
      <c r="H1" s="442"/>
      <c r="I1" s="442"/>
      <c r="J1" s="442"/>
      <c r="K1" s="442"/>
      <c r="L1" s="442"/>
    </row>
    <row r="2" spans="1:14" ht="24" customHeight="1">
      <c r="A2" s="32"/>
      <c r="B2" s="100" t="s">
        <v>62</v>
      </c>
      <c r="C2" s="100" t="s">
        <v>63</v>
      </c>
      <c r="D2" s="100" t="s">
        <v>64</v>
      </c>
      <c r="E2" s="100" t="s">
        <v>65</v>
      </c>
      <c r="F2" s="100" t="s">
        <v>66</v>
      </c>
      <c r="G2" s="100" t="s">
        <v>67</v>
      </c>
      <c r="H2" s="100" t="s">
        <v>68</v>
      </c>
      <c r="I2" s="100" t="s">
        <v>69</v>
      </c>
      <c r="J2" s="100" t="s">
        <v>70</v>
      </c>
      <c r="K2" s="100" t="s">
        <v>71</v>
      </c>
      <c r="L2" s="108" t="s">
        <v>72</v>
      </c>
      <c r="M2" s="46"/>
      <c r="N2" s="46"/>
    </row>
    <row r="3" spans="1:14" ht="24" customHeight="1">
      <c r="A3" s="99" t="s">
        <v>185</v>
      </c>
      <c r="B3" s="239">
        <v>7</v>
      </c>
      <c r="C3" s="239">
        <v>8</v>
      </c>
      <c r="D3" s="239">
        <v>8</v>
      </c>
      <c r="E3" s="239">
        <v>9</v>
      </c>
      <c r="F3" s="239">
        <v>5</v>
      </c>
      <c r="G3" s="239">
        <v>2</v>
      </c>
      <c r="H3" s="239">
        <v>12</v>
      </c>
      <c r="I3" s="239">
        <v>2</v>
      </c>
      <c r="J3" s="239">
        <v>2</v>
      </c>
      <c r="K3" s="239">
        <v>1</v>
      </c>
      <c r="L3" s="108">
        <v>56</v>
      </c>
      <c r="M3" s="49"/>
      <c r="N3" s="46"/>
    </row>
    <row r="4" spans="1:14" ht="24" customHeight="1">
      <c r="A4" s="32" t="s">
        <v>73</v>
      </c>
      <c r="B4" s="100">
        <v>1</v>
      </c>
      <c r="C4" s="100">
        <v>1</v>
      </c>
      <c r="D4" s="100">
        <v>1</v>
      </c>
      <c r="E4" s="100">
        <v>2</v>
      </c>
      <c r="F4" s="100">
        <v>0</v>
      </c>
      <c r="G4" s="100">
        <v>0</v>
      </c>
      <c r="H4" s="100">
        <v>0</v>
      </c>
      <c r="I4" s="100">
        <v>0</v>
      </c>
      <c r="J4" s="100">
        <v>0</v>
      </c>
      <c r="K4" s="100">
        <v>0</v>
      </c>
      <c r="L4" s="107">
        <v>5</v>
      </c>
      <c r="M4" s="46"/>
      <c r="N4" s="46"/>
    </row>
    <row r="5" spans="1:14" ht="24" customHeight="1">
      <c r="A5" s="32" t="s">
        <v>74</v>
      </c>
      <c r="B5" s="100">
        <v>0</v>
      </c>
      <c r="C5" s="100">
        <v>0</v>
      </c>
      <c r="D5" s="100">
        <v>0</v>
      </c>
      <c r="E5" s="100">
        <v>1</v>
      </c>
      <c r="F5" s="100">
        <v>0</v>
      </c>
      <c r="G5" s="100">
        <v>0</v>
      </c>
      <c r="H5" s="100">
        <v>0</v>
      </c>
      <c r="I5" s="100">
        <v>0</v>
      </c>
      <c r="J5" s="100">
        <v>0</v>
      </c>
      <c r="K5" s="100">
        <v>0</v>
      </c>
      <c r="L5" s="107">
        <v>1</v>
      </c>
      <c r="M5" s="46"/>
      <c r="N5" s="46"/>
    </row>
    <row r="6" spans="1:14" ht="24" customHeight="1">
      <c r="A6" s="32" t="s">
        <v>75</v>
      </c>
      <c r="B6" s="100">
        <v>0</v>
      </c>
      <c r="C6" s="100">
        <v>0</v>
      </c>
      <c r="D6" s="100">
        <v>0</v>
      </c>
      <c r="E6" s="100">
        <v>1</v>
      </c>
      <c r="F6" s="100">
        <v>0</v>
      </c>
      <c r="G6" s="100">
        <v>0</v>
      </c>
      <c r="H6" s="100">
        <v>0</v>
      </c>
      <c r="I6" s="100">
        <v>0</v>
      </c>
      <c r="J6" s="100">
        <v>0</v>
      </c>
      <c r="K6" s="100">
        <v>0</v>
      </c>
      <c r="L6" s="107">
        <v>1</v>
      </c>
      <c r="M6" s="46"/>
      <c r="N6" s="46"/>
    </row>
    <row r="7" spans="1:14" ht="24" customHeight="1">
      <c r="A7" s="99" t="s">
        <v>76</v>
      </c>
      <c r="B7" s="100">
        <v>0</v>
      </c>
      <c r="C7" s="100">
        <v>0</v>
      </c>
      <c r="D7" s="100">
        <v>0</v>
      </c>
      <c r="E7" s="100">
        <v>0</v>
      </c>
      <c r="F7" s="100">
        <v>0</v>
      </c>
      <c r="G7" s="100">
        <v>0</v>
      </c>
      <c r="H7" s="100">
        <v>1</v>
      </c>
      <c r="I7" s="100">
        <v>1</v>
      </c>
      <c r="J7" s="100">
        <v>1</v>
      </c>
      <c r="K7" s="100">
        <v>1</v>
      </c>
      <c r="L7" s="107">
        <v>4</v>
      </c>
      <c r="M7" s="46"/>
      <c r="N7" s="46"/>
    </row>
    <row r="8" spans="1:14" ht="24" customHeight="1">
      <c r="A8" s="99" t="s">
        <v>77</v>
      </c>
      <c r="B8" s="100">
        <v>0</v>
      </c>
      <c r="C8" s="100">
        <v>0</v>
      </c>
      <c r="D8" s="100">
        <v>0</v>
      </c>
      <c r="E8" s="100">
        <v>0</v>
      </c>
      <c r="F8" s="100">
        <v>0</v>
      </c>
      <c r="G8" s="100">
        <v>1</v>
      </c>
      <c r="H8" s="100">
        <v>0</v>
      </c>
      <c r="I8" s="100">
        <v>0</v>
      </c>
      <c r="J8" s="100">
        <v>0</v>
      </c>
      <c r="K8" s="100">
        <v>0</v>
      </c>
      <c r="L8" s="107">
        <v>1</v>
      </c>
      <c r="M8" s="46"/>
      <c r="N8" s="46"/>
    </row>
    <row r="9" spans="1:14" ht="24" customHeight="1">
      <c r="A9" s="99" t="s">
        <v>78</v>
      </c>
      <c r="B9" s="100">
        <v>0</v>
      </c>
      <c r="C9" s="100">
        <v>0</v>
      </c>
      <c r="D9" s="100">
        <v>0</v>
      </c>
      <c r="E9" s="100">
        <v>0</v>
      </c>
      <c r="F9" s="100">
        <v>0</v>
      </c>
      <c r="G9" s="100">
        <v>1</v>
      </c>
      <c r="H9" s="100">
        <v>0</v>
      </c>
      <c r="I9" s="100">
        <v>1</v>
      </c>
      <c r="J9" s="100">
        <v>0</v>
      </c>
      <c r="K9" s="100">
        <v>0</v>
      </c>
      <c r="L9" s="107">
        <v>1</v>
      </c>
      <c r="M9" s="46"/>
      <c r="N9" s="46"/>
    </row>
    <row r="10" spans="1:14" s="46" customFormat="1" ht="24" customHeight="1">
      <c r="A10" s="99" t="s">
        <v>184</v>
      </c>
      <c r="B10" s="109">
        <v>0</v>
      </c>
      <c r="C10" s="109">
        <v>0</v>
      </c>
      <c r="D10" s="109">
        <v>0</v>
      </c>
      <c r="E10" s="109">
        <v>0</v>
      </c>
      <c r="F10" s="109">
        <v>0</v>
      </c>
      <c r="G10" s="109">
        <v>0</v>
      </c>
      <c r="H10" s="109">
        <v>0</v>
      </c>
      <c r="I10" s="109">
        <v>1</v>
      </c>
      <c r="J10" s="109">
        <v>0</v>
      </c>
      <c r="K10" s="109">
        <v>0</v>
      </c>
      <c r="L10" s="108">
        <v>87</v>
      </c>
      <c r="M10" s="52"/>
      <c r="N10" s="52"/>
    </row>
    <row r="11" spans="1:14" s="46" customFormat="1" ht="24" customHeight="1">
      <c r="A11" s="99" t="s">
        <v>186</v>
      </c>
      <c r="B11" s="109">
        <v>0</v>
      </c>
      <c r="C11" s="109">
        <v>0</v>
      </c>
      <c r="D11" s="109">
        <v>0</v>
      </c>
      <c r="E11" s="109">
        <v>0</v>
      </c>
      <c r="F11" s="109">
        <v>0</v>
      </c>
      <c r="G11" s="109">
        <v>0</v>
      </c>
      <c r="H11" s="109">
        <v>0</v>
      </c>
      <c r="I11" s="109">
        <v>1</v>
      </c>
      <c r="J11" s="109">
        <v>0</v>
      </c>
      <c r="K11" s="109">
        <v>0</v>
      </c>
      <c r="L11" s="108">
        <f>H11+I11+J11</f>
        <v>1</v>
      </c>
      <c r="M11" s="52"/>
      <c r="N11" s="52"/>
    </row>
    <row r="12" spans="1:14" s="49" customFormat="1" ht="24" customHeight="1">
      <c r="A12" s="99" t="s">
        <v>79</v>
      </c>
      <c r="B12" s="109">
        <v>1</v>
      </c>
      <c r="C12" s="109">
        <v>1</v>
      </c>
      <c r="D12" s="109">
        <v>1</v>
      </c>
      <c r="E12" s="109">
        <v>1</v>
      </c>
      <c r="F12" s="109">
        <v>0</v>
      </c>
      <c r="G12" s="109">
        <v>0</v>
      </c>
      <c r="H12" s="109">
        <v>0</v>
      </c>
      <c r="I12" s="109">
        <v>0</v>
      </c>
      <c r="J12" s="109">
        <v>0</v>
      </c>
      <c r="K12" s="109">
        <v>0</v>
      </c>
      <c r="L12" s="108">
        <v>4</v>
      </c>
      <c r="M12" s="156"/>
      <c r="N12" s="156"/>
    </row>
    <row r="13" spans="1:14" s="49" customFormat="1" ht="24" customHeight="1">
      <c r="A13" s="99" t="s">
        <v>80</v>
      </c>
      <c r="B13" s="109">
        <v>0</v>
      </c>
      <c r="C13" s="109">
        <v>0</v>
      </c>
      <c r="D13" s="109">
        <v>0</v>
      </c>
      <c r="E13" s="109">
        <v>0</v>
      </c>
      <c r="F13" s="109">
        <v>0</v>
      </c>
      <c r="G13" s="109">
        <v>0</v>
      </c>
      <c r="H13" s="109">
        <v>1</v>
      </c>
      <c r="I13" s="109">
        <v>0</v>
      </c>
      <c r="J13" s="109">
        <v>0</v>
      </c>
      <c r="K13" s="109">
        <v>0</v>
      </c>
      <c r="L13" s="108">
        <v>1</v>
      </c>
      <c r="M13" s="156"/>
      <c r="N13" s="156"/>
    </row>
    <row r="14" spans="1:14" s="49" customFormat="1" ht="24" customHeight="1">
      <c r="A14" s="99" t="s">
        <v>81</v>
      </c>
      <c r="B14" s="109">
        <v>0</v>
      </c>
      <c r="C14" s="109">
        <v>0</v>
      </c>
      <c r="D14" s="109">
        <v>0</v>
      </c>
      <c r="E14" s="109">
        <v>0</v>
      </c>
      <c r="F14" s="109">
        <v>0</v>
      </c>
      <c r="G14" s="109">
        <v>0</v>
      </c>
      <c r="H14" s="109">
        <v>1</v>
      </c>
      <c r="I14" s="109">
        <v>0</v>
      </c>
      <c r="J14" s="109">
        <v>0</v>
      </c>
      <c r="K14" s="109">
        <v>0</v>
      </c>
      <c r="L14" s="108">
        <v>1</v>
      </c>
      <c r="M14" s="156"/>
      <c r="N14" s="156"/>
    </row>
    <row r="15" spans="1:14" s="49" customFormat="1" ht="24" customHeight="1">
      <c r="A15" s="99" t="s">
        <v>82</v>
      </c>
      <c r="B15" s="109">
        <v>2</v>
      </c>
      <c r="C15" s="109">
        <v>2</v>
      </c>
      <c r="D15" s="109">
        <v>2</v>
      </c>
      <c r="E15" s="109">
        <v>1</v>
      </c>
      <c r="F15" s="109">
        <v>1</v>
      </c>
      <c r="G15" s="109">
        <v>1</v>
      </c>
      <c r="H15" s="109">
        <v>0</v>
      </c>
      <c r="I15" s="109">
        <v>0</v>
      </c>
      <c r="J15" s="109">
        <v>0</v>
      </c>
      <c r="K15" s="109">
        <v>0</v>
      </c>
      <c r="L15" s="108">
        <v>9</v>
      </c>
      <c r="M15" s="156"/>
      <c r="N15" s="156"/>
    </row>
    <row r="16" spans="1:14" ht="24" customHeight="1">
      <c r="A16" s="53" t="s">
        <v>83</v>
      </c>
      <c r="B16" s="58"/>
      <c r="C16" s="58"/>
      <c r="D16" s="58"/>
      <c r="E16" s="58"/>
      <c r="F16" s="58"/>
      <c r="G16" s="58"/>
      <c r="H16" s="58"/>
      <c r="I16" s="58"/>
      <c r="J16" s="58"/>
      <c r="K16" s="58"/>
      <c r="L16" s="58"/>
      <c r="M16" s="54"/>
      <c r="N16" s="54"/>
    </row>
    <row r="17" spans="1:14" ht="51" customHeight="1">
      <c r="A17" s="48" t="s">
        <v>89</v>
      </c>
      <c r="B17" s="440"/>
      <c r="C17" s="441"/>
      <c r="D17" s="441"/>
      <c r="E17" s="441"/>
      <c r="F17" s="441"/>
      <c r="G17" s="441"/>
      <c r="H17" s="441"/>
      <c r="I17" s="441"/>
      <c r="J17" s="441"/>
      <c r="K17" s="441"/>
      <c r="L17" s="441"/>
      <c r="M17" s="46"/>
      <c r="N17" s="46"/>
    </row>
    <row r="18" spans="1:14" ht="27.75" customHeight="1">
      <c r="A18" s="57"/>
      <c r="B18" s="59"/>
      <c r="C18" s="59"/>
      <c r="D18" s="59"/>
      <c r="E18" s="59"/>
      <c r="F18" s="59"/>
      <c r="G18" s="59"/>
      <c r="H18" s="59"/>
      <c r="I18" s="59"/>
      <c r="J18" s="59"/>
      <c r="K18" s="59"/>
      <c r="L18" s="59"/>
    </row>
    <row r="19" spans="1:14" ht="27.75" customHeight="1">
      <c r="A19" s="57"/>
      <c r="B19" s="59"/>
      <c r="C19" s="59"/>
      <c r="D19" s="59"/>
      <c r="E19" s="59"/>
      <c r="F19" s="59"/>
      <c r="G19" s="59"/>
      <c r="H19" s="59"/>
      <c r="I19" s="59"/>
      <c r="J19" s="59"/>
      <c r="K19" s="59"/>
      <c r="L19" s="59"/>
    </row>
    <row r="20" spans="1:14" ht="27.75" customHeight="1">
      <c r="A20" s="57"/>
      <c r="B20" s="59"/>
      <c r="C20" s="59"/>
      <c r="D20" s="59"/>
      <c r="E20" s="59"/>
      <c r="F20" s="59"/>
      <c r="G20" s="59"/>
      <c r="H20" s="59"/>
      <c r="I20" s="59"/>
      <c r="J20" s="59"/>
      <c r="K20" s="59"/>
      <c r="L20" s="59"/>
    </row>
    <row r="21" spans="1:14" ht="27.75" customHeight="1">
      <c r="A21" s="57"/>
      <c r="B21" s="59"/>
      <c r="C21" s="59"/>
      <c r="D21" s="59"/>
      <c r="E21" s="59"/>
      <c r="F21" s="59"/>
      <c r="G21" s="59"/>
      <c r="H21" s="59"/>
      <c r="I21" s="59"/>
      <c r="J21" s="59"/>
      <c r="K21" s="59"/>
      <c r="L21" s="59"/>
    </row>
    <row r="22" spans="1:14" ht="27.75" customHeight="1">
      <c r="A22" s="57"/>
      <c r="B22" s="59"/>
      <c r="C22" s="59"/>
      <c r="D22" s="59"/>
      <c r="E22" s="59"/>
      <c r="F22" s="59"/>
      <c r="G22" s="59"/>
      <c r="H22" s="59"/>
      <c r="I22" s="59"/>
      <c r="J22" s="59"/>
      <c r="K22" s="59"/>
      <c r="L22" s="59"/>
    </row>
    <row r="23" spans="1:14" ht="27.75" customHeight="1">
      <c r="A23" s="57"/>
      <c r="B23" s="59"/>
      <c r="C23" s="59"/>
      <c r="D23" s="59"/>
      <c r="E23" s="59"/>
      <c r="F23" s="59"/>
      <c r="G23" s="59"/>
      <c r="H23" s="59"/>
      <c r="I23" s="59"/>
      <c r="J23" s="59"/>
      <c r="K23" s="59"/>
      <c r="L23" s="59"/>
    </row>
    <row r="24" spans="1:14" ht="27.75" customHeight="1"/>
  </sheetData>
  <mergeCells count="2">
    <mergeCell ref="B17:L17"/>
    <mergeCell ref="A1:L1"/>
  </mergeCells>
  <phoneticPr fontId="12" type="noConversion"/>
  <pageMargins left="0.39370078740157483" right="0.39370078740157483" top="0.39370078740157483" bottom="0.39370078740157483" header="0.51181102362204722" footer="0.51181102362204722"/>
  <pageSetup paperSize="9" orientation="landscape" r:id="rId1"/>
</worksheet>
</file>

<file path=xl/worksheets/sheet5.xml><?xml version="1.0" encoding="utf-8"?>
<worksheet xmlns="http://schemas.openxmlformats.org/spreadsheetml/2006/main" xmlns:r="http://schemas.openxmlformats.org/officeDocument/2006/relationships">
  <dimension ref="A1:D72"/>
  <sheetViews>
    <sheetView workbookViewId="0">
      <selection activeCell="G70" sqref="G70"/>
    </sheetView>
  </sheetViews>
  <sheetFormatPr defaultRowHeight="14.25"/>
  <cols>
    <col min="1" max="1" width="5.375" style="171" customWidth="1"/>
    <col min="2" max="2" width="35.25" style="175" customWidth="1"/>
    <col min="3" max="3" width="19.75" style="173" customWidth="1"/>
    <col min="4" max="4" width="35.125" style="172" customWidth="1"/>
  </cols>
  <sheetData>
    <row r="1" spans="1:4" s="46" customFormat="1" ht="37.5" customHeight="1">
      <c r="A1" s="443" t="s">
        <v>375</v>
      </c>
      <c r="B1" s="443"/>
      <c r="C1" s="443"/>
      <c r="D1" s="443"/>
    </row>
    <row r="2" spans="1:4" s="180" customFormat="1" ht="28.5" customHeight="1">
      <c r="A2" s="176" t="s">
        <v>436</v>
      </c>
      <c r="B2" s="177" t="s">
        <v>377</v>
      </c>
      <c r="C2" s="178" t="s">
        <v>437</v>
      </c>
      <c r="D2" s="179" t="s">
        <v>438</v>
      </c>
    </row>
    <row r="3" spans="1:4" ht="24" customHeight="1">
      <c r="A3" s="83">
        <v>1</v>
      </c>
      <c r="B3" s="86" t="s">
        <v>376</v>
      </c>
      <c r="C3" s="170">
        <v>42891</v>
      </c>
      <c r="D3" s="112"/>
    </row>
    <row r="4" spans="1:4" s="110" customFormat="1" ht="24" customHeight="1">
      <c r="A4" s="83">
        <v>2</v>
      </c>
      <c r="B4" s="174" t="s">
        <v>390</v>
      </c>
      <c r="C4" s="170">
        <v>42892</v>
      </c>
      <c r="D4" s="112"/>
    </row>
    <row r="5" spans="1:4" ht="24" customHeight="1">
      <c r="A5" s="83">
        <v>3</v>
      </c>
      <c r="B5" s="86" t="s">
        <v>378</v>
      </c>
      <c r="C5" s="170" t="s">
        <v>379</v>
      </c>
      <c r="D5" s="112"/>
    </row>
    <row r="6" spans="1:4" ht="24" customHeight="1">
      <c r="A6" s="83">
        <v>4</v>
      </c>
      <c r="B6" s="174" t="s">
        <v>380</v>
      </c>
      <c r="C6" s="170">
        <v>42894</v>
      </c>
      <c r="D6" s="112"/>
    </row>
    <row r="7" spans="1:4" ht="24" customHeight="1">
      <c r="A7" s="83">
        <v>5</v>
      </c>
      <c r="B7" s="174" t="s">
        <v>381</v>
      </c>
      <c r="C7" s="170">
        <v>42897</v>
      </c>
      <c r="D7" s="112"/>
    </row>
    <row r="8" spans="1:4" ht="24" customHeight="1">
      <c r="A8" s="83">
        <v>6</v>
      </c>
      <c r="B8" s="174" t="s">
        <v>382</v>
      </c>
      <c r="C8" s="170" t="s">
        <v>383</v>
      </c>
      <c r="D8" s="112"/>
    </row>
    <row r="9" spans="1:4" ht="24" customHeight="1">
      <c r="A9" s="83">
        <v>7</v>
      </c>
      <c r="B9" s="174" t="s">
        <v>384</v>
      </c>
      <c r="C9" s="170" t="s">
        <v>385</v>
      </c>
      <c r="D9" s="112"/>
    </row>
    <row r="10" spans="1:4" ht="24" customHeight="1">
      <c r="A10" s="83">
        <v>8</v>
      </c>
      <c r="B10" s="174" t="s">
        <v>386</v>
      </c>
      <c r="C10" s="170">
        <v>42903</v>
      </c>
      <c r="D10" s="112"/>
    </row>
    <row r="11" spans="1:4" ht="24" customHeight="1">
      <c r="A11" s="83">
        <v>9</v>
      </c>
      <c r="B11" s="174" t="s">
        <v>387</v>
      </c>
      <c r="C11" s="170">
        <v>42904</v>
      </c>
      <c r="D11" s="112"/>
    </row>
    <row r="12" spans="1:4" s="110" customFormat="1" ht="24" customHeight="1">
      <c r="A12" s="83">
        <v>10</v>
      </c>
      <c r="B12" s="174" t="s">
        <v>389</v>
      </c>
      <c r="C12" s="170">
        <v>42904</v>
      </c>
      <c r="D12" s="112"/>
    </row>
    <row r="13" spans="1:4" ht="24" customHeight="1">
      <c r="A13" s="83">
        <v>11</v>
      </c>
      <c r="B13" s="174" t="s">
        <v>388</v>
      </c>
      <c r="C13" s="170">
        <v>42905</v>
      </c>
      <c r="D13" s="112"/>
    </row>
    <row r="14" spans="1:4" ht="24" customHeight="1">
      <c r="A14" s="83">
        <v>12</v>
      </c>
      <c r="B14" s="86" t="s">
        <v>420</v>
      </c>
      <c r="C14" s="170">
        <v>42911</v>
      </c>
      <c r="D14" s="112"/>
    </row>
    <row r="15" spans="1:4" ht="24" customHeight="1">
      <c r="A15" s="83">
        <v>13</v>
      </c>
      <c r="B15" s="86" t="s">
        <v>421</v>
      </c>
      <c r="C15" s="170">
        <v>42914</v>
      </c>
      <c r="D15" s="112"/>
    </row>
    <row r="16" spans="1:4" ht="24" customHeight="1">
      <c r="A16" s="83">
        <v>14</v>
      </c>
      <c r="B16" s="86" t="s">
        <v>434</v>
      </c>
      <c r="C16" s="170">
        <v>42918</v>
      </c>
      <c r="D16" s="112"/>
    </row>
    <row r="17" spans="1:4" ht="24" customHeight="1">
      <c r="A17" s="83">
        <v>15</v>
      </c>
      <c r="B17" s="86" t="s">
        <v>435</v>
      </c>
      <c r="C17" s="170">
        <v>42919</v>
      </c>
      <c r="D17" s="112"/>
    </row>
    <row r="18" spans="1:4" ht="24" customHeight="1">
      <c r="A18" s="83">
        <v>16</v>
      </c>
      <c r="B18" s="86" t="s">
        <v>439</v>
      </c>
      <c r="C18" s="170">
        <v>42919</v>
      </c>
      <c r="D18" s="112"/>
    </row>
    <row r="19" spans="1:4" s="110" customFormat="1" ht="24" customHeight="1">
      <c r="A19" s="83">
        <v>17</v>
      </c>
      <c r="B19" s="86" t="s">
        <v>446</v>
      </c>
      <c r="C19" s="170">
        <v>42926</v>
      </c>
      <c r="D19" s="112"/>
    </row>
    <row r="20" spans="1:4" s="110" customFormat="1" ht="24" customHeight="1">
      <c r="A20" s="83">
        <v>18</v>
      </c>
      <c r="B20" s="86" t="s">
        <v>447</v>
      </c>
      <c r="C20" s="170">
        <v>42927</v>
      </c>
      <c r="D20" s="112"/>
    </row>
    <row r="21" spans="1:4" s="110" customFormat="1" ht="24" customHeight="1">
      <c r="A21" s="83">
        <v>19</v>
      </c>
      <c r="B21" s="86" t="s">
        <v>484</v>
      </c>
      <c r="C21" s="170">
        <v>42928</v>
      </c>
      <c r="D21" s="112"/>
    </row>
    <row r="22" spans="1:4" s="110" customFormat="1" ht="24" customHeight="1">
      <c r="A22" s="83">
        <v>20</v>
      </c>
      <c r="B22" s="86" t="s">
        <v>485</v>
      </c>
      <c r="C22" s="170">
        <v>42929</v>
      </c>
      <c r="D22" s="112"/>
    </row>
    <row r="23" spans="1:4" s="110" customFormat="1" ht="24" customHeight="1">
      <c r="A23" s="83">
        <v>21</v>
      </c>
      <c r="B23" s="86" t="s">
        <v>486</v>
      </c>
      <c r="C23" s="170">
        <v>42931</v>
      </c>
      <c r="D23" s="112"/>
    </row>
    <row r="24" spans="1:4" s="110" customFormat="1" ht="24" customHeight="1">
      <c r="A24" s="83">
        <v>22</v>
      </c>
      <c r="B24" s="86" t="s">
        <v>487</v>
      </c>
      <c r="C24" s="170">
        <v>42932</v>
      </c>
      <c r="D24" s="112"/>
    </row>
    <row r="25" spans="1:4" s="110" customFormat="1" ht="24" customHeight="1">
      <c r="A25" s="83">
        <v>23</v>
      </c>
      <c r="B25" s="86" t="s">
        <v>512</v>
      </c>
      <c r="C25" s="170">
        <v>42934</v>
      </c>
      <c r="D25" s="112"/>
    </row>
    <row r="26" spans="1:4" s="110" customFormat="1" ht="24" customHeight="1">
      <c r="A26" s="83">
        <v>24</v>
      </c>
      <c r="B26" s="86" t="s">
        <v>513</v>
      </c>
      <c r="C26" s="170">
        <v>42936</v>
      </c>
      <c r="D26" s="112"/>
    </row>
    <row r="27" spans="1:4" s="110" customFormat="1" ht="24" customHeight="1">
      <c r="A27" s="83">
        <v>25</v>
      </c>
      <c r="B27" s="86" t="s">
        <v>514</v>
      </c>
      <c r="C27" s="170">
        <v>42937</v>
      </c>
      <c r="D27" s="112"/>
    </row>
    <row r="28" spans="1:4" s="110" customFormat="1" ht="24" customHeight="1">
      <c r="A28" s="83">
        <v>26</v>
      </c>
      <c r="B28" s="86" t="s">
        <v>520</v>
      </c>
      <c r="C28" s="170">
        <v>42937</v>
      </c>
      <c r="D28" s="112"/>
    </row>
    <row r="29" spans="1:4" s="110" customFormat="1" ht="24" customHeight="1">
      <c r="A29" s="83">
        <v>27</v>
      </c>
      <c r="B29" s="86" t="s">
        <v>521</v>
      </c>
      <c r="C29" s="170">
        <v>42937</v>
      </c>
      <c r="D29" s="112"/>
    </row>
    <row r="30" spans="1:4" s="110" customFormat="1" ht="24" customHeight="1">
      <c r="A30" s="83">
        <v>28</v>
      </c>
      <c r="B30" s="86" t="s">
        <v>522</v>
      </c>
      <c r="C30" s="170">
        <v>42938</v>
      </c>
      <c r="D30" s="112"/>
    </row>
    <row r="31" spans="1:4" s="110" customFormat="1" ht="24" customHeight="1">
      <c r="A31" s="83">
        <v>29</v>
      </c>
      <c r="B31" s="86" t="s">
        <v>519</v>
      </c>
      <c r="C31" s="170">
        <v>42938</v>
      </c>
      <c r="D31" s="112"/>
    </row>
    <row r="32" spans="1:4" s="110" customFormat="1" ht="24" customHeight="1">
      <c r="A32" s="83">
        <v>30</v>
      </c>
      <c r="B32" s="86" t="s">
        <v>547</v>
      </c>
      <c r="C32" s="170">
        <v>42943</v>
      </c>
      <c r="D32" s="112"/>
    </row>
    <row r="33" spans="1:4" s="110" customFormat="1" ht="24" customHeight="1">
      <c r="A33" s="83">
        <v>31</v>
      </c>
      <c r="B33" s="86" t="s">
        <v>548</v>
      </c>
      <c r="C33" s="170">
        <v>42947</v>
      </c>
      <c r="D33" s="112"/>
    </row>
    <row r="34" spans="1:4" s="110" customFormat="1" ht="24" customHeight="1">
      <c r="A34" s="83">
        <v>32</v>
      </c>
      <c r="B34" s="86" t="s">
        <v>549</v>
      </c>
      <c r="C34" s="170">
        <v>42948</v>
      </c>
      <c r="D34" s="112"/>
    </row>
    <row r="35" spans="1:4" s="110" customFormat="1" ht="24" customHeight="1">
      <c r="A35" s="83">
        <v>33</v>
      </c>
      <c r="B35" s="86" t="s">
        <v>550</v>
      </c>
      <c r="C35" s="170">
        <v>42949</v>
      </c>
      <c r="D35" s="112"/>
    </row>
    <row r="36" spans="1:4" s="110" customFormat="1" ht="24" customHeight="1">
      <c r="A36" s="83">
        <v>34</v>
      </c>
      <c r="B36" s="86" t="s">
        <v>557</v>
      </c>
      <c r="C36" s="170">
        <v>42951</v>
      </c>
      <c r="D36" s="112"/>
    </row>
    <row r="37" spans="1:4" s="110" customFormat="1" ht="24" customHeight="1">
      <c r="A37" s="83">
        <v>35</v>
      </c>
      <c r="B37" s="86" t="s">
        <v>591</v>
      </c>
      <c r="C37" s="170">
        <v>42956</v>
      </c>
      <c r="D37" s="112"/>
    </row>
    <row r="38" spans="1:4" s="110" customFormat="1" ht="24" customHeight="1">
      <c r="A38" s="83">
        <v>36</v>
      </c>
      <c r="B38" s="86" t="s">
        <v>592</v>
      </c>
      <c r="C38" s="170">
        <v>42957</v>
      </c>
      <c r="D38" s="112"/>
    </row>
    <row r="39" spans="1:4" s="110" customFormat="1" ht="24" customHeight="1">
      <c r="A39" s="83">
        <v>37</v>
      </c>
      <c r="B39" s="86" t="s">
        <v>593</v>
      </c>
      <c r="C39" s="170">
        <v>42957</v>
      </c>
      <c r="D39" s="112"/>
    </row>
    <row r="40" spans="1:4" s="110" customFormat="1" ht="24" customHeight="1">
      <c r="A40" s="83">
        <v>38</v>
      </c>
      <c r="B40" s="86" t="s">
        <v>594</v>
      </c>
      <c r="C40" s="170">
        <v>42958</v>
      </c>
      <c r="D40" s="112"/>
    </row>
    <row r="41" spans="1:4" s="110" customFormat="1" ht="24" customHeight="1">
      <c r="A41" s="83">
        <v>39</v>
      </c>
      <c r="B41" s="86" t="s">
        <v>596</v>
      </c>
      <c r="C41" s="170">
        <v>42958</v>
      </c>
      <c r="D41" s="112"/>
    </row>
    <row r="42" spans="1:4" s="110" customFormat="1" ht="24" customHeight="1">
      <c r="A42" s="83">
        <v>40</v>
      </c>
      <c r="B42" s="86" t="s">
        <v>613</v>
      </c>
      <c r="C42" s="170">
        <v>42959</v>
      </c>
      <c r="D42" s="112"/>
    </row>
    <row r="43" spans="1:4" s="110" customFormat="1" ht="24" customHeight="1">
      <c r="A43" s="83">
        <v>41</v>
      </c>
      <c r="B43" s="86" t="s">
        <v>597</v>
      </c>
      <c r="C43" s="170">
        <v>42959</v>
      </c>
      <c r="D43" s="112"/>
    </row>
    <row r="44" spans="1:4" s="110" customFormat="1" ht="24" customHeight="1">
      <c r="A44" s="83">
        <v>42</v>
      </c>
      <c r="B44" s="86" t="s">
        <v>598</v>
      </c>
      <c r="C44" s="170">
        <v>42960</v>
      </c>
      <c r="D44" s="112"/>
    </row>
    <row r="45" spans="1:4" s="110" customFormat="1" ht="24" customHeight="1">
      <c r="A45" s="83">
        <v>43</v>
      </c>
      <c r="B45" s="86" t="s">
        <v>599</v>
      </c>
      <c r="C45" s="170">
        <v>42961</v>
      </c>
      <c r="D45" s="112"/>
    </row>
    <row r="46" spans="1:4" s="110" customFormat="1" ht="24" customHeight="1">
      <c r="A46" s="83">
        <v>44</v>
      </c>
      <c r="B46" s="86" t="s">
        <v>614</v>
      </c>
      <c r="C46" s="170">
        <v>42962</v>
      </c>
      <c r="D46" s="112"/>
    </row>
    <row r="47" spans="1:4" s="110" customFormat="1" ht="24" customHeight="1">
      <c r="A47" s="83">
        <v>45</v>
      </c>
      <c r="B47" s="86" t="s">
        <v>615</v>
      </c>
      <c r="C47" s="170">
        <v>42965</v>
      </c>
      <c r="D47" s="112"/>
    </row>
    <row r="48" spans="1:4" s="110" customFormat="1" ht="24" customHeight="1">
      <c r="A48" s="83">
        <v>46</v>
      </c>
      <c r="B48" s="86" t="s">
        <v>618</v>
      </c>
      <c r="C48" s="170">
        <v>42968</v>
      </c>
      <c r="D48" s="112"/>
    </row>
    <row r="49" spans="1:4" s="110" customFormat="1" ht="24" customHeight="1">
      <c r="A49" s="83">
        <v>47</v>
      </c>
      <c r="B49" s="86" t="s">
        <v>616</v>
      </c>
      <c r="C49" s="170">
        <v>42970</v>
      </c>
      <c r="D49" s="112"/>
    </row>
    <row r="50" spans="1:4" s="110" customFormat="1" ht="24" customHeight="1">
      <c r="A50" s="83">
        <v>48</v>
      </c>
      <c r="B50" s="86" t="s">
        <v>617</v>
      </c>
      <c r="C50" s="170">
        <v>42972</v>
      </c>
      <c r="D50" s="112"/>
    </row>
    <row r="51" spans="1:4" s="110" customFormat="1" ht="24" customHeight="1">
      <c r="A51" s="83">
        <v>49</v>
      </c>
      <c r="B51" s="86" t="s">
        <v>619</v>
      </c>
      <c r="C51" s="170">
        <v>42973</v>
      </c>
      <c r="D51" s="112"/>
    </row>
    <row r="52" spans="1:4" s="110" customFormat="1" ht="24" customHeight="1">
      <c r="A52" s="83">
        <v>50</v>
      </c>
      <c r="B52" s="86" t="s">
        <v>629</v>
      </c>
      <c r="C52" s="170">
        <v>42980</v>
      </c>
      <c r="D52" s="112"/>
    </row>
    <row r="53" spans="1:4" s="110" customFormat="1" ht="24" customHeight="1">
      <c r="A53" s="83">
        <v>51</v>
      </c>
      <c r="B53" s="86" t="s">
        <v>628</v>
      </c>
      <c r="C53" s="170">
        <v>42984</v>
      </c>
      <c r="D53" s="112"/>
    </row>
    <row r="54" spans="1:4" s="110" customFormat="1" ht="24" customHeight="1">
      <c r="A54" s="83">
        <v>50</v>
      </c>
      <c r="B54" s="86" t="s">
        <v>651</v>
      </c>
      <c r="C54" s="170">
        <v>42987</v>
      </c>
      <c r="D54" s="112"/>
    </row>
    <row r="55" spans="1:4" s="110" customFormat="1" ht="24" customHeight="1">
      <c r="A55" s="83">
        <v>52</v>
      </c>
      <c r="B55" s="86" t="s">
        <v>646</v>
      </c>
      <c r="C55" s="170">
        <v>42989</v>
      </c>
      <c r="D55" s="112"/>
    </row>
    <row r="56" spans="1:4" s="110" customFormat="1" ht="24" customHeight="1">
      <c r="A56" s="83">
        <v>53</v>
      </c>
      <c r="B56" s="86" t="s">
        <v>647</v>
      </c>
      <c r="C56" s="170">
        <v>42991</v>
      </c>
      <c r="D56" s="112"/>
    </row>
    <row r="57" spans="1:4" s="110" customFormat="1" ht="24" customHeight="1">
      <c r="A57" s="83">
        <v>54</v>
      </c>
      <c r="B57" s="86" t="s">
        <v>649</v>
      </c>
      <c r="C57" s="170">
        <v>42992</v>
      </c>
      <c r="D57" s="112"/>
    </row>
    <row r="58" spans="1:4" s="110" customFormat="1" ht="24" customHeight="1">
      <c r="A58" s="83">
        <v>55</v>
      </c>
      <c r="B58" s="86" t="s">
        <v>650</v>
      </c>
      <c r="C58" s="170">
        <v>42992</v>
      </c>
      <c r="D58" s="112"/>
    </row>
    <row r="59" spans="1:4" s="110" customFormat="1" ht="24" customHeight="1">
      <c r="A59" s="83">
        <v>56</v>
      </c>
      <c r="B59" s="86" t="s">
        <v>648</v>
      </c>
      <c r="C59" s="170">
        <v>42992</v>
      </c>
      <c r="D59" s="112"/>
    </row>
    <row r="60" spans="1:4" s="110" customFormat="1" ht="24" customHeight="1">
      <c r="A60" s="83">
        <v>57</v>
      </c>
      <c r="B60" s="86" t="s">
        <v>665</v>
      </c>
      <c r="C60" s="170">
        <v>43004</v>
      </c>
      <c r="D60" s="112"/>
    </row>
    <row r="61" spans="1:4" s="110" customFormat="1" ht="24" customHeight="1">
      <c r="A61" s="83">
        <v>58</v>
      </c>
      <c r="B61" s="86" t="s">
        <v>666</v>
      </c>
      <c r="C61" s="170">
        <v>43006</v>
      </c>
      <c r="D61" s="112"/>
    </row>
    <row r="62" spans="1:4" s="110" customFormat="1" ht="24" customHeight="1">
      <c r="A62" s="83">
        <v>59</v>
      </c>
      <c r="B62" s="86" t="s">
        <v>670</v>
      </c>
      <c r="C62" s="170">
        <v>43006</v>
      </c>
      <c r="D62" s="112"/>
    </row>
    <row r="63" spans="1:4" s="110" customFormat="1" ht="24" customHeight="1">
      <c r="A63" s="83">
        <v>60</v>
      </c>
      <c r="B63" s="86" t="s">
        <v>678</v>
      </c>
      <c r="C63" s="170">
        <v>43007</v>
      </c>
      <c r="D63" s="112"/>
    </row>
    <row r="64" spans="1:4" s="110" customFormat="1" ht="24" customHeight="1">
      <c r="A64" s="83">
        <v>61</v>
      </c>
      <c r="B64" s="86" t="s">
        <v>679</v>
      </c>
      <c r="C64" s="170">
        <v>43008</v>
      </c>
      <c r="D64" s="112"/>
    </row>
    <row r="65" spans="1:4" s="110" customFormat="1" ht="24" customHeight="1">
      <c r="A65" s="83">
        <v>62</v>
      </c>
      <c r="B65" s="86" t="s">
        <v>680</v>
      </c>
      <c r="C65" s="170">
        <v>43013</v>
      </c>
      <c r="D65" s="112"/>
    </row>
    <row r="66" spans="1:4" s="110" customFormat="1" ht="24" customHeight="1">
      <c r="A66" s="83">
        <v>63</v>
      </c>
      <c r="B66" s="86" t="s">
        <v>682</v>
      </c>
      <c r="C66" s="170">
        <v>43014</v>
      </c>
      <c r="D66" s="112"/>
    </row>
    <row r="67" spans="1:4" s="110" customFormat="1" ht="24" customHeight="1">
      <c r="A67" s="413" t="s">
        <v>681</v>
      </c>
      <c r="B67" s="414"/>
      <c r="C67" s="414"/>
      <c r="D67" s="415"/>
    </row>
    <row r="68" spans="1:4" ht="30.75" customHeight="1"/>
    <row r="69" spans="1:4" ht="30.75" customHeight="1"/>
    <row r="70" spans="1:4" ht="30.75" customHeight="1"/>
    <row r="71" spans="1:4" ht="30.75" customHeight="1"/>
    <row r="72" spans="1:4" ht="30.75" customHeight="1"/>
  </sheetData>
  <mergeCells count="2">
    <mergeCell ref="A1:D1"/>
    <mergeCell ref="A67:D67"/>
  </mergeCells>
  <phoneticPr fontId="35" type="noConversion"/>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dimension ref="A1:FJ44"/>
  <sheetViews>
    <sheetView workbookViewId="0">
      <pane xSplit="2" ySplit="3" topLeftCell="C4" activePane="bottomRight" state="frozen"/>
      <selection pane="topRight" activeCell="C1" sqref="C1"/>
      <selection pane="bottomLeft" activeCell="A4" sqref="A4"/>
      <selection pane="bottomRight" activeCell="CV11" sqref="CV11"/>
    </sheetView>
  </sheetViews>
  <sheetFormatPr defaultRowHeight="14.25"/>
  <cols>
    <col min="1" max="1" width="4.125" customWidth="1"/>
    <col min="2" max="2" width="17.5" style="55" customWidth="1"/>
    <col min="3" max="12" width="4.75" customWidth="1"/>
    <col min="13" max="13" width="4.75" style="111" customWidth="1"/>
    <col min="14" max="91" width="4.75" customWidth="1"/>
    <col min="92" max="92" width="4.875" customWidth="1"/>
    <col min="93" max="128" width="4.75" customWidth="1"/>
    <col min="129" max="134" width="5.5" customWidth="1"/>
    <col min="135" max="166" width="4.625" customWidth="1"/>
  </cols>
  <sheetData>
    <row r="1" spans="1:166">
      <c r="A1" s="448" t="s">
        <v>219</v>
      </c>
      <c r="B1" s="449"/>
      <c r="C1" s="449"/>
      <c r="D1" s="449"/>
      <c r="E1" s="449"/>
      <c r="F1" s="449"/>
      <c r="G1" s="449"/>
      <c r="H1" s="449"/>
      <c r="I1" s="449"/>
      <c r="J1" s="449"/>
      <c r="K1" s="449"/>
      <c r="L1" s="449"/>
      <c r="M1" s="449"/>
      <c r="N1" s="449"/>
      <c r="O1" s="449"/>
      <c r="P1" s="449"/>
      <c r="Q1" s="449"/>
      <c r="R1" s="449"/>
      <c r="S1" s="449"/>
      <c r="T1" s="449"/>
      <c r="U1" s="449"/>
      <c r="V1" s="449"/>
      <c r="W1" s="449"/>
      <c r="X1" s="449"/>
      <c r="Y1" s="449"/>
      <c r="Z1" s="449"/>
      <c r="AA1" s="449"/>
      <c r="AB1" s="449"/>
      <c r="AC1" s="449"/>
      <c r="AD1" s="449"/>
      <c r="AE1" s="449"/>
      <c r="AF1" s="449"/>
      <c r="AG1" s="449"/>
      <c r="AH1" s="449"/>
      <c r="AI1" s="449"/>
      <c r="AJ1" s="449"/>
      <c r="AK1" s="449"/>
      <c r="AL1" s="449"/>
      <c r="AM1" s="449"/>
      <c r="AN1" s="449"/>
      <c r="AO1" s="449"/>
      <c r="AP1" s="449"/>
      <c r="AQ1" s="449"/>
      <c r="AR1" s="449"/>
      <c r="AS1" s="449"/>
      <c r="AT1" s="449"/>
      <c r="AU1" s="449"/>
      <c r="AV1" s="449"/>
      <c r="AW1" s="449"/>
      <c r="AX1" s="449"/>
      <c r="AY1" s="449"/>
      <c r="AZ1" s="449"/>
      <c r="BA1" s="449"/>
      <c r="BB1" s="449"/>
      <c r="BC1" s="449"/>
      <c r="BD1" s="449"/>
      <c r="BE1" s="449"/>
      <c r="BF1" s="449"/>
      <c r="BG1" s="449"/>
      <c r="BH1" s="449"/>
      <c r="BI1" s="449"/>
      <c r="BJ1" s="449"/>
      <c r="BK1" s="449"/>
      <c r="BL1" s="449"/>
      <c r="BM1" s="449"/>
      <c r="BN1" s="449"/>
      <c r="BO1" s="449"/>
      <c r="BP1" s="449"/>
      <c r="BQ1" s="449"/>
      <c r="BR1" s="449"/>
      <c r="BS1" s="449"/>
      <c r="BT1" s="449"/>
      <c r="BU1" s="449"/>
      <c r="BV1" s="449"/>
    </row>
    <row r="2" spans="1:166" ht="19.5" customHeight="1">
      <c r="A2" s="445" t="s">
        <v>0</v>
      </c>
      <c r="B2" s="444" t="s">
        <v>1</v>
      </c>
      <c r="C2" s="445" t="s">
        <v>220</v>
      </c>
      <c r="D2" s="445"/>
      <c r="E2" s="445"/>
      <c r="F2" s="445"/>
      <c r="G2" s="445"/>
      <c r="H2" s="445"/>
      <c r="I2" s="445"/>
      <c r="J2" s="445"/>
      <c r="K2" s="445"/>
      <c r="L2" s="445"/>
      <c r="M2" s="445"/>
      <c r="N2" s="445"/>
      <c r="O2" s="445"/>
      <c r="P2" s="445"/>
      <c r="Q2" s="445"/>
      <c r="R2" s="445"/>
      <c r="S2" s="445"/>
      <c r="T2" s="445"/>
      <c r="U2" s="445"/>
      <c r="V2" s="445"/>
      <c r="W2" s="445"/>
      <c r="X2" s="445"/>
      <c r="Y2" s="445"/>
      <c r="Z2" s="445"/>
      <c r="AA2" s="445"/>
      <c r="AB2" s="445"/>
      <c r="AC2" s="445"/>
      <c r="AD2" s="445"/>
      <c r="AE2" s="445"/>
      <c r="AF2" s="445"/>
      <c r="AG2" s="445"/>
      <c r="AH2" s="445"/>
      <c r="AI2" s="445"/>
      <c r="AJ2" s="445"/>
      <c r="AK2" s="445"/>
      <c r="AL2" s="445"/>
      <c r="AM2" s="445"/>
      <c r="AN2" s="445"/>
      <c r="AO2" s="445"/>
      <c r="AP2" s="445"/>
      <c r="AQ2" s="445"/>
      <c r="AR2" s="445"/>
      <c r="AS2" s="445"/>
      <c r="AT2" s="445"/>
      <c r="AU2" s="445"/>
      <c r="AV2" s="445"/>
      <c r="AW2" s="445"/>
      <c r="AX2" s="445"/>
      <c r="AY2" s="445"/>
      <c r="AZ2" s="445"/>
      <c r="BA2" s="445"/>
      <c r="BB2" s="445"/>
      <c r="BC2" s="445"/>
      <c r="BD2" s="445"/>
      <c r="BE2" s="445"/>
      <c r="BF2" s="445"/>
      <c r="BG2" s="445"/>
      <c r="BH2" s="445"/>
      <c r="BI2" s="445"/>
      <c r="BJ2" s="445"/>
      <c r="BK2" s="445"/>
      <c r="BL2" s="445"/>
      <c r="BM2" s="445"/>
      <c r="BN2" s="445"/>
      <c r="BO2" s="445"/>
      <c r="BP2" s="445"/>
      <c r="BQ2" s="445"/>
      <c r="BR2" s="445"/>
      <c r="BS2" s="445"/>
      <c r="BT2" s="445"/>
      <c r="BU2" s="445"/>
      <c r="BV2" s="445"/>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29"/>
      <c r="DY2" s="129"/>
      <c r="DZ2" s="129"/>
      <c r="EA2" s="129"/>
      <c r="EB2" s="129"/>
      <c r="EC2" s="129"/>
      <c r="ED2" s="129"/>
      <c r="EE2" s="129"/>
      <c r="EF2" s="129"/>
      <c r="EG2" s="129"/>
      <c r="EH2" s="129"/>
      <c r="EI2" s="129"/>
      <c r="EJ2" s="129"/>
      <c r="EK2" s="129"/>
      <c r="EL2" s="129"/>
      <c r="EM2" s="129"/>
      <c r="EN2" s="129"/>
      <c r="EO2" s="129"/>
      <c r="EP2" s="129"/>
      <c r="EQ2" s="129"/>
      <c r="ER2" s="129"/>
      <c r="ES2" s="129"/>
      <c r="ET2" s="129"/>
      <c r="EU2" s="129"/>
      <c r="EV2" s="129"/>
      <c r="EW2" s="129"/>
      <c r="EX2" s="129"/>
      <c r="EY2" s="129"/>
      <c r="EZ2" s="129"/>
      <c r="FA2" s="129"/>
      <c r="FB2" s="129"/>
      <c r="FC2" s="129"/>
      <c r="FD2" s="129"/>
      <c r="FE2" s="129"/>
      <c r="FF2" s="129"/>
      <c r="FG2" s="129"/>
      <c r="FH2" s="129"/>
      <c r="FI2" s="129"/>
      <c r="FJ2" s="129"/>
    </row>
    <row r="3" spans="1:166" ht="19.5" customHeight="1">
      <c r="A3" s="445"/>
      <c r="B3" s="444"/>
      <c r="C3" s="113">
        <v>158.31</v>
      </c>
      <c r="D3" s="113">
        <v>159</v>
      </c>
      <c r="E3" s="113">
        <v>160</v>
      </c>
      <c r="F3" s="113">
        <v>161</v>
      </c>
      <c r="G3" s="113">
        <v>162</v>
      </c>
      <c r="H3" s="113">
        <v>163</v>
      </c>
      <c r="I3" s="113">
        <v>164</v>
      </c>
      <c r="J3" s="113">
        <v>165</v>
      </c>
      <c r="K3" s="113">
        <v>166</v>
      </c>
      <c r="L3" s="113">
        <v>167</v>
      </c>
      <c r="M3" s="113">
        <v>168</v>
      </c>
      <c r="N3" s="113">
        <v>169</v>
      </c>
      <c r="O3" s="113">
        <v>170</v>
      </c>
      <c r="P3" s="113">
        <v>171</v>
      </c>
      <c r="Q3" s="113">
        <v>172</v>
      </c>
      <c r="R3" s="113">
        <v>173</v>
      </c>
      <c r="S3" s="113">
        <v>174</v>
      </c>
      <c r="T3" s="113">
        <v>175</v>
      </c>
      <c r="U3" s="113">
        <v>176</v>
      </c>
      <c r="V3" s="113">
        <v>177</v>
      </c>
      <c r="W3" s="113">
        <v>178</v>
      </c>
      <c r="X3" s="113">
        <v>179</v>
      </c>
      <c r="Y3" s="113">
        <v>180</v>
      </c>
      <c r="Z3" s="113">
        <v>181</v>
      </c>
      <c r="AA3" s="113">
        <v>182</v>
      </c>
      <c r="AB3" s="113">
        <v>183</v>
      </c>
      <c r="AC3" s="113">
        <v>184</v>
      </c>
      <c r="AD3" s="113">
        <v>185</v>
      </c>
      <c r="AE3" s="113">
        <v>186</v>
      </c>
      <c r="AF3" s="113">
        <v>187</v>
      </c>
      <c r="AG3" s="113">
        <v>188</v>
      </c>
      <c r="AH3" s="113">
        <v>189</v>
      </c>
      <c r="AI3" s="113">
        <v>190</v>
      </c>
      <c r="AJ3" s="113">
        <v>191</v>
      </c>
      <c r="AK3" s="113">
        <v>192</v>
      </c>
      <c r="AL3" s="113">
        <v>193</v>
      </c>
      <c r="AM3" s="113">
        <v>194</v>
      </c>
      <c r="AN3" s="113">
        <v>195</v>
      </c>
      <c r="AO3" s="113">
        <v>196</v>
      </c>
      <c r="AP3" s="113">
        <v>197</v>
      </c>
      <c r="AQ3" s="113">
        <v>198</v>
      </c>
      <c r="AR3" s="113">
        <v>199</v>
      </c>
      <c r="AS3" s="113">
        <v>200</v>
      </c>
      <c r="AT3" s="113">
        <v>201</v>
      </c>
      <c r="AU3" s="113">
        <v>202</v>
      </c>
      <c r="AV3" s="113">
        <v>203</v>
      </c>
      <c r="AW3" s="113">
        <v>204</v>
      </c>
      <c r="AX3" s="113">
        <v>205</v>
      </c>
      <c r="AY3" s="113">
        <v>206</v>
      </c>
      <c r="AZ3" s="113">
        <v>207</v>
      </c>
      <c r="BA3" s="113">
        <v>208</v>
      </c>
      <c r="BB3" s="113">
        <v>209</v>
      </c>
      <c r="BC3" s="113">
        <v>210</v>
      </c>
      <c r="BD3" s="113">
        <v>211</v>
      </c>
      <c r="BE3" s="113">
        <v>212</v>
      </c>
      <c r="BF3" s="113">
        <v>213</v>
      </c>
      <c r="BG3" s="113">
        <v>214</v>
      </c>
      <c r="BH3" s="113">
        <v>215</v>
      </c>
      <c r="BI3" s="113">
        <v>216</v>
      </c>
      <c r="BJ3" s="113">
        <v>217</v>
      </c>
      <c r="BK3" s="113">
        <v>218</v>
      </c>
      <c r="BL3" s="113">
        <v>219</v>
      </c>
      <c r="BM3" s="113">
        <v>220</v>
      </c>
      <c r="BN3" s="113">
        <v>221</v>
      </c>
      <c r="BO3" s="113">
        <v>222</v>
      </c>
      <c r="BP3" s="113">
        <v>223</v>
      </c>
      <c r="BQ3" s="113">
        <v>224</v>
      </c>
      <c r="BR3" s="113">
        <v>225</v>
      </c>
      <c r="BS3" s="113">
        <v>226</v>
      </c>
      <c r="BT3" s="113">
        <v>227</v>
      </c>
      <c r="BU3" s="113">
        <v>228</v>
      </c>
      <c r="BV3" s="113">
        <v>229</v>
      </c>
      <c r="BW3" s="113">
        <v>230</v>
      </c>
      <c r="BX3" s="113">
        <v>231</v>
      </c>
      <c r="BY3" s="113">
        <v>232</v>
      </c>
      <c r="BZ3" s="113">
        <v>233</v>
      </c>
      <c r="CA3" s="113">
        <v>234</v>
      </c>
      <c r="CB3" s="113">
        <v>235</v>
      </c>
      <c r="CC3" s="113">
        <v>236</v>
      </c>
      <c r="CD3" s="113">
        <v>237</v>
      </c>
      <c r="CE3" s="113">
        <v>238</v>
      </c>
      <c r="CF3" s="113">
        <v>239</v>
      </c>
      <c r="CG3" s="113">
        <v>240</v>
      </c>
      <c r="CH3" s="113">
        <v>241</v>
      </c>
      <c r="CI3" s="113">
        <v>242</v>
      </c>
      <c r="CJ3" s="113">
        <v>243</v>
      </c>
      <c r="CK3" s="113">
        <v>244</v>
      </c>
      <c r="CL3" s="113">
        <v>245</v>
      </c>
      <c r="CM3" s="113">
        <v>246</v>
      </c>
      <c r="CN3" s="113">
        <v>247</v>
      </c>
      <c r="CO3" s="113">
        <v>248</v>
      </c>
      <c r="CP3" s="113">
        <v>249</v>
      </c>
      <c r="CQ3" s="113">
        <v>250</v>
      </c>
      <c r="CR3" s="113">
        <v>251</v>
      </c>
      <c r="CS3" s="113">
        <v>252</v>
      </c>
      <c r="CT3" s="113">
        <v>253</v>
      </c>
      <c r="CU3" s="113">
        <v>254</v>
      </c>
      <c r="CV3" s="113">
        <v>255</v>
      </c>
      <c r="CW3" s="113">
        <v>256</v>
      </c>
      <c r="CX3" s="113">
        <v>257</v>
      </c>
      <c r="CY3" s="113">
        <v>258</v>
      </c>
      <c r="CZ3" s="113">
        <v>259</v>
      </c>
      <c r="DA3" s="113">
        <v>260</v>
      </c>
      <c r="DB3" s="113">
        <v>261</v>
      </c>
      <c r="DC3" s="113">
        <v>262</v>
      </c>
      <c r="DD3" s="113">
        <v>263</v>
      </c>
      <c r="DE3" s="113">
        <v>264</v>
      </c>
      <c r="DF3" s="113">
        <v>265</v>
      </c>
      <c r="DG3" s="113">
        <v>266</v>
      </c>
      <c r="DH3" s="113">
        <v>267</v>
      </c>
      <c r="DI3" s="113">
        <v>268</v>
      </c>
      <c r="DJ3" s="113">
        <v>269</v>
      </c>
      <c r="DK3" s="113">
        <v>270</v>
      </c>
      <c r="DL3" s="113">
        <v>271</v>
      </c>
      <c r="DM3" s="113">
        <v>272</v>
      </c>
      <c r="DN3" s="113">
        <v>273</v>
      </c>
      <c r="DO3" s="113">
        <v>274</v>
      </c>
      <c r="DP3" s="113">
        <v>275</v>
      </c>
      <c r="DQ3" s="113">
        <v>276</v>
      </c>
      <c r="DR3" s="113">
        <v>277</v>
      </c>
      <c r="DS3" s="113">
        <v>278</v>
      </c>
      <c r="DT3" s="113">
        <v>279</v>
      </c>
      <c r="DU3" s="113">
        <v>280</v>
      </c>
      <c r="DV3" s="113">
        <v>281</v>
      </c>
      <c r="DW3" s="113">
        <v>282</v>
      </c>
      <c r="DX3" s="113">
        <v>283</v>
      </c>
      <c r="DY3" s="113">
        <v>284</v>
      </c>
      <c r="DZ3" s="113">
        <v>285</v>
      </c>
      <c r="EA3" s="113">
        <v>286</v>
      </c>
      <c r="EB3" s="113">
        <v>287</v>
      </c>
      <c r="EC3" s="113">
        <v>288</v>
      </c>
      <c r="ED3" s="113">
        <v>289</v>
      </c>
      <c r="EE3" s="129"/>
      <c r="EF3" s="129"/>
      <c r="EG3" s="129"/>
      <c r="EH3" s="129"/>
      <c r="EI3" s="129"/>
      <c r="EJ3" s="129"/>
      <c r="EK3" s="129"/>
      <c r="EL3" s="129"/>
      <c r="EM3" s="129"/>
      <c r="EN3" s="129"/>
      <c r="EO3" s="129"/>
      <c r="EP3" s="129"/>
      <c r="EQ3" s="129"/>
      <c r="ER3" s="129"/>
      <c r="ES3" s="129"/>
      <c r="ET3" s="129"/>
      <c r="EU3" s="129"/>
      <c r="EV3" s="129"/>
      <c r="EW3" s="129"/>
      <c r="EX3" s="129"/>
      <c r="EY3" s="129"/>
      <c r="EZ3" s="129"/>
      <c r="FA3" s="129"/>
      <c r="FB3" s="129"/>
      <c r="FC3" s="129"/>
      <c r="FD3" s="129"/>
      <c r="FE3" s="129"/>
      <c r="FF3" s="129"/>
      <c r="FG3" s="129"/>
      <c r="FH3" s="129"/>
      <c r="FI3" s="129"/>
      <c r="FJ3" s="129"/>
    </row>
    <row r="4" spans="1:166" ht="18" customHeight="1">
      <c r="A4" s="127">
        <v>1</v>
      </c>
      <c r="B4" s="118" t="s">
        <v>212</v>
      </c>
      <c r="C4" s="223">
        <v>1</v>
      </c>
      <c r="D4" s="83"/>
      <c r="E4" s="83"/>
      <c r="F4" s="83"/>
      <c r="G4" s="83"/>
      <c r="H4" s="83"/>
      <c r="I4" s="83"/>
      <c r="J4" s="83"/>
      <c r="K4" s="83"/>
      <c r="L4" s="83"/>
      <c r="M4" s="116"/>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112"/>
      <c r="AW4" s="112"/>
      <c r="AX4" s="112"/>
      <c r="AY4" s="112"/>
      <c r="AZ4" s="112"/>
      <c r="BA4" s="112"/>
      <c r="BB4" s="112"/>
      <c r="BC4" s="112"/>
      <c r="BD4" s="112"/>
      <c r="BE4" s="112"/>
      <c r="BF4" s="112"/>
      <c r="BG4" s="112"/>
      <c r="BH4" s="112"/>
      <c r="BI4" s="112"/>
      <c r="BJ4" s="112"/>
      <c r="BK4" s="112"/>
      <c r="BL4" s="112"/>
      <c r="BM4" s="112"/>
      <c r="BN4" s="112"/>
      <c r="BO4" s="112"/>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c r="CP4" s="129"/>
      <c r="CQ4" s="129"/>
      <c r="CR4" s="129"/>
      <c r="CS4" s="129"/>
      <c r="CT4" s="129"/>
      <c r="CU4" s="129"/>
      <c r="CV4" s="129"/>
      <c r="CW4" s="129"/>
      <c r="CX4" s="129"/>
      <c r="CY4" s="129"/>
      <c r="CZ4" s="129"/>
      <c r="DA4" s="129"/>
      <c r="DB4" s="129"/>
      <c r="DC4" s="129"/>
      <c r="DD4" s="129"/>
      <c r="DE4" s="129"/>
      <c r="DF4" s="129"/>
      <c r="DG4" s="129"/>
      <c r="DH4" s="129"/>
      <c r="DI4" s="129"/>
      <c r="DJ4" s="129"/>
      <c r="DK4" s="129"/>
      <c r="DL4" s="129"/>
      <c r="DM4" s="129"/>
      <c r="DN4" s="129"/>
      <c r="DO4" s="129"/>
      <c r="DP4" s="129"/>
      <c r="DQ4" s="129"/>
      <c r="DR4" s="129"/>
      <c r="DS4" s="129"/>
      <c r="DT4" s="129"/>
      <c r="DU4" s="129"/>
      <c r="DV4" s="129"/>
      <c r="DW4" s="129"/>
      <c r="DX4" s="129"/>
      <c r="DY4" s="129"/>
      <c r="DZ4" s="129"/>
      <c r="EA4" s="129"/>
      <c r="EB4" s="129"/>
      <c r="EC4" s="129"/>
      <c r="ED4" s="129"/>
      <c r="EE4" s="129"/>
      <c r="EF4" s="129"/>
      <c r="EG4" s="129"/>
      <c r="EH4" s="129"/>
      <c r="EI4" s="129"/>
      <c r="EJ4" s="129"/>
      <c r="EK4" s="129"/>
      <c r="EL4" s="129"/>
      <c r="EM4" s="129"/>
      <c r="EN4" s="129"/>
      <c r="EO4" s="129"/>
      <c r="EP4" s="129"/>
      <c r="EQ4" s="129"/>
      <c r="ER4" s="129"/>
      <c r="ES4" s="129"/>
      <c r="ET4" s="129"/>
      <c r="EU4" s="129"/>
      <c r="EV4" s="129"/>
      <c r="EW4" s="129"/>
      <c r="EX4" s="129"/>
      <c r="EY4" s="129"/>
      <c r="EZ4" s="129"/>
      <c r="FA4" s="129"/>
      <c r="FB4" s="129"/>
      <c r="FC4" s="129"/>
      <c r="FD4" s="129"/>
      <c r="FE4" s="129"/>
      <c r="FF4" s="129"/>
      <c r="FG4" s="129"/>
      <c r="FH4" s="129"/>
      <c r="FI4" s="129"/>
      <c r="FJ4" s="129"/>
    </row>
    <row r="5" spans="1:166" s="110" customFormat="1" ht="18" customHeight="1">
      <c r="A5" s="114">
        <v>2</v>
      </c>
      <c r="B5" s="115" t="s">
        <v>221</v>
      </c>
      <c r="C5" s="223">
        <v>1</v>
      </c>
      <c r="D5" s="83"/>
      <c r="E5" s="83"/>
      <c r="F5" s="83"/>
      <c r="G5" s="83"/>
      <c r="H5" s="83"/>
      <c r="I5" s="83"/>
      <c r="J5" s="83"/>
      <c r="K5" s="83"/>
      <c r="L5" s="83"/>
      <c r="M5" s="116"/>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117"/>
      <c r="AV5" s="112"/>
      <c r="AW5" s="112"/>
      <c r="AX5" s="112"/>
      <c r="AY5" s="112"/>
      <c r="AZ5" s="112"/>
      <c r="BA5" s="112"/>
      <c r="BB5" s="112"/>
      <c r="BC5" s="112"/>
      <c r="BD5" s="112"/>
      <c r="BE5" s="112"/>
      <c r="BF5" s="112"/>
      <c r="BG5" s="112"/>
      <c r="BH5" s="112"/>
      <c r="BI5" s="112"/>
      <c r="BJ5" s="112"/>
      <c r="BK5" s="112"/>
      <c r="BL5" s="112"/>
      <c r="BM5" s="112"/>
      <c r="BN5" s="112"/>
      <c r="BO5" s="112"/>
      <c r="BP5" s="129"/>
      <c r="BQ5" s="129"/>
      <c r="BR5" s="129"/>
      <c r="BS5" s="129"/>
      <c r="BT5" s="129"/>
      <c r="BU5" s="129"/>
      <c r="BV5" s="129"/>
      <c r="BW5" s="129"/>
      <c r="BX5" s="129"/>
      <c r="BY5" s="129"/>
      <c r="BZ5" s="129"/>
      <c r="CA5" s="129"/>
      <c r="CB5" s="129"/>
      <c r="CC5" s="129"/>
      <c r="CD5" s="129"/>
      <c r="CE5" s="129"/>
      <c r="CF5" s="129"/>
      <c r="CG5" s="129"/>
      <c r="CH5" s="129"/>
      <c r="CI5" s="129"/>
      <c r="CJ5" s="129"/>
      <c r="CK5" s="129"/>
      <c r="CL5" s="129"/>
      <c r="CM5" s="129"/>
      <c r="CN5" s="129"/>
      <c r="CO5" s="129"/>
      <c r="CP5" s="129"/>
      <c r="CQ5" s="129"/>
      <c r="CR5" s="129"/>
      <c r="CS5" s="129"/>
      <c r="CT5" s="129"/>
      <c r="CU5" s="129"/>
      <c r="CV5" s="129"/>
      <c r="CW5" s="129"/>
      <c r="CX5" s="129"/>
      <c r="CY5" s="129"/>
      <c r="CZ5" s="129"/>
      <c r="DA5" s="129"/>
      <c r="DB5" s="129"/>
      <c r="DC5" s="129"/>
      <c r="DD5" s="129"/>
      <c r="DE5" s="129"/>
      <c r="DF5" s="129"/>
      <c r="DG5" s="129"/>
      <c r="DH5" s="129"/>
      <c r="DI5" s="129"/>
      <c r="DJ5" s="129"/>
      <c r="DK5" s="129"/>
      <c r="DL5" s="129"/>
      <c r="DM5" s="129"/>
      <c r="DN5" s="129"/>
      <c r="DO5" s="129"/>
      <c r="DP5" s="129"/>
      <c r="DQ5" s="129"/>
      <c r="DR5" s="129"/>
      <c r="DS5" s="129"/>
      <c r="DT5" s="129"/>
      <c r="DU5" s="129"/>
      <c r="DV5" s="129"/>
      <c r="DW5" s="129"/>
      <c r="DX5" s="129"/>
      <c r="DY5" s="129"/>
      <c r="DZ5" s="129"/>
      <c r="EA5" s="129"/>
      <c r="EB5" s="129"/>
      <c r="EC5" s="129"/>
      <c r="ED5" s="129"/>
      <c r="EE5" s="129"/>
      <c r="EF5" s="129"/>
      <c r="EG5" s="129"/>
      <c r="EH5" s="129"/>
      <c r="EI5" s="129"/>
      <c r="EJ5" s="129"/>
      <c r="EK5" s="129"/>
      <c r="EL5" s="129"/>
      <c r="EM5" s="129"/>
      <c r="EN5" s="129"/>
      <c r="EO5" s="129"/>
      <c r="EP5" s="129"/>
      <c r="EQ5" s="129"/>
      <c r="ER5" s="129"/>
      <c r="ES5" s="129"/>
      <c r="ET5" s="129"/>
      <c r="EU5" s="129"/>
      <c r="EV5" s="129"/>
      <c r="EW5" s="129"/>
      <c r="EX5" s="129"/>
      <c r="EY5" s="129"/>
      <c r="EZ5" s="129"/>
      <c r="FA5" s="129"/>
      <c r="FB5" s="129"/>
      <c r="FC5" s="129"/>
      <c r="FD5" s="129"/>
      <c r="FE5" s="129"/>
      <c r="FF5" s="129"/>
      <c r="FG5" s="129"/>
      <c r="FH5" s="129"/>
      <c r="FI5" s="129"/>
      <c r="FJ5" s="129"/>
    </row>
    <row r="6" spans="1:166" s="110" customFormat="1" ht="18" customHeight="1">
      <c r="A6" s="219">
        <v>3</v>
      </c>
      <c r="B6" s="115" t="s">
        <v>213</v>
      </c>
      <c r="C6" s="223">
        <v>1</v>
      </c>
      <c r="D6" s="83"/>
      <c r="E6" s="83"/>
      <c r="F6" s="83"/>
      <c r="G6" s="83"/>
      <c r="H6" s="83"/>
      <c r="I6" s="83"/>
      <c r="J6" s="83"/>
      <c r="K6" s="83"/>
      <c r="L6" s="83"/>
      <c r="M6" s="116"/>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117"/>
      <c r="AV6" s="112"/>
      <c r="AW6" s="112"/>
      <c r="AX6" s="112"/>
      <c r="AY6" s="112"/>
      <c r="AZ6" s="112"/>
      <c r="BA6" s="112"/>
      <c r="BB6" s="112"/>
      <c r="BC6" s="112"/>
      <c r="BD6" s="112"/>
      <c r="BE6" s="112"/>
      <c r="BF6" s="112"/>
      <c r="BG6" s="112"/>
      <c r="BH6" s="112"/>
      <c r="BI6" s="112"/>
      <c r="BJ6" s="112"/>
      <c r="BK6" s="112"/>
      <c r="BL6" s="112"/>
      <c r="BM6" s="112"/>
      <c r="BN6" s="112"/>
      <c r="BO6" s="112"/>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c r="CP6" s="129"/>
      <c r="CQ6" s="129"/>
      <c r="CR6" s="129"/>
      <c r="CS6" s="129"/>
      <c r="CT6" s="129"/>
      <c r="CU6" s="129"/>
      <c r="CV6" s="129"/>
      <c r="CW6" s="129"/>
      <c r="CX6" s="129"/>
      <c r="CY6" s="129"/>
      <c r="CZ6" s="129"/>
      <c r="DA6" s="129"/>
      <c r="DB6" s="129"/>
      <c r="DC6" s="129"/>
      <c r="DD6" s="129"/>
      <c r="DE6" s="129"/>
      <c r="DF6" s="129"/>
      <c r="DG6" s="129"/>
      <c r="DH6" s="129"/>
      <c r="DI6" s="129"/>
      <c r="DJ6" s="129"/>
      <c r="DK6" s="129"/>
      <c r="DL6" s="129"/>
      <c r="DM6" s="129"/>
      <c r="DN6" s="129"/>
      <c r="DO6" s="129"/>
      <c r="DP6" s="129"/>
      <c r="DQ6" s="129"/>
      <c r="DR6" s="129"/>
      <c r="DS6" s="129"/>
      <c r="DT6" s="129"/>
      <c r="DU6" s="129"/>
      <c r="DV6" s="129"/>
      <c r="DW6" s="129"/>
      <c r="DX6" s="129"/>
      <c r="DY6" s="129"/>
      <c r="DZ6" s="129"/>
      <c r="EA6" s="129"/>
      <c r="EB6" s="129"/>
      <c r="EC6" s="129"/>
      <c r="ED6" s="129"/>
      <c r="EE6" s="129"/>
      <c r="EF6" s="129"/>
      <c r="EG6" s="129"/>
      <c r="EH6" s="129"/>
      <c r="EI6" s="129"/>
      <c r="EJ6" s="129"/>
      <c r="EK6" s="129"/>
      <c r="EL6" s="129"/>
      <c r="EM6" s="129"/>
      <c r="EN6" s="129"/>
      <c r="EO6" s="129"/>
      <c r="EP6" s="129"/>
      <c r="EQ6" s="129"/>
      <c r="ER6" s="129"/>
      <c r="ES6" s="129"/>
      <c r="ET6" s="129"/>
      <c r="EU6" s="129"/>
      <c r="EV6" s="129"/>
      <c r="EW6" s="129"/>
      <c r="EX6" s="129"/>
      <c r="EY6" s="129"/>
      <c r="EZ6" s="129"/>
      <c r="FA6" s="129"/>
      <c r="FB6" s="129"/>
      <c r="FC6" s="129"/>
      <c r="FD6" s="129"/>
      <c r="FE6" s="129"/>
      <c r="FF6" s="129"/>
      <c r="FG6" s="129"/>
      <c r="FH6" s="129"/>
      <c r="FI6" s="129"/>
      <c r="FJ6" s="129"/>
    </row>
    <row r="7" spans="1:166" s="110" customFormat="1" ht="18" customHeight="1">
      <c r="A7" s="114">
        <v>4</v>
      </c>
      <c r="B7" s="115" t="s">
        <v>214</v>
      </c>
      <c r="C7" s="223">
        <v>1</v>
      </c>
      <c r="D7" s="83"/>
      <c r="E7" s="83"/>
      <c r="F7" s="83"/>
      <c r="G7" s="83"/>
      <c r="H7" s="83"/>
      <c r="I7" s="83"/>
      <c r="J7" s="83"/>
      <c r="K7" s="83"/>
      <c r="L7" s="83"/>
      <c r="M7" s="116"/>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117"/>
      <c r="AV7" s="112"/>
      <c r="AW7" s="112"/>
      <c r="AX7" s="112"/>
      <c r="AY7" s="112"/>
      <c r="AZ7" s="112"/>
      <c r="BA7" s="112"/>
      <c r="BB7" s="112"/>
      <c r="BC7" s="112"/>
      <c r="BD7" s="112"/>
      <c r="BE7" s="112"/>
      <c r="BF7" s="112"/>
      <c r="BG7" s="112"/>
      <c r="BH7" s="112"/>
      <c r="BI7" s="112"/>
      <c r="BJ7" s="112"/>
      <c r="BK7" s="112"/>
      <c r="BL7" s="112"/>
      <c r="BM7" s="112"/>
      <c r="BN7" s="112"/>
      <c r="BO7" s="112"/>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29"/>
      <c r="DI7" s="129"/>
      <c r="DJ7" s="129"/>
      <c r="DK7" s="129"/>
      <c r="DL7" s="129"/>
      <c r="DM7" s="129"/>
      <c r="DN7" s="129"/>
      <c r="DO7" s="129"/>
      <c r="DP7" s="129"/>
      <c r="DQ7" s="129"/>
      <c r="DR7" s="129"/>
      <c r="DS7" s="129"/>
      <c r="DT7" s="129">
        <v>2</v>
      </c>
      <c r="DU7" s="129">
        <v>1</v>
      </c>
      <c r="DV7" s="129"/>
      <c r="DW7" s="129"/>
      <c r="DX7" s="129"/>
      <c r="DY7" s="129"/>
      <c r="DZ7" s="129"/>
      <c r="EA7" s="129"/>
      <c r="EB7" s="129"/>
      <c r="EC7" s="129"/>
      <c r="ED7" s="129"/>
      <c r="EE7" s="129"/>
      <c r="EF7" s="129"/>
      <c r="EG7" s="129"/>
      <c r="EH7" s="129"/>
      <c r="EI7" s="129"/>
      <c r="EJ7" s="129"/>
      <c r="EK7" s="129"/>
      <c r="EL7" s="129"/>
      <c r="EM7" s="129"/>
      <c r="EN7" s="129"/>
      <c r="EO7" s="129"/>
      <c r="EP7" s="129"/>
      <c r="EQ7" s="129"/>
      <c r="ER7" s="129"/>
      <c r="ES7" s="129"/>
      <c r="ET7" s="129"/>
      <c r="EU7" s="129"/>
      <c r="EV7" s="129"/>
      <c r="EW7" s="129"/>
      <c r="EX7" s="129"/>
      <c r="EY7" s="129"/>
      <c r="EZ7" s="129"/>
      <c r="FA7" s="129"/>
      <c r="FB7" s="129"/>
      <c r="FC7" s="129"/>
      <c r="FD7" s="129"/>
      <c r="FE7" s="129"/>
      <c r="FF7" s="129"/>
      <c r="FG7" s="129"/>
      <c r="FH7" s="129"/>
      <c r="FI7" s="129"/>
      <c r="FJ7" s="129"/>
    </row>
    <row r="8" spans="1:166" ht="18" customHeight="1">
      <c r="A8" s="219">
        <v>5</v>
      </c>
      <c r="B8" s="118" t="s">
        <v>210</v>
      </c>
      <c r="C8" s="119"/>
      <c r="D8" s="119"/>
      <c r="E8" s="119"/>
      <c r="F8" s="119"/>
      <c r="G8" s="119"/>
      <c r="H8" s="224">
        <v>1</v>
      </c>
      <c r="I8" s="224">
        <v>2</v>
      </c>
      <c r="J8" s="224">
        <v>3</v>
      </c>
      <c r="K8" s="224">
        <v>4</v>
      </c>
      <c r="L8" s="224">
        <v>5</v>
      </c>
      <c r="M8" s="224">
        <v>6</v>
      </c>
      <c r="N8" s="119"/>
      <c r="O8" s="119"/>
      <c r="P8" s="119"/>
      <c r="Q8" s="119"/>
      <c r="R8" s="112"/>
      <c r="S8" s="112"/>
      <c r="T8" s="112"/>
      <c r="U8" s="112"/>
      <c r="V8" s="112"/>
      <c r="W8" s="112"/>
      <c r="X8" s="112"/>
      <c r="Y8" s="112"/>
      <c r="Z8" s="112"/>
      <c r="AA8" s="112"/>
      <c r="AB8" s="112"/>
      <c r="AC8" s="119"/>
      <c r="AD8" s="119"/>
      <c r="AE8" s="119"/>
      <c r="AF8" s="119"/>
      <c r="AG8" s="119"/>
      <c r="AH8" s="119"/>
      <c r="AI8" s="119"/>
      <c r="AJ8" s="119"/>
      <c r="AK8" s="119"/>
      <c r="AL8" s="119"/>
      <c r="AM8" s="119"/>
      <c r="AN8" s="119"/>
      <c r="AO8" s="119"/>
      <c r="AP8" s="119"/>
      <c r="AQ8" s="119"/>
      <c r="AR8" s="119"/>
      <c r="AS8" s="120"/>
      <c r="AT8" s="120"/>
      <c r="AU8" s="121"/>
      <c r="AV8" s="112"/>
      <c r="AW8" s="112"/>
      <c r="AX8" s="112"/>
      <c r="AY8" s="112"/>
      <c r="AZ8" s="112"/>
      <c r="BA8" s="112"/>
      <c r="BB8" s="112"/>
      <c r="BC8" s="112"/>
      <c r="BD8" s="112"/>
      <c r="BE8" s="112"/>
      <c r="BF8" s="112"/>
      <c r="BG8" s="112"/>
      <c r="BH8" s="112"/>
      <c r="BI8" s="112"/>
      <c r="BJ8" s="112"/>
      <c r="BK8" s="112"/>
      <c r="BL8" s="112"/>
      <c r="BM8" s="112"/>
      <c r="BN8" s="112"/>
      <c r="BO8" s="112"/>
      <c r="BP8" s="129"/>
      <c r="BQ8" s="129"/>
      <c r="BR8" s="129"/>
      <c r="BS8" s="129"/>
      <c r="BT8" s="129"/>
      <c r="BU8" s="129"/>
      <c r="BV8" s="129"/>
      <c r="BW8" s="129"/>
      <c r="BX8" s="129"/>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29"/>
      <c r="DD8" s="129"/>
      <c r="DE8" s="129"/>
      <c r="DF8" s="129"/>
      <c r="DG8" s="129"/>
      <c r="DH8" s="129"/>
      <c r="DI8" s="129"/>
      <c r="DJ8" s="129"/>
      <c r="DK8" s="129"/>
      <c r="DL8" s="129"/>
      <c r="DM8" s="129"/>
      <c r="DN8" s="129"/>
      <c r="DO8" s="129"/>
      <c r="DP8" s="129"/>
      <c r="DQ8" s="129"/>
      <c r="DR8" s="129"/>
      <c r="DS8" s="129"/>
      <c r="DT8" s="129"/>
      <c r="DU8" s="129"/>
      <c r="DV8" s="129"/>
      <c r="DW8" s="129"/>
      <c r="DX8" s="129"/>
      <c r="DY8" s="129"/>
      <c r="DZ8" s="129"/>
      <c r="EA8" s="129"/>
      <c r="EB8" s="129"/>
      <c r="EC8" s="129"/>
      <c r="ED8" s="129"/>
      <c r="EE8" s="129"/>
      <c r="EF8" s="129"/>
      <c r="EG8" s="129"/>
      <c r="EH8" s="129"/>
      <c r="EI8" s="129"/>
      <c r="EJ8" s="129"/>
      <c r="EK8" s="129"/>
      <c r="EL8" s="129"/>
      <c r="EM8" s="129"/>
      <c r="EN8" s="129"/>
      <c r="EO8" s="129"/>
      <c r="EP8" s="129"/>
      <c r="EQ8" s="129"/>
      <c r="ER8" s="129"/>
      <c r="ES8" s="129"/>
      <c r="ET8" s="129"/>
      <c r="EU8" s="129"/>
      <c r="EV8" s="129"/>
      <c r="EW8" s="129"/>
      <c r="EX8" s="129"/>
      <c r="EY8" s="129"/>
      <c r="EZ8" s="129"/>
      <c r="FA8" s="129"/>
      <c r="FB8" s="129"/>
      <c r="FC8" s="129"/>
      <c r="FD8" s="129"/>
      <c r="FE8" s="129"/>
      <c r="FF8" s="129"/>
      <c r="FG8" s="129"/>
      <c r="FH8" s="129"/>
      <c r="FI8" s="129"/>
      <c r="FJ8" s="129"/>
    </row>
    <row r="9" spans="1:166" s="110" customFormat="1" ht="18" customHeight="1">
      <c r="A9" s="114">
        <v>6</v>
      </c>
      <c r="B9" s="118" t="s">
        <v>340</v>
      </c>
      <c r="C9" s="119"/>
      <c r="D9" s="119"/>
      <c r="E9" s="119"/>
      <c r="F9" s="119"/>
      <c r="G9" s="119"/>
      <c r="H9" s="224">
        <v>1</v>
      </c>
      <c r="I9" s="224">
        <v>1</v>
      </c>
      <c r="J9" s="224">
        <v>2</v>
      </c>
      <c r="K9" s="224">
        <v>3</v>
      </c>
      <c r="L9" s="224">
        <v>4</v>
      </c>
      <c r="M9" s="224">
        <v>5</v>
      </c>
      <c r="N9" s="224">
        <v>6</v>
      </c>
      <c r="O9" s="224">
        <v>7</v>
      </c>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2"/>
      <c r="BD9" s="112"/>
      <c r="BE9" s="112"/>
      <c r="BF9" s="112"/>
      <c r="BG9" s="112"/>
      <c r="BH9" s="112"/>
      <c r="BI9" s="112"/>
      <c r="BJ9" s="112"/>
      <c r="BK9" s="112"/>
      <c r="BL9" s="112"/>
      <c r="BM9" s="112"/>
      <c r="BN9" s="112"/>
      <c r="BO9" s="112"/>
      <c r="BP9" s="129"/>
      <c r="BQ9" s="129"/>
      <c r="BR9" s="129"/>
      <c r="BS9" s="129"/>
      <c r="BT9" s="129"/>
      <c r="BU9" s="129"/>
      <c r="BV9" s="129"/>
      <c r="BW9" s="129"/>
      <c r="BX9" s="129"/>
      <c r="BY9" s="129"/>
      <c r="BZ9" s="129"/>
      <c r="CA9" s="129"/>
      <c r="CB9" s="129"/>
      <c r="CC9" s="129"/>
      <c r="CD9" s="129"/>
      <c r="CE9" s="129"/>
      <c r="CF9" s="129"/>
      <c r="CG9" s="129"/>
      <c r="CH9" s="129"/>
      <c r="CI9" s="129"/>
      <c r="CJ9" s="129"/>
      <c r="CK9" s="129"/>
      <c r="CL9" s="129"/>
      <c r="CM9" s="129"/>
      <c r="CN9" s="129"/>
      <c r="CO9" s="129"/>
      <c r="CP9" s="129"/>
      <c r="CQ9" s="129"/>
      <c r="CR9" s="129"/>
      <c r="CS9" s="129"/>
      <c r="CT9" s="129"/>
      <c r="CU9" s="129"/>
      <c r="CV9" s="129"/>
      <c r="CW9" s="129"/>
      <c r="CX9" s="129"/>
      <c r="CY9" s="129"/>
      <c r="CZ9" s="129"/>
      <c r="DA9" s="129"/>
      <c r="DB9" s="129"/>
      <c r="DC9" s="129"/>
      <c r="DD9" s="129"/>
      <c r="DE9" s="129"/>
      <c r="DF9" s="129"/>
      <c r="DG9" s="129"/>
      <c r="DH9" s="129"/>
      <c r="DI9" s="129"/>
      <c r="DJ9" s="129"/>
      <c r="DK9" s="129"/>
      <c r="DL9" s="129"/>
      <c r="DM9" s="129"/>
      <c r="DN9" s="129"/>
      <c r="DO9" s="129"/>
      <c r="DP9" s="129"/>
      <c r="DQ9" s="129"/>
      <c r="DR9" s="129"/>
      <c r="DS9" s="129"/>
      <c r="DT9" s="129"/>
      <c r="DU9" s="129"/>
      <c r="DV9" s="129"/>
      <c r="DW9" s="129"/>
      <c r="DX9" s="129"/>
      <c r="DY9" s="129"/>
      <c r="DZ9" s="129"/>
      <c r="EA9" s="129"/>
      <c r="EB9" s="129"/>
      <c r="EC9" s="129"/>
      <c r="ED9" s="129"/>
      <c r="EE9" s="129"/>
      <c r="EF9" s="129"/>
      <c r="EG9" s="129"/>
      <c r="EH9" s="129"/>
      <c r="EI9" s="129"/>
      <c r="EJ9" s="129"/>
      <c r="EK9" s="129"/>
      <c r="EL9" s="129"/>
      <c r="EM9" s="129"/>
      <c r="EN9" s="129"/>
      <c r="EO9" s="129"/>
      <c r="EP9" s="129"/>
      <c r="EQ9" s="129"/>
      <c r="ER9" s="129"/>
      <c r="ES9" s="129"/>
      <c r="ET9" s="129"/>
      <c r="EU9" s="129"/>
      <c r="EV9" s="129"/>
      <c r="EW9" s="129"/>
      <c r="EX9" s="129"/>
      <c r="EY9" s="129"/>
      <c r="EZ9" s="129"/>
      <c r="FA9" s="129"/>
      <c r="FB9" s="129"/>
      <c r="FC9" s="129"/>
      <c r="FD9" s="129"/>
      <c r="FE9" s="129"/>
      <c r="FF9" s="129"/>
      <c r="FG9" s="129"/>
      <c r="FH9" s="129"/>
      <c r="FI9" s="129"/>
      <c r="FJ9" s="129"/>
    </row>
    <row r="10" spans="1:166" s="110" customFormat="1" ht="18" customHeight="1">
      <c r="A10" s="219">
        <v>7</v>
      </c>
      <c r="B10" s="118" t="s">
        <v>341</v>
      </c>
      <c r="C10" s="119"/>
      <c r="D10" s="119"/>
      <c r="E10" s="119"/>
      <c r="F10" s="119"/>
      <c r="G10" s="119"/>
      <c r="H10" s="119"/>
      <c r="I10" s="119"/>
      <c r="J10" s="119"/>
      <c r="K10" s="119"/>
      <c r="L10" s="119"/>
      <c r="M10" s="122"/>
      <c r="N10" s="119"/>
      <c r="O10" s="224">
        <v>1</v>
      </c>
      <c r="P10" s="224">
        <v>2</v>
      </c>
      <c r="Q10" s="119"/>
      <c r="R10" s="119"/>
      <c r="S10" s="119"/>
      <c r="T10" s="119"/>
      <c r="U10" s="119"/>
      <c r="V10" s="119"/>
      <c r="W10" s="119"/>
      <c r="X10" s="119"/>
      <c r="Y10" s="119"/>
      <c r="Z10" s="119"/>
      <c r="AA10" s="119"/>
      <c r="AB10" s="119"/>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c r="CW10" s="112"/>
      <c r="CX10" s="112"/>
      <c r="CY10" s="112"/>
      <c r="CZ10" s="112"/>
      <c r="DA10" s="112"/>
      <c r="DB10" s="112"/>
      <c r="DC10" s="112"/>
      <c r="DD10" s="129"/>
      <c r="DE10" s="129"/>
      <c r="DF10" s="129"/>
      <c r="DG10" s="129"/>
      <c r="DH10" s="129"/>
      <c r="DI10" s="129"/>
      <c r="DJ10" s="129"/>
      <c r="DK10" s="129"/>
      <c r="DL10" s="129"/>
      <c r="DM10" s="129"/>
      <c r="DN10" s="129"/>
      <c r="DO10" s="129"/>
      <c r="DP10" s="129"/>
      <c r="DQ10" s="129"/>
      <c r="DR10" s="129"/>
      <c r="DS10" s="129"/>
      <c r="DT10" s="129"/>
      <c r="DU10" s="129"/>
      <c r="DV10" s="129"/>
      <c r="DW10" s="129"/>
      <c r="DX10" s="129"/>
      <c r="DY10" s="129"/>
      <c r="DZ10" s="129"/>
      <c r="EA10" s="129"/>
      <c r="EB10" s="129"/>
      <c r="EC10" s="129"/>
      <c r="ED10" s="129"/>
      <c r="EE10" s="129"/>
      <c r="EF10" s="129"/>
      <c r="EG10" s="129"/>
      <c r="EH10" s="129"/>
      <c r="EI10" s="129"/>
      <c r="EJ10" s="129"/>
      <c r="EK10" s="129"/>
      <c r="EL10" s="129"/>
      <c r="EM10" s="129"/>
      <c r="EN10" s="129"/>
      <c r="EO10" s="129"/>
      <c r="EP10" s="129"/>
      <c r="EQ10" s="129"/>
      <c r="ER10" s="129"/>
      <c r="ES10" s="129"/>
      <c r="ET10" s="129"/>
      <c r="EU10" s="129"/>
      <c r="EV10" s="129"/>
      <c r="EW10" s="129"/>
      <c r="EX10" s="129"/>
      <c r="EY10" s="129"/>
      <c r="EZ10" s="129"/>
      <c r="FA10" s="129"/>
      <c r="FB10" s="129"/>
      <c r="FC10" s="129"/>
      <c r="FD10" s="129"/>
      <c r="FE10" s="129"/>
      <c r="FF10" s="129"/>
      <c r="FG10" s="129"/>
      <c r="FH10" s="129"/>
      <c r="FI10" s="129"/>
      <c r="FJ10" s="129"/>
    </row>
    <row r="11" spans="1:166" s="110" customFormat="1" ht="18" customHeight="1">
      <c r="A11" s="114">
        <v>8</v>
      </c>
      <c r="B11" s="118" t="s">
        <v>223</v>
      </c>
      <c r="C11" s="119"/>
      <c r="D11" s="119"/>
      <c r="E11" s="119"/>
      <c r="F11" s="119"/>
      <c r="G11" s="119"/>
      <c r="H11" s="119"/>
      <c r="I11" s="119"/>
      <c r="J11" s="119"/>
      <c r="K11" s="119"/>
      <c r="L11" s="119"/>
      <c r="M11" s="122"/>
      <c r="N11" s="119"/>
      <c r="O11" s="119"/>
      <c r="P11" s="119"/>
      <c r="Q11" s="119"/>
      <c r="R11" s="119"/>
      <c r="S11" s="112"/>
      <c r="T11" s="112"/>
      <c r="U11" s="112"/>
      <c r="V11" s="225">
        <v>1</v>
      </c>
      <c r="W11" s="225">
        <v>2</v>
      </c>
      <c r="X11" s="225">
        <v>3</v>
      </c>
      <c r="Y11" s="225">
        <v>4</v>
      </c>
      <c r="Z11" s="112"/>
      <c r="AA11" s="112"/>
      <c r="AB11" s="112"/>
      <c r="AC11" s="125"/>
      <c r="AD11" s="125"/>
      <c r="AE11" s="125"/>
      <c r="AF11" s="125"/>
      <c r="AG11" s="125"/>
      <c r="AH11" s="125"/>
      <c r="AI11" s="125"/>
      <c r="AJ11" s="125"/>
      <c r="AK11" s="125"/>
      <c r="AL11" s="125"/>
      <c r="AM11" s="125"/>
      <c r="AN11" s="125"/>
      <c r="AO11" s="125"/>
      <c r="AP11" s="125"/>
      <c r="AQ11" s="125"/>
      <c r="AR11" s="125"/>
      <c r="AS11" s="125"/>
      <c r="AT11" s="125"/>
      <c r="AU11" s="126"/>
      <c r="AV11" s="125"/>
      <c r="AW11" s="125"/>
      <c r="AX11" s="125"/>
      <c r="AY11" s="125"/>
      <c r="AZ11" s="125"/>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c r="CW11" s="112"/>
      <c r="CX11" s="112"/>
      <c r="CY11" s="112"/>
      <c r="CZ11" s="112"/>
      <c r="DA11" s="112"/>
      <c r="DB11" s="112"/>
      <c r="DC11" s="112"/>
      <c r="DD11" s="129"/>
      <c r="DE11" s="129"/>
      <c r="DF11" s="129"/>
      <c r="DG11" s="129"/>
      <c r="DH11" s="129"/>
      <c r="DI11" s="129"/>
      <c r="DJ11" s="129"/>
      <c r="DK11" s="129"/>
      <c r="DL11" s="129"/>
      <c r="DM11" s="129"/>
      <c r="DN11" s="129"/>
      <c r="DO11" s="129"/>
      <c r="DP11" s="129"/>
      <c r="DQ11" s="129"/>
      <c r="DR11" s="129"/>
      <c r="DS11" s="129"/>
      <c r="DT11" s="129"/>
      <c r="DU11" s="129"/>
      <c r="DV11" s="129"/>
      <c r="DW11" s="129"/>
      <c r="DX11" s="129"/>
      <c r="DY11" s="129"/>
      <c r="DZ11" s="129"/>
      <c r="EA11" s="129"/>
      <c r="EB11" s="129"/>
      <c r="EC11" s="129"/>
      <c r="ED11" s="129"/>
      <c r="EE11" s="129"/>
      <c r="EF11" s="129"/>
      <c r="EG11" s="129"/>
      <c r="EH11" s="129"/>
      <c r="EI11" s="129"/>
      <c r="EJ11" s="129"/>
      <c r="EK11" s="129"/>
      <c r="EL11" s="129"/>
      <c r="EM11" s="129"/>
      <c r="EN11" s="129"/>
      <c r="EO11" s="129"/>
      <c r="EP11" s="129"/>
      <c r="EQ11" s="129"/>
      <c r="ER11" s="129"/>
      <c r="ES11" s="129"/>
      <c r="ET11" s="129"/>
      <c r="EU11" s="129"/>
      <c r="EV11" s="129"/>
      <c r="EW11" s="129"/>
      <c r="EX11" s="129"/>
      <c r="EY11" s="129"/>
      <c r="EZ11" s="129"/>
      <c r="FA11" s="129"/>
      <c r="FB11" s="129"/>
      <c r="FC11" s="129"/>
      <c r="FD11" s="129"/>
      <c r="FE11" s="129"/>
      <c r="FF11" s="129"/>
      <c r="FG11" s="129"/>
      <c r="FH11" s="129"/>
      <c r="FI11" s="129"/>
      <c r="FJ11" s="129"/>
    </row>
    <row r="12" spans="1:166" ht="18" customHeight="1">
      <c r="A12" s="219">
        <v>9</v>
      </c>
      <c r="B12" s="118" t="s">
        <v>341</v>
      </c>
      <c r="C12" s="119"/>
      <c r="D12" s="119"/>
      <c r="E12" s="119"/>
      <c r="F12" s="119"/>
      <c r="G12" s="119"/>
      <c r="H12" s="119"/>
      <c r="I12" s="119"/>
      <c r="J12" s="119"/>
      <c r="K12" s="119"/>
      <c r="L12" s="119"/>
      <c r="M12" s="122"/>
      <c r="N12" s="119"/>
      <c r="O12" s="119"/>
      <c r="P12" s="119"/>
      <c r="Q12" s="119"/>
      <c r="R12" s="119"/>
      <c r="S12" s="119"/>
      <c r="T12" s="119"/>
      <c r="U12" s="119"/>
      <c r="V12" s="119"/>
      <c r="W12" s="119"/>
      <c r="X12" s="119"/>
      <c r="Y12" s="119"/>
      <c r="Z12" s="119"/>
      <c r="AA12" s="119"/>
      <c r="AB12" s="224">
        <v>1</v>
      </c>
      <c r="AC12" s="224">
        <v>2</v>
      </c>
      <c r="AD12" s="224">
        <v>3</v>
      </c>
      <c r="AE12" s="224">
        <v>4</v>
      </c>
      <c r="AF12" s="224">
        <v>5</v>
      </c>
      <c r="AG12" s="224">
        <v>6</v>
      </c>
      <c r="AH12" s="224">
        <v>7</v>
      </c>
      <c r="AI12" s="224">
        <v>8</v>
      </c>
      <c r="AJ12" s="224">
        <v>9</v>
      </c>
      <c r="AK12" s="224">
        <v>10</v>
      </c>
      <c r="AL12" s="224">
        <v>11</v>
      </c>
      <c r="AM12" s="224">
        <v>12</v>
      </c>
      <c r="AN12" s="224">
        <v>13</v>
      </c>
      <c r="AO12" s="224">
        <v>14</v>
      </c>
      <c r="AP12" s="224">
        <v>15</v>
      </c>
      <c r="AQ12" s="224">
        <v>16</v>
      </c>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c r="DA12" s="112"/>
      <c r="DB12" s="112"/>
      <c r="DC12" s="112"/>
      <c r="DD12" s="129"/>
      <c r="DE12" s="129"/>
      <c r="DF12" s="129"/>
      <c r="DG12" s="129"/>
      <c r="DH12" s="129"/>
      <c r="DI12" s="129"/>
      <c r="DJ12" s="129"/>
      <c r="DK12" s="129"/>
      <c r="DL12" s="129"/>
      <c r="DM12" s="129"/>
      <c r="DN12" s="129"/>
      <c r="DO12" s="129"/>
      <c r="DP12" s="129"/>
      <c r="DQ12" s="129"/>
      <c r="DR12" s="129"/>
      <c r="DS12" s="129"/>
      <c r="DT12" s="129"/>
      <c r="DU12" s="129"/>
      <c r="DV12" s="129"/>
      <c r="DW12" s="129"/>
      <c r="DX12" s="129"/>
      <c r="DY12" s="129"/>
      <c r="DZ12" s="129"/>
      <c r="EA12" s="129"/>
      <c r="EB12" s="129"/>
      <c r="EC12" s="129"/>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row>
    <row r="13" spans="1:166" s="110" customFormat="1" ht="18" customHeight="1">
      <c r="A13" s="114">
        <v>10</v>
      </c>
      <c r="B13" s="118" t="s">
        <v>222</v>
      </c>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224">
        <v>1</v>
      </c>
      <c r="AT13" s="224">
        <v>1</v>
      </c>
      <c r="AU13" s="224">
        <v>2</v>
      </c>
      <c r="AV13" s="224">
        <v>3</v>
      </c>
      <c r="AW13" s="224">
        <v>4</v>
      </c>
      <c r="AX13" s="224">
        <v>5</v>
      </c>
      <c r="AY13" s="224">
        <v>6</v>
      </c>
      <c r="AZ13" s="224">
        <v>7</v>
      </c>
      <c r="BA13" s="224">
        <v>8</v>
      </c>
      <c r="BB13" s="224">
        <v>9</v>
      </c>
      <c r="BC13" s="224">
        <v>10</v>
      </c>
      <c r="BD13" s="224">
        <v>11</v>
      </c>
      <c r="BE13" s="224">
        <v>12</v>
      </c>
      <c r="BF13" s="224">
        <v>13</v>
      </c>
      <c r="BG13" s="224">
        <v>14</v>
      </c>
      <c r="BH13" s="224">
        <v>15</v>
      </c>
      <c r="BI13" s="224">
        <v>16</v>
      </c>
      <c r="BJ13" s="224">
        <v>17</v>
      </c>
      <c r="BK13" s="224">
        <v>18</v>
      </c>
      <c r="BL13" s="224">
        <v>19</v>
      </c>
      <c r="BM13" s="224">
        <v>20</v>
      </c>
      <c r="BN13" s="224">
        <v>21</v>
      </c>
      <c r="BO13" s="224">
        <v>22</v>
      </c>
      <c r="BP13" s="224">
        <v>23</v>
      </c>
      <c r="BQ13" s="224">
        <v>24</v>
      </c>
      <c r="BR13" s="224">
        <v>25</v>
      </c>
      <c r="BS13" s="224">
        <v>26</v>
      </c>
      <c r="BT13" s="224">
        <v>27</v>
      </c>
      <c r="BU13" s="224">
        <v>28</v>
      </c>
      <c r="BV13" s="224">
        <v>29</v>
      </c>
      <c r="BW13" s="224">
        <v>30</v>
      </c>
      <c r="BX13" s="224">
        <v>31</v>
      </c>
      <c r="BY13" s="224">
        <v>32</v>
      </c>
      <c r="BZ13" s="224">
        <v>33</v>
      </c>
      <c r="CA13" s="224">
        <v>34</v>
      </c>
      <c r="CB13" s="224">
        <v>35</v>
      </c>
      <c r="CC13" s="224">
        <v>36</v>
      </c>
      <c r="CD13" s="224">
        <v>37</v>
      </c>
      <c r="CE13" s="224">
        <v>38</v>
      </c>
      <c r="CF13" s="224">
        <v>39</v>
      </c>
      <c r="CG13" s="224">
        <v>40</v>
      </c>
      <c r="CH13" s="224">
        <v>41</v>
      </c>
      <c r="CI13" s="224">
        <v>42</v>
      </c>
      <c r="CJ13" s="224">
        <v>43</v>
      </c>
      <c r="CK13" s="225"/>
      <c r="CL13" s="225"/>
      <c r="CM13" s="225"/>
      <c r="CN13" s="225"/>
      <c r="CO13" s="225"/>
      <c r="CP13" s="225"/>
      <c r="CQ13" s="225"/>
      <c r="CR13" s="112"/>
      <c r="CS13" s="112"/>
      <c r="CT13" s="112"/>
      <c r="CU13" s="112"/>
      <c r="CV13" s="112"/>
      <c r="CW13" s="112"/>
      <c r="CX13" s="112"/>
      <c r="CY13" s="112"/>
      <c r="CZ13" s="112"/>
      <c r="DA13" s="112"/>
      <c r="DB13" s="112"/>
      <c r="DC13" s="112"/>
      <c r="DD13" s="129"/>
      <c r="DE13" s="129"/>
      <c r="DF13" s="129"/>
      <c r="DG13" s="129"/>
      <c r="DH13" s="129"/>
      <c r="DI13" s="129"/>
      <c r="DJ13" s="129"/>
      <c r="DK13" s="129"/>
      <c r="DL13" s="129"/>
      <c r="DM13" s="129"/>
      <c r="DN13" s="129"/>
      <c r="DO13" s="129"/>
      <c r="DP13" s="129"/>
      <c r="DQ13" s="129"/>
      <c r="DR13" s="129"/>
      <c r="DS13" s="129"/>
      <c r="DT13" s="129"/>
      <c r="DU13" s="129"/>
      <c r="DV13" s="129"/>
      <c r="DW13" s="129"/>
      <c r="DX13" s="129"/>
      <c r="DY13" s="129"/>
      <c r="DZ13" s="129"/>
      <c r="EA13" s="129"/>
      <c r="EB13" s="129"/>
      <c r="EC13" s="129"/>
      <c r="ED13" s="129"/>
      <c r="EE13" s="129"/>
      <c r="EF13" s="129"/>
      <c r="EG13" s="129"/>
      <c r="EH13" s="129"/>
      <c r="EI13" s="129"/>
      <c r="EJ13" s="129"/>
      <c r="EK13" s="129"/>
      <c r="EL13" s="129"/>
      <c r="EM13" s="129"/>
      <c r="EN13" s="129"/>
      <c r="EO13" s="129"/>
      <c r="EP13" s="129"/>
      <c r="EQ13" s="129"/>
      <c r="ER13" s="129"/>
      <c r="ES13" s="129"/>
      <c r="ET13" s="129"/>
      <c r="EU13" s="129"/>
      <c r="EV13" s="129"/>
      <c r="EW13" s="129"/>
      <c r="EX13" s="129"/>
      <c r="EY13" s="129"/>
      <c r="EZ13" s="129"/>
      <c r="FA13" s="129"/>
      <c r="FB13" s="129"/>
      <c r="FC13" s="129"/>
      <c r="FD13" s="129"/>
      <c r="FE13" s="129"/>
      <c r="FF13" s="129"/>
      <c r="FG13" s="129"/>
      <c r="FH13" s="129"/>
      <c r="FI13" s="129"/>
      <c r="FJ13" s="129"/>
    </row>
    <row r="14" spans="1:166" s="110" customFormat="1" ht="18" customHeight="1">
      <c r="A14" s="219">
        <v>11</v>
      </c>
      <c r="B14" s="118" t="s">
        <v>342</v>
      </c>
      <c r="C14" s="119"/>
      <c r="D14" s="119"/>
      <c r="E14" s="119"/>
      <c r="F14" s="119"/>
      <c r="G14" s="119"/>
      <c r="H14" s="119"/>
      <c r="I14" s="119"/>
      <c r="J14" s="119"/>
      <c r="K14" s="119"/>
      <c r="L14" s="119"/>
      <c r="M14" s="122"/>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224">
        <v>1</v>
      </c>
      <c r="AV14" s="119"/>
      <c r="AW14" s="119"/>
      <c r="AX14" s="119"/>
      <c r="AY14" s="119"/>
      <c r="AZ14" s="119"/>
      <c r="BA14" s="119"/>
      <c r="BB14" s="119"/>
      <c r="BC14" s="119"/>
      <c r="BD14" s="119"/>
      <c r="BE14" s="119"/>
      <c r="BF14" s="119"/>
      <c r="BG14" s="112"/>
      <c r="BH14" s="112"/>
      <c r="BI14" s="112"/>
      <c r="BJ14" s="112"/>
      <c r="BK14" s="125"/>
      <c r="BL14" s="125"/>
      <c r="BM14" s="125"/>
      <c r="BN14" s="125"/>
      <c r="BO14" s="225"/>
      <c r="BP14" s="225"/>
      <c r="BQ14" s="225"/>
      <c r="BR14" s="225"/>
      <c r="BS14" s="225"/>
      <c r="BT14" s="225"/>
      <c r="BU14" s="225"/>
      <c r="BV14" s="225"/>
      <c r="BW14" s="225"/>
      <c r="BX14" s="225"/>
      <c r="BY14" s="225"/>
      <c r="BZ14" s="225"/>
      <c r="CA14" s="225"/>
      <c r="CB14" s="225"/>
      <c r="CC14" s="225"/>
      <c r="CD14" s="225"/>
      <c r="CE14" s="225"/>
      <c r="CF14" s="225"/>
      <c r="CG14" s="225"/>
      <c r="CH14" s="225"/>
      <c r="CI14" s="225"/>
      <c r="CJ14" s="225"/>
      <c r="CK14" s="225"/>
      <c r="CL14" s="225"/>
      <c r="CM14" s="225"/>
      <c r="CN14" s="225"/>
      <c r="CO14" s="225"/>
      <c r="CP14" s="225"/>
      <c r="CQ14" s="225"/>
      <c r="CR14" s="112"/>
      <c r="CS14" s="112"/>
      <c r="CT14" s="112"/>
      <c r="CU14" s="112"/>
      <c r="CV14" s="112"/>
      <c r="CW14" s="112"/>
      <c r="CX14" s="112"/>
      <c r="CY14" s="112"/>
      <c r="CZ14" s="112"/>
      <c r="DA14" s="112"/>
      <c r="DB14" s="112"/>
      <c r="DC14" s="112"/>
      <c r="DD14" s="129"/>
      <c r="DE14" s="129"/>
      <c r="DF14" s="129"/>
      <c r="DG14" s="129"/>
      <c r="DH14" s="129"/>
      <c r="DI14" s="129"/>
      <c r="DJ14" s="129"/>
      <c r="DK14" s="129"/>
      <c r="DL14" s="129"/>
      <c r="DM14" s="129"/>
      <c r="DN14" s="129"/>
      <c r="DO14" s="129"/>
      <c r="DP14" s="129"/>
      <c r="DQ14" s="129"/>
      <c r="DR14" s="129"/>
      <c r="DS14" s="129"/>
      <c r="DT14" s="129"/>
      <c r="DU14" s="129"/>
      <c r="DV14" s="129"/>
      <c r="DW14" s="129"/>
      <c r="DX14" s="129"/>
      <c r="DY14" s="129"/>
      <c r="DZ14" s="129"/>
      <c r="EA14" s="129"/>
      <c r="EB14" s="129"/>
      <c r="EC14" s="129"/>
      <c r="ED14" s="129"/>
      <c r="EE14" s="129"/>
      <c r="EF14" s="129"/>
      <c r="EG14" s="129"/>
      <c r="EH14" s="129"/>
      <c r="EI14" s="129"/>
      <c r="EJ14" s="129"/>
      <c r="EK14" s="129"/>
      <c r="EL14" s="129"/>
      <c r="EM14" s="129"/>
      <c r="EN14" s="129"/>
      <c r="EO14" s="129"/>
      <c r="EP14" s="129"/>
      <c r="EQ14" s="129"/>
      <c r="ER14" s="129"/>
      <c r="ES14" s="129"/>
      <c r="ET14" s="129"/>
      <c r="EU14" s="129"/>
      <c r="EV14" s="129"/>
      <c r="EW14" s="129"/>
      <c r="EX14" s="129"/>
      <c r="EY14" s="129"/>
      <c r="EZ14" s="129"/>
      <c r="FA14" s="129"/>
      <c r="FB14" s="129"/>
      <c r="FC14" s="129"/>
      <c r="FD14" s="129"/>
      <c r="FE14" s="129"/>
      <c r="FF14" s="129"/>
      <c r="FG14" s="129"/>
      <c r="FH14" s="129"/>
      <c r="FI14" s="129"/>
      <c r="FJ14" s="129"/>
    </row>
    <row r="15" spans="1:166" s="110" customFormat="1" ht="19.5" customHeight="1">
      <c r="A15" s="114">
        <v>12</v>
      </c>
      <c r="B15" s="118" t="s">
        <v>235</v>
      </c>
      <c r="C15" s="119"/>
      <c r="D15" s="119"/>
      <c r="E15" s="119"/>
      <c r="F15" s="119"/>
      <c r="G15" s="119"/>
      <c r="H15" s="119"/>
      <c r="I15" s="119"/>
      <c r="J15" s="119"/>
      <c r="K15" s="119"/>
      <c r="L15" s="119"/>
      <c r="M15" s="122"/>
      <c r="N15" s="119"/>
      <c r="O15" s="119"/>
      <c r="P15" s="119"/>
      <c r="Q15" s="119"/>
      <c r="R15" s="119"/>
      <c r="S15" s="112"/>
      <c r="T15" s="112"/>
      <c r="U15" s="112"/>
      <c r="V15" s="112"/>
      <c r="W15" s="112"/>
      <c r="X15" s="112"/>
      <c r="Y15" s="112"/>
      <c r="Z15" s="112"/>
      <c r="AA15" s="112"/>
      <c r="AB15" s="112"/>
      <c r="AC15" s="125"/>
      <c r="AD15" s="125"/>
      <c r="AE15" s="125"/>
      <c r="AF15" s="125"/>
      <c r="AG15" s="125"/>
      <c r="AH15" s="125"/>
      <c r="AI15" s="125"/>
      <c r="AJ15" s="125"/>
      <c r="AK15" s="125"/>
      <c r="AL15" s="125"/>
      <c r="AM15" s="125"/>
      <c r="AN15" s="125"/>
      <c r="AO15" s="125"/>
      <c r="AP15" s="125"/>
      <c r="AQ15" s="125"/>
      <c r="AR15" s="125"/>
      <c r="AS15" s="125"/>
      <c r="AT15" s="125"/>
      <c r="AU15" s="225">
        <v>1</v>
      </c>
      <c r="AV15" s="125"/>
      <c r="AW15" s="125"/>
      <c r="AX15" s="172"/>
      <c r="AY15" s="125"/>
      <c r="AZ15" s="125"/>
      <c r="BA15" s="112"/>
      <c r="BB15" s="112"/>
      <c r="BC15" s="112"/>
      <c r="BD15" s="112"/>
      <c r="BE15" s="112"/>
      <c r="BF15" s="112"/>
      <c r="BG15" s="112"/>
      <c r="BH15" s="112"/>
      <c r="BI15" s="125"/>
      <c r="BJ15" s="125"/>
      <c r="BK15" s="125"/>
      <c r="BL15" s="125"/>
      <c r="BM15" s="125"/>
      <c r="BN15" s="125"/>
      <c r="BO15" s="225"/>
      <c r="BP15" s="225"/>
      <c r="BQ15" s="225"/>
      <c r="BR15" s="225"/>
      <c r="BS15" s="225"/>
      <c r="BT15" s="225"/>
      <c r="BU15" s="225"/>
      <c r="BV15" s="225"/>
      <c r="BW15" s="225"/>
      <c r="BX15" s="225"/>
      <c r="BY15" s="225"/>
      <c r="BZ15" s="225"/>
      <c r="CA15" s="225"/>
      <c r="CB15" s="225"/>
      <c r="CC15" s="225"/>
      <c r="CD15" s="225"/>
      <c r="CE15" s="225"/>
      <c r="CF15" s="225"/>
      <c r="CG15" s="225"/>
      <c r="CH15" s="225"/>
      <c r="CI15" s="225"/>
      <c r="CJ15" s="225"/>
      <c r="CK15" s="225"/>
      <c r="CL15" s="225"/>
      <c r="CM15" s="225"/>
      <c r="CN15" s="225"/>
      <c r="CO15" s="225"/>
      <c r="CP15" s="225"/>
      <c r="CQ15" s="225"/>
      <c r="CR15" s="112"/>
      <c r="CS15" s="112"/>
      <c r="CT15" s="112"/>
      <c r="CU15" s="112"/>
      <c r="CV15" s="112"/>
      <c r="CW15" s="112"/>
      <c r="CX15" s="112"/>
      <c r="CY15" s="112"/>
      <c r="CZ15" s="112"/>
      <c r="DA15" s="112"/>
      <c r="DB15" s="112"/>
      <c r="DC15" s="112"/>
      <c r="DD15" s="129"/>
      <c r="DE15" s="129"/>
      <c r="DF15" s="129"/>
      <c r="DG15" s="129"/>
      <c r="DH15" s="129"/>
      <c r="DI15" s="129"/>
      <c r="DJ15" s="129"/>
      <c r="DK15" s="129"/>
      <c r="DL15" s="129"/>
      <c r="DM15" s="129"/>
      <c r="DN15" s="129"/>
      <c r="DO15" s="129"/>
      <c r="DP15" s="129"/>
      <c r="DQ15" s="129"/>
      <c r="DR15" s="129"/>
      <c r="DS15" s="129"/>
      <c r="DT15" s="129"/>
      <c r="DU15" s="129"/>
      <c r="DV15" s="129"/>
      <c r="DW15" s="129"/>
      <c r="DX15" s="129"/>
      <c r="DY15" s="129"/>
      <c r="DZ15" s="129"/>
      <c r="EA15" s="129"/>
      <c r="EB15" s="129"/>
      <c r="EC15" s="129"/>
      <c r="ED15" s="129"/>
      <c r="EE15" s="129"/>
      <c r="EF15" s="129"/>
      <c r="EG15" s="129"/>
      <c r="EH15" s="129"/>
      <c r="EI15" s="129"/>
      <c r="EJ15" s="129"/>
      <c r="EK15" s="129"/>
      <c r="EL15" s="129"/>
      <c r="EM15" s="129"/>
      <c r="EN15" s="129"/>
      <c r="EO15" s="129"/>
      <c r="EP15" s="129"/>
      <c r="EQ15" s="129"/>
      <c r="ER15" s="129"/>
      <c r="ES15" s="129"/>
      <c r="ET15" s="129"/>
      <c r="EU15" s="129"/>
      <c r="EV15" s="129"/>
      <c r="EW15" s="129"/>
      <c r="EX15" s="129"/>
      <c r="EY15" s="129"/>
      <c r="EZ15" s="129"/>
      <c r="FA15" s="129"/>
      <c r="FB15" s="129"/>
      <c r="FC15" s="129"/>
      <c r="FD15" s="129"/>
      <c r="FE15" s="129"/>
      <c r="FF15" s="129"/>
      <c r="FG15" s="129"/>
      <c r="FH15" s="129"/>
      <c r="FI15" s="129"/>
      <c r="FJ15" s="129"/>
    </row>
    <row r="16" spans="1:166" s="110" customFormat="1" ht="18" customHeight="1">
      <c r="A16" s="114">
        <v>14</v>
      </c>
      <c r="B16" s="118" t="s">
        <v>343</v>
      </c>
      <c r="C16" s="119"/>
      <c r="D16" s="119"/>
      <c r="E16" s="119"/>
      <c r="F16" s="119"/>
      <c r="G16" s="119"/>
      <c r="H16" s="119"/>
      <c r="I16" s="119"/>
      <c r="J16" s="119"/>
      <c r="K16" s="119"/>
      <c r="L16" s="119"/>
      <c r="M16" s="122"/>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2"/>
      <c r="AV16" s="224">
        <v>1</v>
      </c>
      <c r="AW16" s="119"/>
      <c r="AX16" s="119"/>
      <c r="AY16" s="119"/>
      <c r="AZ16" s="119"/>
      <c r="BA16" s="119"/>
      <c r="BB16" s="119"/>
      <c r="BC16" s="119"/>
      <c r="BD16" s="119"/>
      <c r="BE16" s="119"/>
      <c r="BF16" s="119"/>
      <c r="BG16" s="119"/>
      <c r="BH16" s="112"/>
      <c r="BI16" s="112"/>
      <c r="BJ16" s="112"/>
      <c r="BK16" s="125"/>
      <c r="BL16" s="125"/>
      <c r="BM16" s="125"/>
      <c r="BN16" s="125"/>
      <c r="BO16" s="225"/>
      <c r="BP16" s="225"/>
      <c r="BQ16" s="225"/>
      <c r="BR16" s="225"/>
      <c r="BS16" s="225"/>
      <c r="BT16" s="225"/>
      <c r="BU16" s="225"/>
      <c r="BV16" s="225"/>
      <c r="BW16" s="225"/>
      <c r="BX16" s="225"/>
      <c r="BY16" s="225"/>
      <c r="BZ16" s="225"/>
      <c r="CA16" s="225"/>
      <c r="CB16" s="225"/>
      <c r="CC16" s="225"/>
      <c r="CD16" s="225"/>
      <c r="CE16" s="225"/>
      <c r="CF16" s="225"/>
      <c r="CG16" s="225"/>
      <c r="CH16" s="225"/>
      <c r="CI16" s="225"/>
      <c r="CJ16" s="225"/>
      <c r="CK16" s="225"/>
      <c r="CL16" s="225"/>
      <c r="CM16" s="225"/>
      <c r="CN16" s="225"/>
      <c r="CO16" s="225"/>
      <c r="CP16" s="225"/>
      <c r="CQ16" s="225"/>
      <c r="CR16" s="112"/>
      <c r="CS16" s="112"/>
      <c r="CT16" s="112"/>
      <c r="CU16" s="112"/>
      <c r="CV16" s="112"/>
      <c r="CW16" s="112"/>
      <c r="CX16" s="112"/>
      <c r="CY16" s="112"/>
      <c r="CZ16" s="112"/>
      <c r="DA16" s="112"/>
      <c r="DB16" s="112"/>
      <c r="DC16" s="112"/>
      <c r="DD16" s="129"/>
      <c r="DE16" s="129"/>
      <c r="DF16" s="129"/>
      <c r="DG16" s="129"/>
      <c r="DH16" s="129"/>
      <c r="DI16" s="129"/>
      <c r="DJ16" s="129"/>
      <c r="DK16" s="129"/>
      <c r="DL16" s="129"/>
      <c r="DM16" s="129"/>
      <c r="DN16" s="129"/>
      <c r="DO16" s="129"/>
      <c r="DP16" s="129"/>
      <c r="DQ16" s="129"/>
      <c r="DR16" s="129"/>
      <c r="DS16" s="129"/>
      <c r="DT16" s="129"/>
      <c r="DU16" s="129"/>
      <c r="DV16" s="129"/>
      <c r="DW16" s="129"/>
      <c r="DX16" s="129"/>
      <c r="DY16" s="129"/>
      <c r="DZ16" s="129"/>
      <c r="EA16" s="129"/>
      <c r="EB16" s="129"/>
      <c r="EC16" s="129"/>
      <c r="ED16" s="129"/>
      <c r="EE16" s="129"/>
      <c r="EF16" s="129"/>
      <c r="EG16" s="129"/>
      <c r="EH16" s="129"/>
      <c r="EI16" s="129"/>
      <c r="EJ16" s="129"/>
      <c r="EK16" s="129"/>
      <c r="EL16" s="129"/>
      <c r="EM16" s="129"/>
      <c r="EN16" s="129"/>
      <c r="EO16" s="129"/>
      <c r="EP16" s="129"/>
      <c r="EQ16" s="129"/>
      <c r="ER16" s="129"/>
      <c r="ES16" s="129"/>
      <c r="ET16" s="129"/>
      <c r="EU16" s="129"/>
      <c r="EV16" s="129"/>
      <c r="EW16" s="129"/>
      <c r="EX16" s="129"/>
      <c r="EY16" s="129"/>
      <c r="EZ16" s="129"/>
      <c r="FA16" s="129"/>
      <c r="FB16" s="129"/>
      <c r="FC16" s="129"/>
      <c r="FD16" s="129"/>
      <c r="FE16" s="129"/>
      <c r="FF16" s="129"/>
      <c r="FG16" s="129"/>
      <c r="FH16" s="129"/>
      <c r="FI16" s="129"/>
      <c r="FJ16" s="129"/>
    </row>
    <row r="17" spans="1:166" s="110" customFormat="1" ht="18" customHeight="1">
      <c r="A17" s="219">
        <v>13</v>
      </c>
      <c r="B17" s="118" t="s">
        <v>218</v>
      </c>
      <c r="C17" s="119"/>
      <c r="D17" s="119"/>
      <c r="E17" s="119"/>
      <c r="F17" s="119"/>
      <c r="G17" s="119"/>
      <c r="H17" s="119"/>
      <c r="I17" s="119"/>
      <c r="J17" s="119"/>
      <c r="K17" s="119"/>
      <c r="L17" s="119"/>
      <c r="M17" s="122"/>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2"/>
      <c r="AT17" s="112"/>
      <c r="AU17" s="172"/>
      <c r="AV17" s="224">
        <v>1</v>
      </c>
      <c r="AW17" s="225">
        <v>2</v>
      </c>
      <c r="AX17" s="224">
        <v>3</v>
      </c>
      <c r="AY17" s="225">
        <v>4</v>
      </c>
      <c r="AZ17" s="224">
        <v>5</v>
      </c>
      <c r="BA17" s="225">
        <v>6</v>
      </c>
      <c r="BB17" s="224">
        <v>7</v>
      </c>
      <c r="BC17" s="225">
        <v>8</v>
      </c>
      <c r="BD17" s="224">
        <v>9</v>
      </c>
      <c r="BE17" s="225">
        <v>10</v>
      </c>
      <c r="BF17" s="224">
        <v>11</v>
      </c>
      <c r="BG17" s="225">
        <v>12</v>
      </c>
      <c r="BH17" s="224">
        <v>13</v>
      </c>
      <c r="BI17" s="225">
        <v>14</v>
      </c>
      <c r="BJ17" s="224">
        <v>15</v>
      </c>
      <c r="BK17" s="225">
        <v>16</v>
      </c>
      <c r="BL17" s="224">
        <v>17</v>
      </c>
      <c r="BM17" s="225">
        <v>18</v>
      </c>
      <c r="BN17" s="224">
        <v>19</v>
      </c>
      <c r="BO17" s="225">
        <v>20</v>
      </c>
      <c r="BP17" s="224">
        <v>21</v>
      </c>
      <c r="BQ17" s="225">
        <v>22</v>
      </c>
      <c r="BR17" s="224">
        <v>23</v>
      </c>
      <c r="BS17" s="225">
        <v>24</v>
      </c>
      <c r="BT17" s="224">
        <v>25</v>
      </c>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112"/>
      <c r="CS17" s="112"/>
      <c r="CT17" s="112"/>
      <c r="CU17" s="112"/>
      <c r="CV17" s="112"/>
      <c r="CW17" s="112"/>
      <c r="CX17" s="112"/>
      <c r="CY17" s="112"/>
      <c r="CZ17" s="112"/>
      <c r="DA17" s="112"/>
      <c r="DB17" s="112"/>
      <c r="DC17" s="112"/>
      <c r="DD17" s="129"/>
      <c r="DE17" s="129"/>
      <c r="DF17" s="129"/>
      <c r="DG17" s="129"/>
      <c r="DH17" s="129"/>
      <c r="DI17" s="129"/>
      <c r="DJ17" s="129"/>
      <c r="DK17" s="129"/>
      <c r="DL17" s="129"/>
      <c r="DM17" s="129"/>
      <c r="DN17" s="129"/>
      <c r="DO17" s="129"/>
      <c r="DP17" s="129"/>
      <c r="DQ17" s="129"/>
      <c r="DR17" s="129"/>
      <c r="DS17" s="129"/>
      <c r="DT17" s="129"/>
      <c r="DU17" s="129"/>
      <c r="DV17" s="129"/>
      <c r="DW17" s="129"/>
      <c r="DX17" s="129"/>
      <c r="DY17" s="129"/>
      <c r="DZ17" s="129"/>
      <c r="EA17" s="129"/>
      <c r="EB17" s="129"/>
      <c r="EC17" s="129"/>
      <c r="ED17" s="129"/>
      <c r="EE17" s="129"/>
      <c r="EF17" s="129"/>
      <c r="EG17" s="129"/>
      <c r="EH17" s="129"/>
      <c r="EI17" s="129"/>
      <c r="EJ17" s="129"/>
      <c r="EK17" s="129"/>
      <c r="EL17" s="129"/>
      <c r="EM17" s="129"/>
      <c r="EN17" s="129"/>
      <c r="EO17" s="129"/>
      <c r="EP17" s="129"/>
      <c r="EQ17" s="129"/>
      <c r="ER17" s="129"/>
      <c r="ES17" s="129"/>
      <c r="ET17" s="129"/>
      <c r="EU17" s="129"/>
      <c r="EV17" s="129"/>
      <c r="EW17" s="129"/>
      <c r="EX17" s="129"/>
      <c r="EY17" s="129"/>
      <c r="EZ17" s="129"/>
      <c r="FA17" s="129"/>
      <c r="FB17" s="129"/>
      <c r="FC17" s="129"/>
      <c r="FD17" s="129"/>
      <c r="FE17" s="129"/>
      <c r="FF17" s="129"/>
      <c r="FG17" s="129"/>
      <c r="FH17" s="129"/>
      <c r="FI17" s="129"/>
      <c r="FJ17" s="129"/>
    </row>
    <row r="18" spans="1:166" s="110" customFormat="1" ht="18" customHeight="1">
      <c r="A18" s="219">
        <v>15</v>
      </c>
      <c r="B18" s="118" t="s">
        <v>215</v>
      </c>
      <c r="C18" s="119"/>
      <c r="D18" s="119"/>
      <c r="E18" s="119"/>
      <c r="F18" s="119"/>
      <c r="G18" s="119"/>
      <c r="H18" s="119"/>
      <c r="I18" s="119"/>
      <c r="J18" s="119"/>
      <c r="K18" s="119"/>
      <c r="L18" s="119"/>
      <c r="M18" s="122"/>
      <c r="N18" s="119"/>
      <c r="O18" s="119"/>
      <c r="P18" s="119"/>
      <c r="Q18" s="119"/>
      <c r="R18" s="119"/>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12"/>
      <c r="AV18" s="119"/>
      <c r="AW18" s="225">
        <v>1</v>
      </c>
      <c r="AX18" s="225">
        <v>2</v>
      </c>
      <c r="AY18" s="225">
        <v>3</v>
      </c>
      <c r="AZ18" s="225">
        <v>4</v>
      </c>
      <c r="BA18" s="225">
        <v>5</v>
      </c>
      <c r="BB18" s="225">
        <v>6</v>
      </c>
      <c r="BC18" s="225">
        <v>7</v>
      </c>
      <c r="BD18" s="225">
        <v>8</v>
      </c>
      <c r="BE18" s="225">
        <v>9</v>
      </c>
      <c r="BF18" s="225">
        <v>10</v>
      </c>
      <c r="BG18" s="225">
        <v>11</v>
      </c>
      <c r="BH18" s="225">
        <v>12</v>
      </c>
      <c r="BI18" s="225">
        <v>13</v>
      </c>
      <c r="BJ18" s="225">
        <v>14</v>
      </c>
      <c r="BK18" s="225">
        <v>15</v>
      </c>
      <c r="BL18" s="225">
        <v>16</v>
      </c>
      <c r="BM18" s="225">
        <v>17</v>
      </c>
      <c r="BN18" s="225">
        <v>18</v>
      </c>
      <c r="BO18" s="225">
        <v>19</v>
      </c>
      <c r="BP18" s="225">
        <v>20</v>
      </c>
      <c r="BQ18" s="225">
        <v>21</v>
      </c>
      <c r="BR18" s="225">
        <v>22</v>
      </c>
      <c r="BS18" s="225">
        <v>23</v>
      </c>
      <c r="BT18" s="225">
        <v>24</v>
      </c>
      <c r="BU18" s="225">
        <v>25</v>
      </c>
      <c r="BV18" s="225">
        <v>26</v>
      </c>
      <c r="BW18" s="225">
        <v>27</v>
      </c>
      <c r="BX18" s="225">
        <v>28</v>
      </c>
      <c r="BY18" s="225">
        <v>29</v>
      </c>
      <c r="BZ18" s="225">
        <v>30</v>
      </c>
      <c r="CA18" s="225">
        <v>31</v>
      </c>
      <c r="CB18" s="225">
        <v>32</v>
      </c>
      <c r="CC18" s="225">
        <v>33</v>
      </c>
      <c r="CD18" s="225">
        <v>34</v>
      </c>
      <c r="CE18" s="225">
        <v>35</v>
      </c>
      <c r="CF18" s="225">
        <v>36</v>
      </c>
      <c r="CG18" s="225">
        <v>37</v>
      </c>
      <c r="CH18" s="225">
        <v>38</v>
      </c>
      <c r="CI18" s="225">
        <v>39</v>
      </c>
      <c r="CJ18" s="225">
        <v>40</v>
      </c>
      <c r="CK18" s="225">
        <v>41</v>
      </c>
      <c r="CL18" s="225">
        <v>42</v>
      </c>
      <c r="CM18" s="225">
        <v>43</v>
      </c>
      <c r="CN18" s="225">
        <v>44</v>
      </c>
      <c r="CO18" s="225">
        <v>45</v>
      </c>
      <c r="CP18" s="225">
        <v>46</v>
      </c>
      <c r="CQ18" s="225">
        <v>47</v>
      </c>
      <c r="CR18" s="225">
        <v>48</v>
      </c>
      <c r="CS18" s="225">
        <v>49</v>
      </c>
      <c r="CT18" s="225">
        <v>50</v>
      </c>
      <c r="CU18" s="225">
        <v>51</v>
      </c>
      <c r="CV18" s="225"/>
      <c r="CW18" s="225"/>
      <c r="CX18" s="225"/>
      <c r="CY18" s="225"/>
      <c r="CZ18" s="225"/>
      <c r="DA18" s="112"/>
      <c r="DB18" s="112"/>
      <c r="DC18" s="112"/>
      <c r="DD18" s="129"/>
      <c r="DE18" s="129"/>
      <c r="DF18" s="129"/>
      <c r="DG18" s="129"/>
      <c r="DH18" s="129"/>
      <c r="DI18" s="129"/>
      <c r="DJ18" s="129"/>
      <c r="DK18" s="129"/>
      <c r="DL18" s="129"/>
      <c r="DM18" s="129"/>
      <c r="DN18" s="129"/>
      <c r="DO18" s="129"/>
      <c r="DP18" s="129"/>
      <c r="DQ18" s="129"/>
      <c r="DR18" s="129"/>
      <c r="DS18" s="129"/>
      <c r="DT18" s="129"/>
      <c r="DU18" s="129"/>
      <c r="DV18" s="129"/>
      <c r="DW18" s="129"/>
      <c r="DX18" s="129"/>
      <c r="DY18" s="129"/>
      <c r="DZ18" s="129"/>
      <c r="EA18" s="129"/>
      <c r="EB18" s="129"/>
      <c r="EC18" s="129"/>
      <c r="ED18" s="129"/>
      <c r="EE18" s="129"/>
      <c r="EF18" s="129"/>
      <c r="EG18" s="129"/>
      <c r="EH18" s="129"/>
      <c r="EI18" s="129"/>
      <c r="EJ18" s="129"/>
      <c r="EK18" s="129"/>
      <c r="EL18" s="129"/>
      <c r="EM18" s="129"/>
      <c r="EN18" s="129"/>
      <c r="EO18" s="129"/>
      <c r="EP18" s="129"/>
      <c r="EQ18" s="129"/>
      <c r="ER18" s="129"/>
      <c r="ES18" s="129"/>
      <c r="ET18" s="129"/>
      <c r="EU18" s="129"/>
      <c r="EV18" s="129"/>
      <c r="EW18" s="129"/>
      <c r="EX18" s="129"/>
      <c r="EY18" s="129"/>
      <c r="EZ18" s="129"/>
      <c r="FA18" s="129"/>
      <c r="FB18" s="129"/>
      <c r="FC18" s="129"/>
      <c r="FD18" s="129"/>
      <c r="FE18" s="129"/>
      <c r="FF18" s="129"/>
      <c r="FG18" s="129"/>
      <c r="FH18" s="129"/>
      <c r="FI18" s="129"/>
      <c r="FJ18" s="129"/>
    </row>
    <row r="19" spans="1:166" ht="18" customHeight="1">
      <c r="A19" s="114">
        <v>16</v>
      </c>
      <c r="B19" s="118" t="s">
        <v>211</v>
      </c>
      <c r="C19" s="119"/>
      <c r="D19" s="119"/>
      <c r="E19" s="119"/>
      <c r="F19" s="119"/>
      <c r="G19" s="119"/>
      <c r="H19" s="119"/>
      <c r="I19" s="119"/>
      <c r="J19" s="119"/>
      <c r="K19" s="119"/>
      <c r="L19" s="119"/>
      <c r="M19" s="122"/>
      <c r="N19" s="119"/>
      <c r="O19" s="119"/>
      <c r="P19" s="119"/>
      <c r="Q19" s="119"/>
      <c r="R19" s="112"/>
      <c r="S19" s="112"/>
      <c r="T19" s="112"/>
      <c r="U19" s="112"/>
      <c r="V19" s="112"/>
      <c r="W19" s="112"/>
      <c r="X19" s="112"/>
      <c r="Y19" s="125"/>
      <c r="Z19" s="125"/>
      <c r="AA19" s="125"/>
      <c r="AB19" s="112"/>
      <c r="AC19" s="125"/>
      <c r="AD19" s="125"/>
      <c r="AE19" s="125"/>
      <c r="AF19" s="125"/>
      <c r="AG19" s="112"/>
      <c r="AH19" s="112"/>
      <c r="AI19" s="112"/>
      <c r="AJ19" s="112"/>
      <c r="AK19" s="112"/>
      <c r="AL19" s="112"/>
      <c r="AM19" s="112"/>
      <c r="AN19" s="125"/>
      <c r="AO19" s="125"/>
      <c r="AP19" s="125"/>
      <c r="AQ19" s="125"/>
      <c r="AR19" s="125"/>
      <c r="AS19" s="125"/>
      <c r="AT19" s="125"/>
      <c r="AU19" s="126"/>
      <c r="AV19" s="125"/>
      <c r="AW19" s="125"/>
      <c r="AX19" s="125"/>
      <c r="AY19" s="112"/>
      <c r="AZ19" s="112"/>
      <c r="BA19" s="112"/>
      <c r="BB19" s="112"/>
      <c r="BC19" s="112"/>
      <c r="BD19" s="112"/>
      <c r="BE19" s="112"/>
      <c r="BF19" s="112"/>
      <c r="BG19" s="225">
        <v>1</v>
      </c>
      <c r="BH19" s="225">
        <v>2</v>
      </c>
      <c r="BI19" s="225">
        <v>3</v>
      </c>
      <c r="BJ19" s="225">
        <v>4</v>
      </c>
      <c r="BK19" s="225">
        <v>5</v>
      </c>
      <c r="BL19" s="225">
        <v>6</v>
      </c>
      <c r="BM19" s="225">
        <v>7</v>
      </c>
      <c r="BN19" s="225">
        <v>8</v>
      </c>
      <c r="BO19" s="225">
        <v>9</v>
      </c>
      <c r="BP19" s="225">
        <v>10</v>
      </c>
      <c r="BQ19" s="225">
        <v>11</v>
      </c>
      <c r="BR19" s="225">
        <v>12</v>
      </c>
      <c r="BS19" s="225">
        <v>13</v>
      </c>
      <c r="BT19" s="225">
        <v>14</v>
      </c>
      <c r="BU19" s="225"/>
      <c r="BV19" s="225"/>
      <c r="BW19" s="225"/>
      <c r="BX19" s="225"/>
      <c r="BY19" s="225"/>
      <c r="BZ19" s="225"/>
      <c r="CA19" s="225"/>
      <c r="CB19" s="225"/>
      <c r="CC19" s="225"/>
      <c r="CD19" s="225"/>
      <c r="CE19" s="225"/>
      <c r="CF19" s="225"/>
      <c r="CG19" s="225"/>
      <c r="CH19" s="225"/>
      <c r="CI19" s="225"/>
      <c r="CJ19" s="225"/>
      <c r="CK19" s="225"/>
      <c r="CL19" s="225"/>
      <c r="CM19" s="225"/>
      <c r="CN19" s="225"/>
      <c r="CO19" s="225"/>
      <c r="CP19" s="225"/>
      <c r="CQ19" s="225"/>
      <c r="CR19" s="225"/>
      <c r="CS19" s="225"/>
      <c r="CT19" s="225"/>
      <c r="CU19" s="225"/>
      <c r="CV19" s="225"/>
      <c r="CW19" s="225"/>
      <c r="CX19" s="225"/>
      <c r="CY19" s="225"/>
      <c r="CZ19" s="225"/>
      <c r="DA19" s="112"/>
      <c r="DB19" s="112"/>
      <c r="DC19" s="112"/>
      <c r="DD19" s="129"/>
      <c r="DE19" s="129"/>
      <c r="DF19" s="129"/>
      <c r="DG19" s="129"/>
      <c r="DH19" s="129"/>
      <c r="DI19" s="129"/>
      <c r="DJ19" s="129"/>
      <c r="DK19" s="129"/>
      <c r="DL19" s="129"/>
      <c r="DM19" s="129"/>
      <c r="DN19" s="129"/>
      <c r="DO19" s="129"/>
      <c r="DP19" s="129"/>
      <c r="DQ19" s="129"/>
      <c r="DR19" s="129"/>
      <c r="DS19" s="129"/>
      <c r="DT19" s="129"/>
      <c r="DU19" s="129"/>
      <c r="DV19" s="129"/>
      <c r="DW19" s="129"/>
      <c r="DX19" s="129"/>
      <c r="DY19" s="129"/>
      <c r="DZ19" s="129"/>
      <c r="EA19" s="129"/>
      <c r="EB19" s="129"/>
      <c r="EC19" s="129"/>
      <c r="ED19" s="129"/>
      <c r="EE19" s="129"/>
      <c r="EF19" s="129"/>
      <c r="EG19" s="129"/>
      <c r="EH19" s="129"/>
      <c r="EI19" s="129"/>
      <c r="EJ19" s="129"/>
      <c r="EK19" s="129"/>
      <c r="EL19" s="129"/>
      <c r="EM19" s="129"/>
      <c r="EN19" s="129"/>
      <c r="EO19" s="129"/>
      <c r="EP19" s="129"/>
      <c r="EQ19" s="129"/>
      <c r="ER19" s="129"/>
      <c r="ES19" s="129"/>
      <c r="ET19" s="129"/>
      <c r="EU19" s="129"/>
      <c r="EV19" s="129"/>
      <c r="EW19" s="129"/>
      <c r="EX19" s="129"/>
      <c r="EY19" s="129"/>
      <c r="EZ19" s="129"/>
      <c r="FA19" s="129"/>
      <c r="FB19" s="129"/>
      <c r="FC19" s="129"/>
      <c r="FD19" s="129"/>
      <c r="FE19" s="129"/>
      <c r="FF19" s="129"/>
      <c r="FG19" s="129"/>
      <c r="FH19" s="129"/>
      <c r="FI19" s="129"/>
      <c r="FJ19" s="129"/>
    </row>
    <row r="20" spans="1:166" s="110" customFormat="1" ht="18" customHeight="1">
      <c r="A20" s="219">
        <v>17</v>
      </c>
      <c r="B20" s="118" t="s">
        <v>224</v>
      </c>
      <c r="C20" s="119"/>
      <c r="D20" s="119"/>
      <c r="E20" s="119"/>
      <c r="F20" s="119"/>
      <c r="G20" s="119"/>
      <c r="H20" s="119"/>
      <c r="I20" s="119"/>
      <c r="J20" s="119"/>
      <c r="K20" s="119"/>
      <c r="L20" s="119"/>
      <c r="M20" s="122"/>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2"/>
      <c r="BF20" s="112"/>
      <c r="BG20" s="112"/>
      <c r="BH20" s="112"/>
      <c r="BI20" s="112"/>
      <c r="BJ20" s="225">
        <v>1</v>
      </c>
      <c r="BK20" s="225">
        <v>2</v>
      </c>
      <c r="BL20" s="225">
        <v>3</v>
      </c>
      <c r="BM20" s="225">
        <v>4</v>
      </c>
      <c r="BN20" s="225">
        <v>5</v>
      </c>
      <c r="BO20" s="225">
        <v>6</v>
      </c>
      <c r="BP20" s="225">
        <v>7</v>
      </c>
      <c r="BQ20" s="225">
        <v>8</v>
      </c>
      <c r="BR20" s="225">
        <v>9</v>
      </c>
      <c r="BS20" s="225">
        <v>10</v>
      </c>
      <c r="BT20" s="225">
        <v>11</v>
      </c>
      <c r="BU20" s="225">
        <v>12</v>
      </c>
      <c r="BV20" s="225">
        <v>13</v>
      </c>
      <c r="BW20" s="225">
        <v>14</v>
      </c>
      <c r="BX20" s="225">
        <v>15</v>
      </c>
      <c r="BY20" s="225">
        <v>16</v>
      </c>
      <c r="BZ20" s="225">
        <v>17</v>
      </c>
      <c r="CA20" s="225">
        <v>18</v>
      </c>
      <c r="CB20" s="225">
        <v>19</v>
      </c>
      <c r="CC20" s="225">
        <v>20</v>
      </c>
      <c r="CD20" s="225">
        <v>21</v>
      </c>
      <c r="CE20" s="225">
        <v>22</v>
      </c>
      <c r="CF20" s="225">
        <v>23</v>
      </c>
      <c r="CG20" s="225">
        <v>24</v>
      </c>
      <c r="CH20" s="225">
        <v>25</v>
      </c>
      <c r="CI20" s="225">
        <v>26</v>
      </c>
      <c r="CJ20" s="225">
        <v>27</v>
      </c>
      <c r="CK20" s="225">
        <v>28</v>
      </c>
      <c r="CL20" s="225">
        <v>29</v>
      </c>
      <c r="CM20" s="225">
        <v>30</v>
      </c>
      <c r="CN20" s="225">
        <v>31</v>
      </c>
      <c r="CO20" s="225">
        <v>32</v>
      </c>
      <c r="CP20" s="225">
        <v>33</v>
      </c>
      <c r="CQ20" s="225">
        <v>34</v>
      </c>
      <c r="CR20" s="225">
        <v>35</v>
      </c>
      <c r="CS20" s="225">
        <v>36</v>
      </c>
      <c r="CT20" s="225">
        <v>37</v>
      </c>
      <c r="CU20" s="225">
        <v>38</v>
      </c>
      <c r="CV20" s="225">
        <v>39</v>
      </c>
      <c r="CW20" s="225">
        <v>40</v>
      </c>
      <c r="CX20" s="225"/>
      <c r="CY20" s="225"/>
      <c r="CZ20" s="225"/>
      <c r="DA20" s="112"/>
      <c r="DB20" s="112"/>
      <c r="DC20" s="112"/>
      <c r="DD20" s="129"/>
      <c r="DE20" s="129"/>
      <c r="DF20" s="129"/>
      <c r="DG20" s="129"/>
      <c r="DH20" s="129"/>
      <c r="DI20" s="129"/>
      <c r="DJ20" s="129"/>
      <c r="DK20" s="129"/>
      <c r="DL20" s="129"/>
      <c r="DM20" s="129"/>
      <c r="DN20" s="129"/>
      <c r="DO20" s="129"/>
      <c r="DP20" s="129"/>
      <c r="DQ20" s="129"/>
      <c r="DR20" s="129"/>
      <c r="DS20" s="129"/>
      <c r="DT20" s="129"/>
      <c r="DU20" s="129"/>
      <c r="DV20" s="129"/>
      <c r="DW20" s="129"/>
      <c r="DX20" s="129"/>
      <c r="DY20" s="129"/>
      <c r="DZ20" s="129"/>
      <c r="EA20" s="129"/>
      <c r="EB20" s="129"/>
      <c r="EC20" s="129"/>
      <c r="ED20" s="129"/>
      <c r="EE20" s="129"/>
      <c r="EF20" s="129"/>
      <c r="EG20" s="129"/>
      <c r="EH20" s="129"/>
      <c r="EI20" s="129"/>
      <c r="EJ20" s="129"/>
      <c r="EK20" s="129"/>
      <c r="EL20" s="129"/>
      <c r="EM20" s="129"/>
      <c r="EN20" s="129"/>
      <c r="EO20" s="129"/>
      <c r="EP20" s="129"/>
      <c r="EQ20" s="129"/>
      <c r="ER20" s="129"/>
      <c r="ES20" s="129"/>
      <c r="ET20" s="129"/>
      <c r="EU20" s="129"/>
      <c r="EV20" s="129"/>
      <c r="EW20" s="129"/>
      <c r="EX20" s="129"/>
      <c r="EY20" s="129"/>
      <c r="EZ20" s="129"/>
      <c r="FA20" s="129"/>
      <c r="FB20" s="129"/>
      <c r="FC20" s="129"/>
      <c r="FD20" s="129"/>
      <c r="FE20" s="129"/>
      <c r="FF20" s="129"/>
      <c r="FG20" s="129"/>
      <c r="FH20" s="129"/>
      <c r="FI20" s="129"/>
      <c r="FJ20" s="129"/>
    </row>
    <row r="21" spans="1:166" s="110" customFormat="1" ht="18" customHeight="1">
      <c r="A21" s="114">
        <v>20</v>
      </c>
      <c r="B21" s="118" t="s">
        <v>590</v>
      </c>
      <c r="C21" s="119"/>
      <c r="D21" s="119"/>
      <c r="E21" s="119"/>
      <c r="F21" s="119"/>
      <c r="G21" s="119"/>
      <c r="H21" s="119"/>
      <c r="I21" s="119"/>
      <c r="J21" s="119"/>
      <c r="K21" s="119"/>
      <c r="L21" s="119"/>
      <c r="M21" s="122"/>
      <c r="N21" s="119"/>
      <c r="O21" s="119"/>
      <c r="P21" s="119"/>
      <c r="Q21" s="119"/>
      <c r="R21" s="119"/>
      <c r="S21" s="112"/>
      <c r="T21" s="112"/>
      <c r="U21" s="112"/>
      <c r="V21" s="112"/>
      <c r="W21" s="112"/>
      <c r="X21" s="112"/>
      <c r="Y21" s="112"/>
      <c r="Z21" s="112"/>
      <c r="AA21" s="112"/>
      <c r="AB21" s="112"/>
      <c r="AC21" s="125"/>
      <c r="AD21" s="125"/>
      <c r="AE21" s="125"/>
      <c r="AF21" s="125"/>
      <c r="AG21" s="125"/>
      <c r="AH21" s="125"/>
      <c r="AI21" s="125"/>
      <c r="AJ21" s="125"/>
      <c r="AK21" s="125"/>
      <c r="AL21" s="125"/>
      <c r="AM21" s="125"/>
      <c r="AN21" s="125"/>
      <c r="AO21" s="125"/>
      <c r="AP21" s="125"/>
      <c r="AQ21" s="125"/>
      <c r="AR21" s="125"/>
      <c r="AS21" s="112"/>
      <c r="AT21" s="112"/>
      <c r="AU21" s="125"/>
      <c r="AV21" s="125"/>
      <c r="AW21" s="125"/>
      <c r="AX21" s="125"/>
      <c r="AY21" s="112"/>
      <c r="AZ21" s="125"/>
      <c r="BA21" s="112"/>
      <c r="BB21" s="112"/>
      <c r="BC21" s="112"/>
      <c r="BD21" s="112"/>
      <c r="BE21" s="112"/>
      <c r="BF21" s="112"/>
      <c r="BG21" s="112"/>
      <c r="BH21" s="112"/>
      <c r="BI21" s="112"/>
      <c r="BJ21" s="112"/>
      <c r="BK21" s="112"/>
      <c r="BL21" s="112"/>
      <c r="BM21" s="112"/>
      <c r="BN21" s="112"/>
      <c r="BO21" s="112"/>
      <c r="BP21" s="225">
        <v>1</v>
      </c>
      <c r="BQ21" s="225"/>
      <c r="BR21" s="225"/>
      <c r="BS21" s="225"/>
      <c r="BT21" s="225"/>
      <c r="BU21" s="225"/>
      <c r="BV21" s="225"/>
      <c r="BW21" s="225"/>
      <c r="BX21" s="225"/>
      <c r="BY21" s="225"/>
      <c r="BZ21" s="225"/>
      <c r="CA21" s="225"/>
      <c r="CB21" s="225"/>
      <c r="CC21" s="225"/>
      <c r="CD21" s="225"/>
      <c r="CE21" s="225"/>
      <c r="CF21" s="225"/>
      <c r="CG21" s="225"/>
      <c r="CH21" s="225"/>
      <c r="CI21" s="225"/>
      <c r="CJ21" s="225"/>
      <c r="CK21" s="225"/>
      <c r="CL21" s="225"/>
      <c r="CM21" s="225"/>
      <c r="CN21" s="225"/>
      <c r="CO21" s="225"/>
      <c r="CP21" s="225"/>
      <c r="CQ21" s="225"/>
      <c r="CR21" s="225"/>
      <c r="CS21" s="225"/>
      <c r="CT21" s="225"/>
      <c r="CU21" s="225"/>
      <c r="CV21" s="225"/>
      <c r="CW21" s="225"/>
      <c r="CX21" s="225"/>
      <c r="CY21" s="225"/>
      <c r="CZ21" s="225"/>
      <c r="DA21" s="112"/>
      <c r="DB21" s="112"/>
      <c r="DC21" s="112"/>
      <c r="DD21" s="129"/>
      <c r="DE21" s="129"/>
      <c r="DF21" s="129"/>
      <c r="DG21" s="129"/>
      <c r="DH21" s="129"/>
      <c r="DI21" s="129"/>
      <c r="DJ21" s="129"/>
      <c r="DK21" s="129"/>
      <c r="DL21" s="129"/>
      <c r="DM21" s="129"/>
      <c r="DN21" s="129"/>
      <c r="DO21" s="129"/>
      <c r="DP21" s="129"/>
      <c r="DQ21" s="129"/>
      <c r="DR21" s="129"/>
      <c r="DS21" s="129"/>
      <c r="DT21" s="129"/>
      <c r="DU21" s="129"/>
      <c r="DV21" s="129"/>
      <c r="DW21" s="129"/>
      <c r="DX21" s="129"/>
      <c r="DY21" s="129"/>
      <c r="DZ21" s="129"/>
      <c r="EA21" s="129"/>
      <c r="EB21" s="129"/>
      <c r="EC21" s="129"/>
      <c r="ED21" s="129"/>
      <c r="EE21" s="129"/>
      <c r="EF21" s="129"/>
      <c r="EG21" s="129"/>
      <c r="EH21" s="129"/>
      <c r="EI21" s="129"/>
      <c r="EJ21" s="129"/>
      <c r="EK21" s="129"/>
      <c r="EL21" s="129"/>
      <c r="EM21" s="129"/>
      <c r="EN21" s="129"/>
      <c r="EO21" s="129"/>
      <c r="EP21" s="129"/>
      <c r="EQ21" s="129"/>
      <c r="ER21" s="129"/>
      <c r="ES21" s="129"/>
      <c r="ET21" s="129"/>
      <c r="EU21" s="129"/>
      <c r="EV21" s="129"/>
      <c r="EW21" s="129"/>
      <c r="EX21" s="129"/>
      <c r="EY21" s="129"/>
      <c r="EZ21" s="129"/>
      <c r="FA21" s="129"/>
      <c r="FB21" s="129"/>
      <c r="FC21" s="129"/>
      <c r="FD21" s="129"/>
      <c r="FE21" s="129"/>
      <c r="FF21" s="129"/>
      <c r="FG21" s="129"/>
      <c r="FH21" s="129"/>
      <c r="FI21" s="129"/>
      <c r="FJ21" s="129"/>
    </row>
    <row r="22" spans="1:166" s="110" customFormat="1" ht="18" customHeight="1">
      <c r="A22" s="219">
        <v>21</v>
      </c>
      <c r="B22" s="118" t="s">
        <v>234</v>
      </c>
      <c r="C22" s="119"/>
      <c r="D22" s="119"/>
      <c r="E22" s="119"/>
      <c r="F22" s="119"/>
      <c r="G22" s="119"/>
      <c r="H22" s="119"/>
      <c r="I22" s="119"/>
      <c r="J22" s="119"/>
      <c r="K22" s="119"/>
      <c r="L22" s="119"/>
      <c r="M22" s="122"/>
      <c r="N22" s="119"/>
      <c r="O22" s="119"/>
      <c r="P22" s="119"/>
      <c r="Q22" s="119"/>
      <c r="R22" s="119"/>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225">
        <v>1</v>
      </c>
      <c r="BQ22" s="225">
        <v>2</v>
      </c>
      <c r="BR22" s="225">
        <v>3</v>
      </c>
      <c r="BS22" s="225">
        <v>4</v>
      </c>
      <c r="BT22" s="225">
        <v>5</v>
      </c>
      <c r="BU22" s="225">
        <v>6</v>
      </c>
      <c r="BV22" s="225">
        <v>7</v>
      </c>
      <c r="BW22" s="225">
        <v>8</v>
      </c>
      <c r="BX22" s="225">
        <v>9</v>
      </c>
      <c r="BY22" s="225">
        <v>10</v>
      </c>
      <c r="BZ22" s="225">
        <v>11</v>
      </c>
      <c r="CA22" s="225">
        <v>12</v>
      </c>
      <c r="CB22" s="225">
        <v>13</v>
      </c>
      <c r="CC22" s="225">
        <v>14</v>
      </c>
      <c r="CD22" s="225">
        <v>15</v>
      </c>
      <c r="CE22" s="225">
        <v>16</v>
      </c>
      <c r="CF22" s="225">
        <v>17</v>
      </c>
      <c r="CG22" s="225">
        <v>18</v>
      </c>
      <c r="CH22" s="225">
        <v>19</v>
      </c>
      <c r="CI22" s="225">
        <v>20</v>
      </c>
      <c r="CJ22" s="273"/>
      <c r="CK22" s="273"/>
      <c r="CL22" s="273"/>
      <c r="CM22" s="273"/>
      <c r="CN22" s="273"/>
      <c r="CO22" s="273"/>
      <c r="CP22" s="273"/>
      <c r="CQ22" s="225"/>
      <c r="CR22" s="225">
        <v>1</v>
      </c>
      <c r="CS22" s="225"/>
      <c r="CT22" s="225"/>
      <c r="CU22" s="225"/>
      <c r="CV22" s="225"/>
      <c r="CW22" s="225"/>
      <c r="CX22" s="225"/>
      <c r="CY22" s="225"/>
      <c r="CZ22" s="225"/>
      <c r="DA22" s="125"/>
      <c r="DB22" s="112"/>
      <c r="DC22" s="112"/>
      <c r="DD22" s="125"/>
      <c r="DE22" s="125"/>
      <c r="DF22" s="125"/>
      <c r="DG22" s="125"/>
      <c r="DH22" s="125"/>
      <c r="DI22" s="125"/>
      <c r="DJ22" s="125"/>
      <c r="DK22" s="129"/>
      <c r="DL22" s="129"/>
      <c r="DM22" s="129"/>
      <c r="DN22" s="129"/>
      <c r="DO22" s="129"/>
      <c r="DP22" s="129"/>
      <c r="DQ22" s="129"/>
      <c r="DR22" s="129"/>
      <c r="DS22" s="129"/>
      <c r="DT22" s="129"/>
      <c r="DU22" s="129"/>
      <c r="DV22" s="129"/>
      <c r="DW22" s="129"/>
      <c r="DX22" s="129"/>
      <c r="DY22" s="129"/>
      <c r="DZ22" s="129"/>
      <c r="EA22" s="129"/>
      <c r="EB22" s="129"/>
      <c r="EC22" s="129"/>
      <c r="ED22" s="129"/>
      <c r="EE22" s="129"/>
      <c r="EF22" s="129"/>
      <c r="EG22" s="129"/>
      <c r="EH22" s="129"/>
      <c r="EI22" s="129"/>
      <c r="EJ22" s="129"/>
      <c r="EK22" s="129"/>
      <c r="EL22" s="129"/>
      <c r="EM22" s="129"/>
      <c r="EN22" s="129"/>
      <c r="EO22" s="129"/>
      <c r="EP22" s="129"/>
      <c r="EQ22" s="129"/>
      <c r="ER22" s="129"/>
      <c r="ES22" s="129"/>
      <c r="ET22" s="129"/>
      <c r="EU22" s="129"/>
      <c r="EV22" s="129"/>
      <c r="EW22" s="129"/>
      <c r="EX22" s="129"/>
      <c r="EY22" s="129"/>
      <c r="EZ22" s="129"/>
      <c r="FA22" s="129"/>
      <c r="FB22" s="129"/>
      <c r="FC22" s="129"/>
      <c r="FD22" s="129"/>
      <c r="FE22" s="129"/>
      <c r="FF22" s="129"/>
      <c r="FG22" s="129"/>
      <c r="FH22" s="129"/>
      <c r="FI22" s="129"/>
      <c r="FJ22" s="129"/>
    </row>
    <row r="23" spans="1:166" s="110" customFormat="1" ht="18" customHeight="1">
      <c r="A23" s="219">
        <v>19</v>
      </c>
      <c r="B23" s="118" t="s">
        <v>318</v>
      </c>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2"/>
      <c r="AT23" s="112"/>
      <c r="AU23" s="119"/>
      <c r="AV23" s="119"/>
      <c r="AW23" s="119"/>
      <c r="AX23" s="172"/>
      <c r="AY23" s="119"/>
      <c r="AZ23" s="119"/>
      <c r="BA23" s="119"/>
      <c r="BB23" s="119"/>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225"/>
      <c r="CS23" s="225"/>
      <c r="CT23" s="296">
        <v>1</v>
      </c>
      <c r="CU23" s="297"/>
      <c r="CV23" s="225"/>
      <c r="CW23" s="297"/>
      <c r="CX23" s="224"/>
      <c r="CY23" s="225"/>
      <c r="CZ23" s="225"/>
      <c r="DA23" s="112"/>
      <c r="DB23" s="112"/>
      <c r="DC23" s="112"/>
      <c r="DD23" s="112"/>
      <c r="DE23" s="112"/>
      <c r="DF23" s="129"/>
      <c r="DG23" s="129"/>
      <c r="DH23" s="129"/>
      <c r="DI23" s="129"/>
      <c r="DJ23" s="129"/>
      <c r="DK23" s="129"/>
      <c r="DL23" s="129"/>
      <c r="DM23" s="129"/>
      <c r="DN23" s="129"/>
      <c r="DO23" s="129"/>
      <c r="DP23" s="129"/>
      <c r="DQ23" s="129"/>
      <c r="DR23" s="129"/>
      <c r="DS23" s="129"/>
      <c r="DT23" s="129"/>
      <c r="DU23" s="129"/>
      <c r="DV23" s="129"/>
      <c r="DW23" s="129"/>
      <c r="DX23" s="129"/>
      <c r="DY23" s="129"/>
      <c r="DZ23" s="129"/>
      <c r="EA23" s="129"/>
      <c r="EB23" s="129"/>
      <c r="EC23" s="129"/>
      <c r="ED23" s="129"/>
      <c r="EE23" s="129"/>
      <c r="EF23" s="129"/>
      <c r="EG23" s="129"/>
      <c r="EH23" s="129"/>
      <c r="EI23" s="129"/>
      <c r="EJ23" s="129"/>
      <c r="EK23" s="129"/>
      <c r="EL23" s="129"/>
      <c r="EM23" s="129"/>
      <c r="EN23" s="129"/>
      <c r="EO23" s="129"/>
      <c r="EP23" s="129"/>
      <c r="EQ23" s="129"/>
      <c r="ER23" s="129"/>
      <c r="ES23" s="129"/>
      <c r="ET23" s="129"/>
      <c r="EU23" s="129"/>
      <c r="EV23" s="129"/>
      <c r="EW23" s="129"/>
      <c r="EX23" s="129"/>
      <c r="EY23" s="129"/>
      <c r="EZ23" s="129"/>
      <c r="FA23" s="129"/>
      <c r="FB23" s="129"/>
      <c r="FC23" s="129"/>
      <c r="FD23" s="129"/>
      <c r="FE23" s="129"/>
      <c r="FF23" s="129"/>
      <c r="FG23" s="129"/>
      <c r="FH23" s="129"/>
      <c r="FI23" s="129"/>
      <c r="FJ23" s="129"/>
    </row>
    <row r="24" spans="1:166" ht="18" customHeight="1">
      <c r="A24" s="114">
        <v>18</v>
      </c>
      <c r="B24" s="118" t="s">
        <v>216</v>
      </c>
      <c r="C24" s="119"/>
      <c r="D24" s="119"/>
      <c r="E24" s="119"/>
      <c r="F24" s="119"/>
      <c r="G24" s="119"/>
      <c r="H24" s="119"/>
      <c r="I24" s="119"/>
      <c r="J24" s="119"/>
      <c r="K24" s="119"/>
      <c r="L24" s="119"/>
      <c r="M24" s="122"/>
      <c r="N24" s="119"/>
      <c r="O24" s="119"/>
      <c r="P24" s="119"/>
      <c r="Q24" s="119"/>
      <c r="R24" s="119"/>
      <c r="S24" s="112"/>
      <c r="T24" s="112"/>
      <c r="U24" s="112"/>
      <c r="V24" s="112"/>
      <c r="W24" s="112"/>
      <c r="X24" s="112"/>
      <c r="Y24" s="112"/>
      <c r="Z24" s="112"/>
      <c r="AA24" s="112"/>
      <c r="AB24" s="112"/>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12"/>
      <c r="BB24" s="125"/>
      <c r="BC24" s="125"/>
      <c r="BD24" s="112"/>
      <c r="BE24" s="112"/>
      <c r="BF24" s="125"/>
      <c r="BG24" s="125"/>
      <c r="BH24" s="125"/>
      <c r="BI24" s="125"/>
      <c r="BJ24" s="125"/>
      <c r="BK24" s="125"/>
      <c r="BL24" s="125"/>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225"/>
      <c r="CS24" s="225"/>
      <c r="CT24" s="273"/>
      <c r="CU24" s="273"/>
      <c r="CV24" s="225">
        <v>1</v>
      </c>
      <c r="CW24" s="225">
        <v>2</v>
      </c>
      <c r="CX24" s="225">
        <v>3</v>
      </c>
      <c r="CY24" s="225"/>
      <c r="CZ24" s="225"/>
      <c r="DA24" s="112"/>
      <c r="DB24" s="112"/>
      <c r="DC24" s="112"/>
      <c r="DD24" s="112"/>
      <c r="DE24" s="112"/>
      <c r="DF24" s="129"/>
      <c r="DG24" s="129"/>
      <c r="DH24" s="129"/>
      <c r="DI24" s="129"/>
      <c r="DJ24" s="129"/>
      <c r="DK24" s="129"/>
      <c r="DL24" s="129"/>
      <c r="DM24" s="129"/>
      <c r="DN24" s="129"/>
      <c r="DO24" s="129"/>
      <c r="DP24" s="129"/>
      <c r="DQ24" s="129"/>
      <c r="DR24" s="129"/>
      <c r="DS24" s="129"/>
      <c r="DT24" s="129"/>
      <c r="DU24" s="129"/>
      <c r="DV24" s="129"/>
      <c r="DW24" s="129"/>
      <c r="DX24" s="129"/>
      <c r="DY24" s="129"/>
      <c r="DZ24" s="129"/>
      <c r="EA24" s="129"/>
      <c r="EB24" s="129"/>
      <c r="EC24" s="129"/>
      <c r="ED24" s="129"/>
      <c r="EE24" s="129"/>
      <c r="EF24" s="129"/>
      <c r="EG24" s="129"/>
      <c r="EH24" s="129"/>
      <c r="EI24" s="129"/>
      <c r="EJ24" s="129"/>
      <c r="EK24" s="129"/>
      <c r="EL24" s="129"/>
      <c r="EM24" s="129"/>
      <c r="EN24" s="129"/>
      <c r="EO24" s="129"/>
      <c r="EP24" s="129"/>
      <c r="EQ24" s="129"/>
      <c r="ER24" s="129"/>
      <c r="ES24" s="129"/>
      <c r="ET24" s="129"/>
      <c r="EU24" s="129"/>
      <c r="EV24" s="129"/>
      <c r="EW24" s="129"/>
      <c r="EX24" s="129"/>
      <c r="EY24" s="129"/>
      <c r="EZ24" s="129"/>
      <c r="FA24" s="129"/>
      <c r="FB24" s="129"/>
      <c r="FC24" s="129"/>
      <c r="FD24" s="129"/>
      <c r="FE24" s="129"/>
      <c r="FF24" s="129"/>
      <c r="FG24" s="129"/>
      <c r="FH24" s="129"/>
      <c r="FI24" s="129"/>
      <c r="FJ24" s="129"/>
    </row>
    <row r="25" spans="1:166" ht="18" customHeight="1">
      <c r="A25" s="114">
        <v>20</v>
      </c>
      <c r="B25" s="118" t="s">
        <v>56</v>
      </c>
      <c r="C25" s="119"/>
      <c r="D25" s="119"/>
      <c r="E25" s="119"/>
      <c r="F25" s="119"/>
      <c r="G25" s="119"/>
      <c r="H25" s="119"/>
      <c r="I25" s="119"/>
      <c r="J25" s="119"/>
      <c r="K25" s="119"/>
      <c r="L25" s="119"/>
      <c r="M25" s="122"/>
      <c r="N25" s="119"/>
      <c r="O25" s="119"/>
      <c r="P25" s="119"/>
      <c r="Q25" s="119"/>
      <c r="R25" s="119"/>
      <c r="S25" s="112"/>
      <c r="T25" s="112"/>
      <c r="U25" s="112"/>
      <c r="V25" s="112"/>
      <c r="W25" s="112"/>
      <c r="X25" s="112"/>
      <c r="Y25" s="112"/>
      <c r="Z25" s="112"/>
      <c r="AA25" s="112"/>
      <c r="AB25" s="112"/>
      <c r="AC25" s="125"/>
      <c r="AD25" s="125"/>
      <c r="AE25" s="125"/>
      <c r="AF25" s="125"/>
      <c r="AG25" s="125"/>
      <c r="AH25" s="125"/>
      <c r="AI25" s="125"/>
      <c r="AJ25" s="125"/>
      <c r="AK25" s="125"/>
      <c r="AL25" s="125"/>
      <c r="AM25" s="125"/>
      <c r="AN25" s="125"/>
      <c r="AO25" s="125"/>
      <c r="AP25" s="125"/>
      <c r="AQ25" s="125"/>
      <c r="AR25" s="125"/>
      <c r="AS25" s="112"/>
      <c r="AT25" s="112"/>
      <c r="AU25" s="125"/>
      <c r="AV25" s="125"/>
      <c r="AW25" s="125"/>
      <c r="AX25" s="125"/>
      <c r="AY25" s="112"/>
      <c r="AZ25" s="125"/>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225"/>
      <c r="CS25" s="225"/>
      <c r="CT25" s="273"/>
      <c r="CU25" s="273"/>
      <c r="CV25" s="225"/>
      <c r="CW25" s="225"/>
      <c r="CX25" s="273"/>
      <c r="CY25" s="225">
        <v>1</v>
      </c>
      <c r="CZ25" s="225">
        <v>2</v>
      </c>
      <c r="DA25" s="225">
        <v>3</v>
      </c>
      <c r="DB25" s="225">
        <v>4</v>
      </c>
      <c r="DC25" s="225">
        <v>5</v>
      </c>
      <c r="DD25" s="225">
        <v>6</v>
      </c>
      <c r="DE25" s="225">
        <v>7</v>
      </c>
      <c r="DF25" s="225">
        <v>8</v>
      </c>
      <c r="DG25" s="129"/>
      <c r="DH25" s="129"/>
      <c r="DI25" s="129"/>
      <c r="DJ25" s="129"/>
      <c r="DK25" s="129"/>
      <c r="DL25" s="129"/>
      <c r="DM25" s="129"/>
      <c r="DN25" s="129"/>
      <c r="DO25" s="129"/>
      <c r="DP25" s="129"/>
      <c r="DQ25" s="129"/>
      <c r="DR25" s="129"/>
      <c r="DS25" s="129"/>
      <c r="DT25" s="129"/>
      <c r="DU25" s="129"/>
      <c r="DV25" s="129"/>
      <c r="DW25" s="129"/>
      <c r="DX25" s="129"/>
      <c r="DY25" s="129"/>
      <c r="DZ25" s="129"/>
      <c r="EA25" s="129"/>
      <c r="EB25" s="129"/>
      <c r="EC25" s="129"/>
      <c r="ED25" s="129"/>
      <c r="EE25" s="129"/>
      <c r="EF25" s="129"/>
      <c r="EG25" s="129"/>
      <c r="EH25" s="129"/>
      <c r="EI25" s="129"/>
      <c r="EJ25" s="129"/>
      <c r="EK25" s="129"/>
      <c r="EL25" s="129"/>
      <c r="EM25" s="129"/>
      <c r="EN25" s="129"/>
      <c r="EO25" s="129"/>
      <c r="EP25" s="129"/>
      <c r="EQ25" s="129"/>
      <c r="ER25" s="129"/>
      <c r="ES25" s="129"/>
      <c r="ET25" s="129"/>
      <c r="EU25" s="129"/>
      <c r="EV25" s="129"/>
      <c r="EW25" s="129"/>
      <c r="EX25" s="129"/>
      <c r="EY25" s="129"/>
      <c r="EZ25" s="129"/>
      <c r="FA25" s="129"/>
      <c r="FB25" s="129"/>
      <c r="FC25" s="129"/>
      <c r="FD25" s="129"/>
      <c r="FE25" s="129"/>
      <c r="FF25" s="129"/>
      <c r="FG25" s="129"/>
      <c r="FH25" s="129"/>
      <c r="FI25" s="129"/>
      <c r="FJ25" s="129"/>
    </row>
    <row r="26" spans="1:166" ht="18" customHeight="1">
      <c r="A26" s="114">
        <v>22</v>
      </c>
      <c r="B26" s="118" t="s">
        <v>217</v>
      </c>
      <c r="C26" s="119"/>
      <c r="D26" s="119"/>
      <c r="E26" s="119"/>
      <c r="F26" s="119"/>
      <c r="G26" s="119"/>
      <c r="H26" s="119"/>
      <c r="I26" s="119"/>
      <c r="J26" s="119"/>
      <c r="K26" s="119"/>
      <c r="L26" s="119"/>
      <c r="M26" s="122"/>
      <c r="N26" s="119"/>
      <c r="O26" s="119"/>
      <c r="P26" s="119"/>
      <c r="Q26" s="119"/>
      <c r="R26" s="119"/>
      <c r="S26" s="112"/>
      <c r="T26" s="112"/>
      <c r="U26" s="112"/>
      <c r="V26" s="112"/>
      <c r="W26" s="112"/>
      <c r="X26" s="112"/>
      <c r="Y26" s="112"/>
      <c r="Z26" s="112"/>
      <c r="AA26" s="112"/>
      <c r="AB26" s="112"/>
      <c r="AC26" s="125"/>
      <c r="AD26" s="125"/>
      <c r="AE26" s="125"/>
      <c r="AF26" s="125"/>
      <c r="AG26" s="125"/>
      <c r="AH26" s="125"/>
      <c r="AI26" s="125"/>
      <c r="AJ26" s="125"/>
      <c r="AK26" s="125"/>
      <c r="AL26" s="125"/>
      <c r="AM26" s="125"/>
      <c r="AN26" s="125"/>
      <c r="AO26" s="125"/>
      <c r="AP26" s="125"/>
      <c r="AQ26" s="125"/>
      <c r="AR26" s="125"/>
      <c r="AS26" s="125"/>
      <c r="AT26" s="125"/>
      <c r="AU26" s="126"/>
      <c r="AV26" s="125"/>
      <c r="AW26" s="125"/>
      <c r="AX26" s="125"/>
      <c r="AY26" s="125"/>
      <c r="AZ26" s="125"/>
      <c r="BA26" s="112"/>
      <c r="BB26" s="112"/>
      <c r="BC26" s="112"/>
      <c r="BD26" s="112"/>
      <c r="BE26" s="112"/>
      <c r="BF26" s="125"/>
      <c r="BG26" s="125"/>
      <c r="BH26" s="125"/>
      <c r="BI26" s="125"/>
      <c r="BJ26" s="125"/>
      <c r="BK26" s="125"/>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29"/>
      <c r="CU26" s="129"/>
      <c r="CV26" s="112"/>
      <c r="CW26" s="112"/>
      <c r="CX26" s="129"/>
      <c r="CY26" s="112"/>
      <c r="CZ26" s="112"/>
      <c r="DA26" s="112"/>
      <c r="DB26" s="112"/>
      <c r="DC26" s="112"/>
      <c r="DD26" s="112"/>
      <c r="DE26" s="129"/>
      <c r="DF26" s="129"/>
      <c r="DH26" s="124">
        <v>1</v>
      </c>
      <c r="DI26" s="129"/>
      <c r="DJ26" s="129"/>
      <c r="DK26" s="129"/>
      <c r="DL26" s="129"/>
      <c r="DM26" s="129"/>
      <c r="DN26" s="129"/>
      <c r="DO26" s="129"/>
      <c r="DP26" s="129"/>
      <c r="DQ26" s="129"/>
      <c r="DR26" s="129"/>
      <c r="DS26" s="129"/>
      <c r="DT26" s="129"/>
      <c r="DU26" s="129"/>
      <c r="DV26" s="129"/>
      <c r="DW26" s="129"/>
      <c r="DX26" s="129"/>
      <c r="DY26" s="129"/>
      <c r="DZ26" s="129"/>
      <c r="EA26" s="129"/>
      <c r="EB26" s="129"/>
      <c r="EC26" s="129"/>
      <c r="ED26" s="129"/>
      <c r="EE26" s="129"/>
      <c r="EF26" s="129"/>
      <c r="EG26" s="129"/>
      <c r="EH26" s="129"/>
      <c r="EI26" s="129"/>
      <c r="EJ26" s="129"/>
      <c r="EK26" s="129"/>
      <c r="EL26" s="129"/>
      <c r="EM26" s="129"/>
      <c r="EN26" s="129"/>
      <c r="EO26" s="129"/>
      <c r="EP26" s="129"/>
      <c r="EQ26" s="129"/>
      <c r="ER26" s="129"/>
      <c r="ES26" s="129"/>
      <c r="ET26" s="129"/>
      <c r="EU26" s="129"/>
      <c r="EV26" s="129"/>
      <c r="EW26" s="129"/>
      <c r="EX26" s="129"/>
      <c r="EY26" s="129"/>
      <c r="EZ26" s="129"/>
      <c r="FA26" s="129"/>
      <c r="FB26" s="129"/>
      <c r="FC26" s="129"/>
      <c r="FD26" s="129"/>
      <c r="FE26" s="129"/>
      <c r="FF26" s="129"/>
      <c r="FG26" s="129"/>
      <c r="FH26" s="129"/>
      <c r="FI26" s="129"/>
      <c r="FJ26" s="129"/>
    </row>
    <row r="27" spans="1:166" ht="19.5" customHeight="1">
      <c r="A27" s="114">
        <v>24</v>
      </c>
      <c r="B27" s="118" t="s">
        <v>227</v>
      </c>
      <c r="C27" s="119"/>
      <c r="D27" s="119"/>
      <c r="E27" s="119"/>
      <c r="F27" s="119"/>
      <c r="G27" s="119"/>
      <c r="H27" s="119"/>
      <c r="I27" s="119"/>
      <c r="J27" s="119"/>
      <c r="K27" s="119"/>
      <c r="L27" s="119"/>
      <c r="M27" s="122"/>
      <c r="N27" s="119"/>
      <c r="O27" s="119"/>
      <c r="P27" s="119"/>
      <c r="Q27" s="119"/>
      <c r="R27" s="119"/>
      <c r="S27" s="112"/>
      <c r="T27" s="112"/>
      <c r="U27" s="112"/>
      <c r="V27" s="112"/>
      <c r="W27" s="112"/>
      <c r="X27" s="112"/>
      <c r="Y27" s="112"/>
      <c r="Z27" s="112"/>
      <c r="AA27" s="112"/>
      <c r="AB27" s="112"/>
      <c r="AC27" s="125"/>
      <c r="AD27" s="125"/>
      <c r="AE27" s="125"/>
      <c r="AF27" s="125"/>
      <c r="AG27" s="125"/>
      <c r="AH27" s="125"/>
      <c r="AI27" s="125"/>
      <c r="AJ27" s="125"/>
      <c r="AK27" s="125"/>
      <c r="AL27" s="125"/>
      <c r="AM27" s="125"/>
      <c r="AN27" s="125"/>
      <c r="AO27" s="125"/>
      <c r="AP27" s="125"/>
      <c r="AQ27" s="125"/>
      <c r="AR27" s="125"/>
      <c r="AS27" s="125"/>
      <c r="AT27" s="125"/>
      <c r="AU27" s="126"/>
      <c r="AV27" s="125"/>
      <c r="AW27" s="125"/>
      <c r="AX27" s="125"/>
      <c r="AY27" s="125"/>
      <c r="AZ27" s="125"/>
      <c r="BA27" s="112"/>
      <c r="BB27" s="112"/>
      <c r="BC27" s="112"/>
      <c r="BD27" s="112"/>
      <c r="BE27" s="112"/>
      <c r="BF27" s="112"/>
      <c r="BG27" s="125"/>
      <c r="BH27" s="125"/>
      <c r="BI27" s="125"/>
      <c r="BJ27" s="125"/>
      <c r="BK27" s="125"/>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29"/>
      <c r="CU27" s="129"/>
      <c r="CV27" s="112"/>
      <c r="CW27" s="112"/>
      <c r="CX27" s="129"/>
      <c r="CY27" s="112"/>
      <c r="CZ27" s="112"/>
      <c r="DA27" s="112"/>
      <c r="DB27" s="112"/>
      <c r="DC27" s="112"/>
      <c r="DD27" s="112"/>
      <c r="DE27" s="129"/>
      <c r="DF27" s="129"/>
      <c r="DG27" s="112"/>
      <c r="DH27" s="129"/>
      <c r="DI27" s="295">
        <v>1</v>
      </c>
      <c r="DJ27" s="129"/>
      <c r="DK27" s="129"/>
      <c r="DL27" s="129"/>
      <c r="DM27" s="129"/>
      <c r="DN27" s="129"/>
      <c r="DO27" s="129"/>
      <c r="DP27" s="129"/>
      <c r="DQ27" s="129"/>
      <c r="DR27" s="129"/>
      <c r="DS27" s="129"/>
      <c r="DT27" s="129"/>
      <c r="DU27" s="129"/>
      <c r="DV27" s="129"/>
      <c r="DW27" s="129"/>
      <c r="DX27" s="129"/>
      <c r="DY27" s="129"/>
      <c r="DZ27" s="129"/>
      <c r="EA27" s="129"/>
      <c r="EB27" s="129"/>
      <c r="EC27" s="129"/>
      <c r="ED27" s="129"/>
      <c r="EE27" s="129"/>
      <c r="EF27" s="129"/>
      <c r="EG27" s="129"/>
      <c r="EH27" s="129"/>
      <c r="EI27" s="129"/>
      <c r="EJ27" s="129"/>
      <c r="EK27" s="129"/>
      <c r="EL27" s="129"/>
      <c r="EM27" s="129"/>
      <c r="EN27" s="129"/>
      <c r="EO27" s="129"/>
      <c r="EP27" s="129"/>
      <c r="EQ27" s="129"/>
      <c r="ER27" s="129"/>
      <c r="ES27" s="129"/>
      <c r="ET27" s="129"/>
      <c r="EU27" s="129"/>
      <c r="EV27" s="129"/>
      <c r="EW27" s="129"/>
      <c r="EX27" s="129"/>
      <c r="EY27" s="129"/>
      <c r="EZ27" s="129"/>
      <c r="FA27" s="129"/>
      <c r="FB27" s="129"/>
      <c r="FC27" s="129"/>
      <c r="FD27" s="129"/>
      <c r="FE27" s="129"/>
      <c r="FF27" s="129"/>
      <c r="FG27" s="129"/>
      <c r="FH27" s="129"/>
      <c r="FI27" s="129"/>
      <c r="FJ27" s="129"/>
    </row>
    <row r="28" spans="1:166" ht="18" customHeight="1">
      <c r="A28" s="219">
        <v>23</v>
      </c>
      <c r="B28" s="118" t="s">
        <v>488</v>
      </c>
      <c r="C28" s="119"/>
      <c r="D28" s="119"/>
      <c r="E28" s="119"/>
      <c r="F28" s="119"/>
      <c r="G28" s="119"/>
      <c r="H28" s="119"/>
      <c r="I28" s="119"/>
      <c r="J28" s="119"/>
      <c r="K28" s="119"/>
      <c r="L28" s="119"/>
      <c r="M28" s="122"/>
      <c r="N28" s="119"/>
      <c r="O28" s="119"/>
      <c r="P28" s="119"/>
      <c r="Q28" s="119"/>
      <c r="R28" s="119"/>
      <c r="S28" s="112"/>
      <c r="T28" s="112"/>
      <c r="U28" s="112"/>
      <c r="V28" s="112"/>
      <c r="W28" s="112"/>
      <c r="X28" s="112"/>
      <c r="Y28" s="112"/>
      <c r="Z28" s="112"/>
      <c r="AA28" s="112"/>
      <c r="AB28" s="112"/>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12"/>
      <c r="BA28" s="112"/>
      <c r="BB28" s="112"/>
      <c r="BC28" s="112"/>
      <c r="BD28" s="112"/>
      <c r="BE28" s="112"/>
      <c r="BF28" s="112"/>
      <c r="BG28" s="125"/>
      <c r="BH28" s="125"/>
      <c r="BI28" s="125"/>
      <c r="BJ28" s="125"/>
      <c r="BK28" s="125"/>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29"/>
      <c r="CU28" s="129"/>
      <c r="CV28" s="112"/>
      <c r="CW28" s="112"/>
      <c r="CX28" s="129"/>
      <c r="CY28" s="112"/>
      <c r="CZ28" s="112"/>
      <c r="DA28" s="112"/>
      <c r="DB28" s="112"/>
      <c r="DC28" s="112"/>
      <c r="DD28" s="112"/>
      <c r="DE28" s="129"/>
      <c r="DF28" s="129"/>
      <c r="DG28" s="129"/>
      <c r="DH28" s="129"/>
      <c r="DI28" s="129"/>
      <c r="DJ28" s="129"/>
      <c r="DK28" s="129"/>
      <c r="DL28" s="124">
        <v>1</v>
      </c>
      <c r="DM28" s="129"/>
      <c r="DN28" s="129"/>
      <c r="DO28" s="129"/>
      <c r="DP28" s="129"/>
      <c r="DQ28" s="129"/>
      <c r="DR28" s="129"/>
      <c r="DS28" s="129"/>
      <c r="DT28" s="129"/>
      <c r="DU28" s="129"/>
      <c r="DV28" s="129"/>
      <c r="DW28" s="129"/>
      <c r="DX28" s="129"/>
      <c r="DY28" s="129"/>
      <c r="DZ28" s="129"/>
      <c r="EA28" s="129"/>
      <c r="EB28" s="129"/>
      <c r="EC28" s="129"/>
      <c r="ED28" s="129"/>
      <c r="EE28" s="129"/>
      <c r="EF28" s="129"/>
      <c r="EG28" s="129"/>
      <c r="EH28" s="129"/>
      <c r="EI28" s="129"/>
      <c r="EJ28" s="129"/>
      <c r="EK28" s="129"/>
      <c r="EL28" s="129"/>
      <c r="EM28" s="129"/>
      <c r="EN28" s="129"/>
      <c r="EO28" s="129"/>
      <c r="EP28" s="129"/>
      <c r="EQ28" s="129"/>
      <c r="ER28" s="129"/>
      <c r="ES28" s="129"/>
      <c r="ET28" s="129"/>
      <c r="EU28" s="129"/>
      <c r="EV28" s="129"/>
      <c r="EW28" s="129"/>
      <c r="EX28" s="129"/>
      <c r="EY28" s="129"/>
      <c r="EZ28" s="129"/>
      <c r="FA28" s="129"/>
      <c r="FB28" s="129"/>
      <c r="FC28" s="129"/>
      <c r="FD28" s="129"/>
      <c r="FE28" s="129"/>
      <c r="FF28" s="129"/>
      <c r="FG28" s="129"/>
      <c r="FH28" s="129"/>
      <c r="FI28" s="129"/>
      <c r="FJ28" s="129"/>
    </row>
    <row r="29" spans="1:166" ht="19.5" customHeight="1">
      <c r="A29" s="219">
        <v>25</v>
      </c>
      <c r="B29" s="118" t="s">
        <v>225</v>
      </c>
      <c r="C29" s="119"/>
      <c r="D29" s="119"/>
      <c r="E29" s="119"/>
      <c r="F29" s="119"/>
      <c r="G29" s="119"/>
      <c r="H29" s="119"/>
      <c r="I29" s="119"/>
      <c r="J29" s="119"/>
      <c r="K29" s="119"/>
      <c r="L29" s="119"/>
      <c r="M29" s="122"/>
      <c r="N29" s="119"/>
      <c r="O29" s="119"/>
      <c r="P29" s="119"/>
      <c r="Q29" s="119"/>
      <c r="R29" s="119"/>
      <c r="S29" s="112"/>
      <c r="T29" s="112"/>
      <c r="U29" s="112"/>
      <c r="V29" s="112"/>
      <c r="W29" s="112"/>
      <c r="X29" s="112"/>
      <c r="Y29" s="112"/>
      <c r="Z29" s="112"/>
      <c r="AA29" s="112"/>
      <c r="AB29" s="112"/>
      <c r="AC29" s="125"/>
      <c r="AD29" s="125"/>
      <c r="AE29" s="125"/>
      <c r="AF29" s="125"/>
      <c r="AG29" s="125"/>
      <c r="AH29" s="125"/>
      <c r="AI29" s="125"/>
      <c r="AJ29" s="125"/>
      <c r="AK29" s="125"/>
      <c r="AL29" s="125"/>
      <c r="AM29" s="125"/>
      <c r="AN29" s="125"/>
      <c r="AO29" s="125"/>
      <c r="AP29" s="125"/>
      <c r="AQ29" s="125"/>
      <c r="AR29" s="125"/>
      <c r="AS29" s="125"/>
      <c r="AT29" s="125"/>
      <c r="AU29" s="126"/>
      <c r="AV29" s="125"/>
      <c r="AW29" s="125"/>
      <c r="AX29" s="125"/>
      <c r="AY29" s="125"/>
      <c r="AZ29" s="125"/>
      <c r="BA29" s="112"/>
      <c r="BB29" s="112"/>
      <c r="BC29" s="112"/>
      <c r="BD29" s="112"/>
      <c r="BE29" s="112"/>
      <c r="BF29" s="112"/>
      <c r="BG29" s="125"/>
      <c r="BH29" s="125"/>
      <c r="BI29" s="125"/>
      <c r="BJ29" s="125"/>
      <c r="BK29" s="125"/>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29"/>
      <c r="CU29" s="129"/>
      <c r="CV29" s="112"/>
      <c r="CW29" s="112"/>
      <c r="CX29" s="129"/>
      <c r="CY29" s="112"/>
      <c r="CZ29" s="112"/>
      <c r="DA29" s="112"/>
      <c r="DB29" s="112"/>
      <c r="DC29" s="112"/>
      <c r="DD29" s="125"/>
      <c r="DE29" s="129"/>
      <c r="DF29" s="129"/>
      <c r="DG29" s="112"/>
      <c r="DH29" s="129"/>
      <c r="DJ29" s="129"/>
      <c r="DK29" s="129"/>
      <c r="DL29" s="129"/>
      <c r="DM29" s="264">
        <v>1</v>
      </c>
      <c r="DN29" s="129"/>
      <c r="DO29" s="129"/>
      <c r="DP29" s="129"/>
      <c r="DQ29" s="129"/>
      <c r="DR29" s="129"/>
      <c r="DS29" s="129"/>
      <c r="DT29" s="129"/>
      <c r="DU29" s="129"/>
      <c r="DV29" s="129"/>
      <c r="DW29" s="129"/>
      <c r="DX29" s="129"/>
      <c r="DY29" s="129"/>
      <c r="DZ29" s="129"/>
      <c r="EA29" s="129"/>
      <c r="EB29" s="129"/>
      <c r="EC29" s="129"/>
      <c r="ED29" s="129"/>
      <c r="EE29" s="129"/>
      <c r="EF29" s="129"/>
      <c r="EG29" s="129"/>
      <c r="EH29" s="129"/>
      <c r="EI29" s="129"/>
      <c r="EJ29" s="129"/>
      <c r="EK29" s="129"/>
      <c r="EL29" s="129"/>
      <c r="EM29" s="129"/>
      <c r="EN29" s="129"/>
      <c r="EO29" s="129"/>
      <c r="EP29" s="129"/>
      <c r="EQ29" s="129"/>
      <c r="ER29" s="129"/>
      <c r="ES29" s="129"/>
      <c r="ET29" s="129"/>
      <c r="EU29" s="129"/>
      <c r="EV29" s="129"/>
      <c r="EW29" s="129"/>
      <c r="EX29" s="129"/>
      <c r="EY29" s="129"/>
      <c r="EZ29" s="129"/>
      <c r="FA29" s="129"/>
      <c r="FB29" s="129"/>
      <c r="FC29" s="129"/>
      <c r="FD29" s="129"/>
      <c r="FE29" s="129"/>
      <c r="FF29" s="129"/>
      <c r="FG29" s="129"/>
      <c r="FH29" s="129"/>
      <c r="FI29" s="129"/>
      <c r="FJ29" s="129"/>
    </row>
    <row r="30" spans="1:166" s="110" customFormat="1" ht="18" customHeight="1">
      <c r="A30" s="114">
        <v>26</v>
      </c>
      <c r="B30" s="118" t="s">
        <v>226</v>
      </c>
      <c r="C30" s="119"/>
      <c r="D30" s="119"/>
      <c r="E30" s="119"/>
      <c r="F30" s="119"/>
      <c r="G30" s="119"/>
      <c r="H30" s="119"/>
      <c r="I30" s="119"/>
      <c r="J30" s="119"/>
      <c r="K30" s="119"/>
      <c r="L30" s="119"/>
      <c r="M30" s="122"/>
      <c r="N30" s="119"/>
      <c r="O30" s="119"/>
      <c r="P30" s="119"/>
      <c r="Q30" s="119"/>
      <c r="R30" s="119"/>
      <c r="S30" s="112"/>
      <c r="T30" s="112"/>
      <c r="U30" s="112"/>
      <c r="V30" s="112"/>
      <c r="W30" s="112"/>
      <c r="X30" s="112"/>
      <c r="Y30" s="112"/>
      <c r="Z30" s="112"/>
      <c r="AA30" s="112"/>
      <c r="AB30" s="112"/>
      <c r="AC30" s="125"/>
      <c r="AD30" s="125"/>
      <c r="AE30" s="125"/>
      <c r="AF30" s="125"/>
      <c r="AG30" s="125"/>
      <c r="AH30" s="125"/>
      <c r="AI30" s="125"/>
      <c r="AJ30" s="125"/>
      <c r="AK30" s="125"/>
      <c r="AL30" s="125"/>
      <c r="AM30" s="125"/>
      <c r="AN30" s="125"/>
      <c r="AO30" s="125"/>
      <c r="AP30" s="125"/>
      <c r="AQ30" s="125"/>
      <c r="AR30" s="125"/>
      <c r="AS30" s="125"/>
      <c r="AT30" s="125"/>
      <c r="AU30" s="126"/>
      <c r="AV30" s="125"/>
      <c r="AW30" s="125"/>
      <c r="AX30" s="125"/>
      <c r="AY30" s="125"/>
      <c r="AZ30" s="125"/>
      <c r="BA30" s="112"/>
      <c r="BB30" s="112"/>
      <c r="BC30" s="112"/>
      <c r="BD30" s="125"/>
      <c r="BE30" s="125"/>
      <c r="BF30" s="125"/>
      <c r="BG30" s="112"/>
      <c r="BH30" s="112"/>
      <c r="BI30" s="112"/>
      <c r="BJ30" s="112"/>
      <c r="BK30" s="112"/>
      <c r="BL30" s="112"/>
      <c r="BM30" s="112"/>
      <c r="BN30" s="112"/>
      <c r="BO30" s="112"/>
      <c r="BP30" s="129"/>
      <c r="BQ30" s="150"/>
      <c r="BR30" s="129"/>
      <c r="BS30" s="129"/>
      <c r="BT30" s="129"/>
      <c r="BU30" s="129"/>
      <c r="BV30" s="129"/>
      <c r="BW30" s="129"/>
      <c r="BX30" s="129"/>
      <c r="BY30" s="129"/>
      <c r="BZ30" s="129"/>
      <c r="CA30" s="129"/>
      <c r="CB30" s="129"/>
      <c r="CC30" s="129"/>
      <c r="CD30" s="129"/>
      <c r="CE30" s="129"/>
      <c r="CF30" s="129"/>
      <c r="CG30" s="129"/>
      <c r="CH30" s="129"/>
      <c r="CI30" s="150"/>
      <c r="CJ30" s="129"/>
      <c r="CK30" s="129"/>
      <c r="CL30" s="129"/>
      <c r="CM30" s="129"/>
      <c r="CN30" s="150"/>
      <c r="CO30" s="129"/>
      <c r="CP30" s="129"/>
      <c r="CQ30" s="129"/>
      <c r="CR30" s="129"/>
      <c r="CS30" s="129"/>
      <c r="CT30" s="129"/>
      <c r="CU30" s="129"/>
      <c r="CV30" s="129"/>
      <c r="CW30" s="129"/>
      <c r="CX30" s="129"/>
      <c r="CY30" s="129"/>
      <c r="CZ30" s="129"/>
      <c r="DA30" s="129"/>
      <c r="DB30" s="129"/>
      <c r="DC30" s="129"/>
      <c r="DD30" s="129"/>
      <c r="DE30" s="129"/>
      <c r="DF30" s="129"/>
      <c r="DG30" s="129"/>
      <c r="DH30" s="129"/>
      <c r="DI30" s="129"/>
      <c r="DJ30" s="129"/>
      <c r="DK30" s="129"/>
      <c r="DL30" s="129"/>
      <c r="DM30" s="129"/>
      <c r="DN30" s="129"/>
      <c r="DO30" s="129"/>
      <c r="DP30" s="129"/>
      <c r="DQ30" s="129"/>
      <c r="DR30" s="129"/>
      <c r="DS30" s="129"/>
      <c r="DT30" s="129"/>
      <c r="DU30" s="129"/>
      <c r="DV30" s="129"/>
      <c r="DW30" s="129"/>
      <c r="DX30" s="129"/>
      <c r="DY30" s="129"/>
      <c r="DZ30" s="129"/>
      <c r="EA30" s="129"/>
      <c r="EB30" s="129"/>
      <c r="EC30" s="129"/>
      <c r="ED30" s="129"/>
      <c r="EE30" s="129"/>
      <c r="EF30" s="129"/>
      <c r="EG30" s="129"/>
      <c r="EH30" s="129"/>
      <c r="EI30" s="129"/>
      <c r="EJ30" s="129"/>
      <c r="EK30" s="129"/>
      <c r="EL30" s="129"/>
      <c r="EM30" s="129"/>
      <c r="EN30" s="129"/>
      <c r="EO30" s="129"/>
      <c r="EP30" s="129"/>
      <c r="EQ30" s="129"/>
      <c r="ER30" s="129"/>
      <c r="ES30" s="129"/>
      <c r="ET30" s="129"/>
      <c r="EU30" s="129"/>
      <c r="EV30" s="129"/>
      <c r="EW30" s="129"/>
      <c r="EX30" s="129"/>
      <c r="EY30" s="129"/>
      <c r="EZ30" s="129"/>
      <c r="FA30" s="129"/>
      <c r="FB30" s="129"/>
      <c r="FC30" s="129"/>
      <c r="FD30" s="129"/>
      <c r="FE30" s="129"/>
      <c r="FF30" s="129"/>
      <c r="FG30" s="129"/>
      <c r="FH30" s="129"/>
      <c r="FI30" s="129"/>
      <c r="FJ30" s="129"/>
    </row>
    <row r="31" spans="1:166" ht="19.5" customHeight="1">
      <c r="A31" s="219">
        <v>27</v>
      </c>
      <c r="B31" s="118"/>
      <c r="C31" s="119"/>
      <c r="D31" s="119"/>
      <c r="E31" s="119"/>
      <c r="F31" s="119"/>
      <c r="G31" s="119"/>
      <c r="H31" s="119"/>
      <c r="I31" s="119"/>
      <c r="J31" s="119"/>
      <c r="K31" s="119"/>
      <c r="L31" s="119"/>
      <c r="M31" s="122"/>
      <c r="N31" s="119"/>
      <c r="O31" s="119"/>
      <c r="P31" s="119"/>
      <c r="Q31" s="119"/>
      <c r="R31" s="119"/>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23"/>
      <c r="AV31" s="112"/>
      <c r="AW31" s="112"/>
      <c r="AX31" s="112"/>
      <c r="AY31" s="112"/>
      <c r="AZ31" s="112"/>
      <c r="BA31" s="112"/>
      <c r="BB31" s="112"/>
      <c r="BC31" s="112"/>
      <c r="BD31" s="112"/>
      <c r="BE31" s="112"/>
      <c r="BF31" s="112"/>
      <c r="BG31" s="112"/>
      <c r="BH31" s="112"/>
      <c r="BI31" s="112"/>
      <c r="BJ31" s="112"/>
      <c r="BK31" s="112"/>
      <c r="BL31" s="112"/>
      <c r="BM31" s="112"/>
      <c r="BN31" s="112"/>
      <c r="BO31" s="112"/>
      <c r="BP31" s="129"/>
      <c r="BQ31" s="129"/>
      <c r="BR31" s="129"/>
      <c r="BS31" s="129"/>
      <c r="BT31" s="129"/>
      <c r="BU31" s="129"/>
      <c r="BV31" s="129"/>
      <c r="BW31" s="129"/>
      <c r="BX31" s="129"/>
      <c r="BY31" s="129"/>
      <c r="BZ31" s="129"/>
      <c r="CA31" s="129"/>
      <c r="CB31" s="129"/>
      <c r="CC31" s="129"/>
      <c r="CD31" s="129"/>
      <c r="CE31" s="129"/>
      <c r="CF31" s="129"/>
      <c r="CG31" s="129"/>
      <c r="CH31" s="129"/>
      <c r="CI31" s="129"/>
      <c r="CJ31" s="129"/>
      <c r="CK31" s="129"/>
      <c r="CL31" s="129"/>
      <c r="CM31" s="129"/>
      <c r="CN31" s="129"/>
      <c r="CO31" s="129"/>
      <c r="CP31" s="129"/>
      <c r="CQ31" s="129"/>
      <c r="CR31" s="129"/>
      <c r="CS31" s="129"/>
      <c r="CT31" s="129"/>
      <c r="CU31" s="129"/>
      <c r="CV31" s="129"/>
      <c r="CW31" s="129"/>
      <c r="CX31" s="129"/>
      <c r="CY31" s="129"/>
      <c r="CZ31" s="129"/>
      <c r="DA31" s="129"/>
      <c r="DB31" s="129"/>
      <c r="DC31" s="129"/>
      <c r="DD31" s="129"/>
      <c r="DE31" s="129"/>
      <c r="DF31" s="129"/>
      <c r="DG31" s="129"/>
      <c r="DH31" s="129"/>
      <c r="DI31" s="129"/>
      <c r="DJ31" s="129"/>
      <c r="DK31" s="129"/>
      <c r="DL31" s="129"/>
      <c r="DM31" s="129"/>
      <c r="DN31" s="129"/>
      <c r="DO31" s="129"/>
      <c r="DP31" s="129"/>
      <c r="DQ31" s="129"/>
      <c r="DR31" s="129"/>
      <c r="DS31" s="129"/>
      <c r="DT31" s="129"/>
      <c r="DU31" s="129"/>
      <c r="DV31" s="129"/>
      <c r="DW31" s="129"/>
      <c r="DX31" s="129"/>
      <c r="DY31" s="129"/>
      <c r="DZ31" s="129"/>
      <c r="EA31" s="129"/>
      <c r="EB31" s="129"/>
      <c r="EC31" s="129"/>
      <c r="ED31" s="129"/>
      <c r="EE31" s="129"/>
      <c r="EF31" s="129"/>
      <c r="EG31" s="129"/>
      <c r="EH31" s="129"/>
      <c r="EI31" s="129"/>
      <c r="EJ31" s="129"/>
      <c r="EK31" s="129"/>
      <c r="EL31" s="129"/>
      <c r="EM31" s="129"/>
      <c r="EN31" s="129"/>
      <c r="EO31" s="129"/>
      <c r="EP31" s="129"/>
      <c r="EQ31" s="129"/>
      <c r="ER31" s="129"/>
      <c r="ES31" s="129"/>
      <c r="ET31" s="129"/>
      <c r="EU31" s="129"/>
      <c r="EV31" s="129"/>
      <c r="EW31" s="129"/>
      <c r="EX31" s="129"/>
      <c r="EY31" s="129"/>
      <c r="EZ31" s="129"/>
      <c r="FA31" s="129"/>
      <c r="FB31" s="129"/>
      <c r="FC31" s="129"/>
      <c r="FD31" s="129"/>
      <c r="FE31" s="129"/>
      <c r="FF31" s="129"/>
      <c r="FG31" s="129"/>
      <c r="FH31" s="129"/>
      <c r="FI31" s="129"/>
      <c r="FJ31" s="129"/>
    </row>
    <row r="32" spans="1:166" ht="19.5" customHeight="1">
      <c r="A32" s="114">
        <v>28</v>
      </c>
      <c r="B32" s="118"/>
      <c r="C32" s="119"/>
      <c r="D32" s="119"/>
      <c r="E32" s="119"/>
      <c r="F32" s="119"/>
      <c r="G32" s="119"/>
      <c r="H32" s="119"/>
      <c r="I32" s="119"/>
      <c r="J32" s="119"/>
      <c r="K32" s="119"/>
      <c r="L32" s="119"/>
      <c r="M32" s="122"/>
      <c r="N32" s="119"/>
      <c r="O32" s="119"/>
      <c r="P32" s="119"/>
      <c r="Q32" s="119"/>
      <c r="R32" s="119"/>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23"/>
      <c r="AV32" s="112"/>
      <c r="AW32" s="112"/>
      <c r="AX32" s="112"/>
      <c r="AY32" s="112"/>
      <c r="AZ32" s="112"/>
      <c r="BA32" s="112"/>
      <c r="BB32" s="112"/>
      <c r="BC32" s="112"/>
      <c r="BD32" s="112"/>
      <c r="BE32" s="112"/>
      <c r="BF32" s="112"/>
      <c r="BG32" s="112"/>
      <c r="BH32" s="112"/>
      <c r="BI32" s="112"/>
      <c r="BJ32" s="112"/>
      <c r="BK32" s="112"/>
      <c r="BL32" s="112"/>
      <c r="BM32" s="112"/>
      <c r="BN32" s="112"/>
      <c r="BO32" s="112"/>
      <c r="BP32" s="129"/>
      <c r="BQ32" s="129"/>
      <c r="BR32" s="129"/>
      <c r="BS32" s="129"/>
      <c r="BT32" s="129"/>
      <c r="BU32" s="129"/>
      <c r="BV32" s="129"/>
      <c r="BW32" s="129"/>
      <c r="BX32" s="129"/>
      <c r="BY32" s="129"/>
      <c r="BZ32" s="129"/>
      <c r="CA32" s="129"/>
      <c r="CB32" s="129"/>
      <c r="CC32" s="129"/>
      <c r="CD32" s="129"/>
      <c r="CE32" s="129"/>
      <c r="CF32" s="129"/>
      <c r="CG32" s="129"/>
      <c r="CH32" s="129"/>
      <c r="CI32" s="129"/>
      <c r="CJ32" s="129"/>
      <c r="CK32" s="129"/>
      <c r="CL32" s="129"/>
      <c r="CM32" s="129"/>
      <c r="CN32" s="129"/>
      <c r="CO32" s="129"/>
      <c r="CP32" s="129"/>
      <c r="CQ32" s="129"/>
      <c r="CR32" s="129"/>
      <c r="CS32" s="129"/>
      <c r="CT32" s="129"/>
      <c r="CU32" s="129"/>
      <c r="CV32" s="129"/>
      <c r="CW32" s="129"/>
      <c r="CX32" s="129"/>
      <c r="CY32" s="129"/>
      <c r="CZ32" s="129"/>
      <c r="DA32" s="129"/>
      <c r="DB32" s="129"/>
      <c r="DC32" s="129"/>
      <c r="DD32" s="129"/>
      <c r="DE32" s="129"/>
      <c r="DF32" s="129"/>
      <c r="DG32" s="129"/>
      <c r="DH32" s="129"/>
      <c r="DI32" s="129"/>
      <c r="DJ32" s="129"/>
      <c r="DK32" s="129"/>
      <c r="DL32" s="129"/>
      <c r="DM32" s="129"/>
      <c r="DN32" s="129"/>
      <c r="DO32" s="129"/>
      <c r="DP32" s="129"/>
      <c r="DQ32" s="129"/>
      <c r="DR32" s="129"/>
      <c r="DS32" s="129"/>
      <c r="DT32" s="129"/>
      <c r="DU32" s="129"/>
      <c r="DV32" s="129"/>
      <c r="DW32" s="129"/>
      <c r="DX32" s="129"/>
      <c r="DY32" s="129"/>
      <c r="DZ32" s="129"/>
      <c r="EA32" s="129"/>
      <c r="EB32" s="129"/>
      <c r="EC32" s="129"/>
      <c r="ED32" s="129"/>
      <c r="EE32" s="129"/>
      <c r="EF32" s="129"/>
      <c r="EG32" s="129"/>
      <c r="EH32" s="129"/>
      <c r="EI32" s="129"/>
      <c r="EJ32" s="129"/>
      <c r="EK32" s="129"/>
      <c r="EL32" s="129"/>
      <c r="EM32" s="129"/>
      <c r="EN32" s="129"/>
      <c r="EO32" s="129"/>
      <c r="EP32" s="129"/>
      <c r="EQ32" s="129"/>
      <c r="ER32" s="129"/>
      <c r="ES32" s="129"/>
      <c r="ET32" s="129"/>
      <c r="EU32" s="129"/>
      <c r="EV32" s="129"/>
      <c r="EW32" s="129"/>
      <c r="EX32" s="129"/>
      <c r="EY32" s="129"/>
      <c r="EZ32" s="129"/>
      <c r="FA32" s="129"/>
      <c r="FB32" s="129"/>
      <c r="FC32" s="129"/>
      <c r="FD32" s="129"/>
      <c r="FE32" s="129"/>
      <c r="FF32" s="129"/>
      <c r="FG32" s="129"/>
      <c r="FH32" s="129"/>
      <c r="FI32" s="129"/>
      <c r="FJ32" s="129"/>
    </row>
    <row r="33" spans="1:166" ht="19.5" customHeight="1">
      <c r="A33" s="219">
        <v>29</v>
      </c>
      <c r="B33" s="118"/>
      <c r="C33" s="119"/>
      <c r="D33" s="119"/>
      <c r="E33" s="119"/>
      <c r="F33" s="119"/>
      <c r="G33" s="119"/>
      <c r="H33" s="119"/>
      <c r="I33" s="119"/>
      <c r="J33" s="119"/>
      <c r="K33" s="119"/>
      <c r="L33" s="119"/>
      <c r="M33" s="122"/>
      <c r="N33" s="119"/>
      <c r="O33" s="119"/>
      <c r="P33" s="119"/>
      <c r="Q33" s="119"/>
      <c r="R33" s="119"/>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23"/>
      <c r="AV33" s="112"/>
      <c r="AW33" s="112"/>
      <c r="AX33" s="112"/>
      <c r="AY33" s="112"/>
      <c r="AZ33" s="112"/>
      <c r="BA33" s="112"/>
      <c r="BB33" s="112"/>
      <c r="BC33" s="112"/>
      <c r="BD33" s="112"/>
      <c r="BE33" s="112"/>
      <c r="BF33" s="112"/>
      <c r="BG33" s="112"/>
      <c r="BH33" s="112"/>
      <c r="BI33" s="112"/>
      <c r="BJ33" s="112"/>
      <c r="BK33" s="112"/>
      <c r="BL33" s="112"/>
      <c r="BM33" s="112"/>
      <c r="BN33" s="112"/>
      <c r="BO33" s="112"/>
      <c r="BP33" s="129"/>
      <c r="BQ33" s="129"/>
      <c r="BR33" s="129"/>
      <c r="BS33" s="129"/>
      <c r="BT33" s="129"/>
      <c r="BU33" s="129"/>
      <c r="BV33" s="129"/>
      <c r="BW33" s="129"/>
      <c r="BX33" s="129"/>
      <c r="BY33" s="129"/>
      <c r="BZ33" s="129"/>
      <c r="CA33" s="129"/>
      <c r="CB33" s="129"/>
      <c r="CC33" s="129"/>
      <c r="CD33" s="129"/>
      <c r="CE33" s="129"/>
      <c r="CF33" s="129"/>
      <c r="CG33" s="129"/>
      <c r="CH33" s="129"/>
      <c r="CI33" s="129"/>
      <c r="CJ33" s="129"/>
      <c r="CK33" s="129"/>
      <c r="CL33" s="129"/>
      <c r="CM33" s="129"/>
      <c r="CN33" s="129"/>
      <c r="CO33" s="129"/>
      <c r="CP33" s="129"/>
      <c r="CQ33" s="129"/>
      <c r="CR33" s="129"/>
      <c r="CS33" s="129"/>
      <c r="CT33" s="129"/>
      <c r="CU33" s="129"/>
      <c r="CV33" s="129"/>
      <c r="CW33" s="129"/>
      <c r="CX33" s="129"/>
      <c r="CY33" s="129"/>
      <c r="CZ33" s="129"/>
      <c r="DA33" s="129"/>
      <c r="DB33" s="129"/>
      <c r="DC33" s="129"/>
      <c r="DD33" s="129"/>
      <c r="DE33" s="129"/>
      <c r="DF33" s="129"/>
      <c r="DG33" s="129"/>
      <c r="DH33" s="129"/>
      <c r="DI33" s="129"/>
      <c r="DJ33" s="129"/>
      <c r="DK33" s="129"/>
      <c r="DL33" s="129"/>
      <c r="DM33" s="129"/>
      <c r="DN33" s="129"/>
      <c r="DO33" s="129"/>
      <c r="DP33" s="129"/>
      <c r="DQ33" s="129"/>
      <c r="DR33" s="129"/>
      <c r="DS33" s="129"/>
      <c r="DT33" s="129"/>
      <c r="DU33" s="129"/>
      <c r="DV33" s="129"/>
      <c r="DW33" s="129"/>
      <c r="DX33" s="129"/>
      <c r="DY33" s="129"/>
      <c r="DZ33" s="129"/>
      <c r="EA33" s="129"/>
      <c r="EB33" s="129"/>
      <c r="EC33" s="129"/>
      <c r="ED33" s="129"/>
      <c r="EE33" s="129"/>
      <c r="EF33" s="129"/>
      <c r="EG33" s="129"/>
      <c r="EH33" s="129"/>
      <c r="EI33" s="129"/>
      <c r="EJ33" s="129"/>
      <c r="EK33" s="129"/>
      <c r="EL33" s="129"/>
      <c r="EM33" s="129"/>
      <c r="EN33" s="129"/>
      <c r="EO33" s="129"/>
      <c r="EP33" s="129"/>
      <c r="EQ33" s="129"/>
      <c r="ER33" s="129"/>
      <c r="ES33" s="129"/>
      <c r="ET33" s="129"/>
      <c r="EU33" s="129"/>
      <c r="EV33" s="129"/>
      <c r="EW33" s="129"/>
      <c r="EX33" s="129"/>
      <c r="EY33" s="129"/>
      <c r="EZ33" s="129"/>
      <c r="FA33" s="129"/>
      <c r="FB33" s="129"/>
      <c r="FC33" s="129"/>
      <c r="FD33" s="129"/>
      <c r="FE33" s="129"/>
      <c r="FF33" s="129"/>
      <c r="FG33" s="129"/>
      <c r="FH33" s="129"/>
      <c r="FI33" s="129"/>
      <c r="FJ33" s="129"/>
    </row>
    <row r="34" spans="1:166" ht="19.5" customHeight="1">
      <c r="A34" s="446" t="s">
        <v>209</v>
      </c>
      <c r="B34" s="447"/>
      <c r="C34" s="447"/>
      <c r="D34" s="447"/>
      <c r="E34" s="447"/>
      <c r="F34" s="447"/>
      <c r="G34" s="447"/>
      <c r="H34" s="447"/>
      <c r="I34" s="447"/>
      <c r="J34" s="447"/>
      <c r="K34" s="447"/>
      <c r="L34" s="447"/>
      <c r="M34" s="447"/>
      <c r="N34" s="447"/>
      <c r="O34" s="447"/>
      <c r="P34" s="447"/>
      <c r="Q34" s="447"/>
      <c r="R34" s="447"/>
      <c r="S34" s="447"/>
      <c r="T34" s="447"/>
      <c r="U34" s="447"/>
      <c r="V34" s="447"/>
      <c r="W34" s="447"/>
      <c r="X34" s="447"/>
      <c r="Y34" s="447"/>
      <c r="Z34" s="447"/>
      <c r="AA34" s="447"/>
      <c r="AB34" s="447"/>
      <c r="AC34" s="447"/>
      <c r="AD34" s="447"/>
      <c r="AE34" s="447"/>
      <c r="AF34" s="447"/>
      <c r="AG34" s="447"/>
      <c r="AH34" s="447"/>
      <c r="AI34" s="447"/>
      <c r="AJ34" s="447"/>
      <c r="AK34" s="447"/>
      <c r="AL34" s="447"/>
      <c r="AM34" s="447"/>
      <c r="AN34" s="447"/>
      <c r="AO34" s="447"/>
      <c r="AP34" s="447"/>
      <c r="AQ34" s="447"/>
      <c r="AR34" s="447"/>
      <c r="AS34" s="447"/>
      <c r="AT34" s="447"/>
      <c r="AU34" s="447"/>
      <c r="AV34" s="447"/>
      <c r="AW34" s="447"/>
      <c r="AX34" s="447"/>
      <c r="AY34" s="447"/>
      <c r="AZ34" s="447"/>
      <c r="BA34" s="447"/>
      <c r="BB34" s="447"/>
      <c r="BC34" s="447"/>
      <c r="BD34" s="447"/>
      <c r="BE34" s="447"/>
      <c r="BF34" s="447"/>
      <c r="BG34" s="447"/>
      <c r="BH34" s="447"/>
      <c r="BI34" s="447"/>
      <c r="BJ34" s="447"/>
      <c r="BK34" s="447"/>
      <c r="BL34" s="447"/>
      <c r="BM34" s="447"/>
      <c r="BN34" s="447"/>
      <c r="BO34" s="447"/>
    </row>
    <row r="35" spans="1:166" ht="21" customHeight="1"/>
    <row r="36" spans="1:166" ht="21" customHeight="1"/>
    <row r="37" spans="1:166" ht="21" customHeight="1"/>
    <row r="38" spans="1:166" ht="21" customHeight="1"/>
    <row r="39" spans="1:166" ht="21" customHeight="1"/>
    <row r="40" spans="1:166" ht="21" customHeight="1"/>
    <row r="41" spans="1:166" ht="21" customHeight="1"/>
    <row r="42" spans="1:166" ht="21" customHeight="1"/>
    <row r="43" spans="1:166" ht="21" customHeight="1"/>
    <row r="44" spans="1:166" ht="21" customHeight="1"/>
  </sheetData>
  <mergeCells count="5">
    <mergeCell ref="B2:B3"/>
    <mergeCell ref="A2:A3"/>
    <mergeCell ref="A34:BO34"/>
    <mergeCell ref="A1:BV1"/>
    <mergeCell ref="C2:BV2"/>
  </mergeCells>
  <phoneticPr fontId="1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C9"/>
  <sheetViews>
    <sheetView workbookViewId="0">
      <selection activeCell="C10" sqref="C10"/>
    </sheetView>
  </sheetViews>
  <sheetFormatPr defaultRowHeight="14.25"/>
  <cols>
    <col min="1" max="1" width="5.625" customWidth="1"/>
    <col min="2" max="2" width="18.125" style="110" customWidth="1"/>
    <col min="3" max="3" width="38.125" style="131" customWidth="1"/>
  </cols>
  <sheetData>
    <row r="1" spans="1:3" ht="33.75" customHeight="1">
      <c r="A1" s="450" t="s">
        <v>246</v>
      </c>
      <c r="B1" s="451"/>
      <c r="C1" s="452"/>
    </row>
    <row r="2" spans="1:3" s="110" customFormat="1" ht="24" customHeight="1">
      <c r="A2" s="47" t="s">
        <v>247</v>
      </c>
      <c r="B2" s="47" t="s">
        <v>119</v>
      </c>
      <c r="C2" s="130" t="s">
        <v>89</v>
      </c>
    </row>
    <row r="3" spans="1:3" ht="24" customHeight="1">
      <c r="A3" s="47">
        <v>1</v>
      </c>
      <c r="B3" s="47" t="s">
        <v>237</v>
      </c>
      <c r="C3" s="130" t="s">
        <v>236</v>
      </c>
    </row>
    <row r="4" spans="1:3" ht="24" customHeight="1">
      <c r="A4" s="47">
        <v>2</v>
      </c>
      <c r="B4" s="47" t="s">
        <v>238</v>
      </c>
      <c r="C4" s="130" t="s">
        <v>239</v>
      </c>
    </row>
    <row r="5" spans="1:3" ht="24" customHeight="1">
      <c r="A5" s="47">
        <v>3</v>
      </c>
      <c r="B5" s="47" t="s">
        <v>144</v>
      </c>
      <c r="C5" s="130" t="s">
        <v>240</v>
      </c>
    </row>
    <row r="6" spans="1:3" ht="24" customHeight="1">
      <c r="A6" s="47">
        <v>4</v>
      </c>
      <c r="B6" s="47" t="s">
        <v>202</v>
      </c>
      <c r="C6" s="130" t="s">
        <v>241</v>
      </c>
    </row>
    <row r="7" spans="1:3" ht="24" customHeight="1">
      <c r="A7" s="47">
        <v>5</v>
      </c>
      <c r="B7" s="47" t="s">
        <v>242</v>
      </c>
      <c r="C7" s="130" t="s">
        <v>243</v>
      </c>
    </row>
    <row r="8" spans="1:3" ht="24" customHeight="1">
      <c r="A8" s="47">
        <v>6</v>
      </c>
      <c r="B8" s="47" t="s">
        <v>244</v>
      </c>
      <c r="C8" s="130" t="s">
        <v>245</v>
      </c>
    </row>
    <row r="9" spans="1:3" ht="24" customHeight="1">
      <c r="A9" s="47">
        <v>7</v>
      </c>
      <c r="B9" s="47" t="s">
        <v>135</v>
      </c>
      <c r="C9" s="202" t="s">
        <v>489</v>
      </c>
    </row>
  </sheetData>
  <mergeCells count="1">
    <mergeCell ref="A1:C1"/>
  </mergeCells>
  <phoneticPr fontId="1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E26"/>
  <sheetViews>
    <sheetView workbookViewId="0">
      <selection activeCell="C12" sqref="C12"/>
    </sheetView>
  </sheetViews>
  <sheetFormatPr defaultRowHeight="14.25"/>
  <cols>
    <col min="1" max="1" width="5.375" style="31" customWidth="1"/>
    <col min="2" max="2" width="13.375" style="31" customWidth="1"/>
    <col min="3" max="4" width="8.875" style="260" customWidth="1"/>
    <col min="5" max="5" width="11.25" style="260" customWidth="1"/>
  </cols>
  <sheetData>
    <row r="1" spans="1:5" ht="36.75" customHeight="1">
      <c r="A1" s="47" t="s">
        <v>562</v>
      </c>
      <c r="B1" s="47" t="s">
        <v>563</v>
      </c>
      <c r="C1" s="261" t="s">
        <v>564</v>
      </c>
      <c r="D1" s="261" t="s">
        <v>565</v>
      </c>
      <c r="E1" s="262" t="s">
        <v>566</v>
      </c>
    </row>
    <row r="2" spans="1:5" ht="36.75" customHeight="1">
      <c r="A2" s="47">
        <v>1</v>
      </c>
      <c r="B2" s="47" t="s">
        <v>561</v>
      </c>
      <c r="C2" s="261">
        <f>(2462*2665+1098*(2665-2045-90))/1000000</f>
        <v>7.1431699999999996</v>
      </c>
      <c r="D2" s="261">
        <f>2430*600/1000000</f>
        <v>1.458</v>
      </c>
      <c r="E2" s="261">
        <f>3560*600/1000000</f>
        <v>2.1360000000000001</v>
      </c>
    </row>
    <row r="3" spans="1:5" ht="36.75" customHeight="1">
      <c r="A3" s="47">
        <v>2</v>
      </c>
      <c r="B3" s="48" t="s">
        <v>569</v>
      </c>
      <c r="C3" s="261">
        <f>588*1790/1000000</f>
        <v>1.0525199999999999</v>
      </c>
      <c r="D3" s="261">
        <f>1790*600/1000000</f>
        <v>1.0740000000000001</v>
      </c>
      <c r="E3" s="261">
        <v>0</v>
      </c>
    </row>
    <row r="4" spans="1:5" ht="36.75" customHeight="1">
      <c r="A4" s="47">
        <v>3</v>
      </c>
      <c r="B4" s="48" t="s">
        <v>567</v>
      </c>
      <c r="C4" s="262">
        <f>(1770*2660+530*980)/1000000</f>
        <v>5.2275999999999998</v>
      </c>
      <c r="D4" s="261">
        <f>1770*600/1000000</f>
        <v>1.0620000000000001</v>
      </c>
      <c r="E4" s="261">
        <f>2750*600/1000000</f>
        <v>1.65</v>
      </c>
    </row>
    <row r="5" spans="1:5" ht="36.75" customHeight="1">
      <c r="A5" s="47">
        <v>4</v>
      </c>
      <c r="B5" s="48" t="s">
        <v>568</v>
      </c>
      <c r="C5" s="261">
        <f>(2050*618+2010*785)/1000000</f>
        <v>2.8447499999999999</v>
      </c>
      <c r="D5" s="261">
        <f>2050*550/1000000</f>
        <v>1.1274999999999999</v>
      </c>
      <c r="E5" s="261">
        <f>785*550/1000000</f>
        <v>0.43175000000000002</v>
      </c>
    </row>
    <row r="6" spans="1:5" ht="36.75" customHeight="1">
      <c r="A6" s="47">
        <v>5</v>
      </c>
      <c r="B6" s="48" t="s">
        <v>570</v>
      </c>
      <c r="C6" s="261">
        <f>2685*2335/1000000</f>
        <v>6.2694749999999999</v>
      </c>
      <c r="D6" s="261">
        <f>400*2335/1000000</f>
        <v>0.93400000000000005</v>
      </c>
      <c r="E6" s="261">
        <f>400*2335/1000000</f>
        <v>0.93400000000000005</v>
      </c>
    </row>
    <row r="7" spans="1:5" ht="36.75" customHeight="1">
      <c r="A7" s="47">
        <v>6</v>
      </c>
      <c r="B7" s="48" t="s">
        <v>571</v>
      </c>
      <c r="C7" s="261">
        <f>1890*2320/1000000</f>
        <v>4.3848000000000003</v>
      </c>
      <c r="D7" s="261">
        <f>1890*350/1000000</f>
        <v>0.66149999999999998</v>
      </c>
      <c r="E7" s="261">
        <f>1890*350/1000000</f>
        <v>0.66149999999999998</v>
      </c>
    </row>
    <row r="8" spans="1:5" ht="36.75" customHeight="1">
      <c r="A8" s="47">
        <v>7</v>
      </c>
      <c r="B8" s="48" t="s">
        <v>572</v>
      </c>
      <c r="C8" s="261">
        <f>2115*1300/1000000</f>
        <v>2.7494999999999998</v>
      </c>
      <c r="D8" s="261"/>
      <c r="E8" s="261"/>
    </row>
    <row r="9" spans="1:5" ht="36.75" customHeight="1">
      <c r="A9" s="47">
        <v>8</v>
      </c>
      <c r="B9" s="48" t="s">
        <v>573</v>
      </c>
      <c r="C9" s="261">
        <f>2860*2680/1000000</f>
        <v>7.6647999999999996</v>
      </c>
      <c r="D9" s="261">
        <f>2860*400/1000000</f>
        <v>1.1439999999999999</v>
      </c>
      <c r="E9" s="261">
        <f>2860*400/1000000</f>
        <v>1.1439999999999999</v>
      </c>
    </row>
    <row r="10" spans="1:5" ht="36.75" customHeight="1">
      <c r="A10" s="47">
        <v>9</v>
      </c>
      <c r="B10" s="48" t="s">
        <v>574</v>
      </c>
      <c r="C10" s="261">
        <f>1110*755*2/1000000</f>
        <v>1.6760999999999999</v>
      </c>
      <c r="D10" s="261">
        <f>350*755*2/1000000</f>
        <v>0.52849999999999997</v>
      </c>
      <c r="E10" s="261">
        <f>350*755*2/1000000</f>
        <v>0.52849999999999997</v>
      </c>
    </row>
    <row r="11" spans="1:5" ht="36.75" customHeight="1">
      <c r="A11" s="47">
        <v>10</v>
      </c>
      <c r="B11" s="48" t="s">
        <v>575</v>
      </c>
      <c r="C11" s="261">
        <f>2600*1190*2/1000000</f>
        <v>6.1879999999999997</v>
      </c>
      <c r="D11" s="261">
        <f>550*1190*2/1000000</f>
        <v>1.3089999999999999</v>
      </c>
      <c r="E11" s="261">
        <f>550*1190*2/1000000</f>
        <v>1.3089999999999999</v>
      </c>
    </row>
    <row r="12" spans="1:5" ht="36.75" customHeight="1">
      <c r="A12" s="453" t="s">
        <v>576</v>
      </c>
      <c r="B12" s="453"/>
      <c r="C12" s="261">
        <f>SUM(C2:C11)</f>
        <v>45.200714999999995</v>
      </c>
      <c r="D12" s="261">
        <f>SUM(D2:D11)</f>
        <v>9.2985000000000007</v>
      </c>
      <c r="E12" s="261">
        <f>SUM(E2:E11)</f>
        <v>8.7947500000000005</v>
      </c>
    </row>
    <row r="13" spans="1:5" ht="24.75" customHeight="1"/>
    <row r="14" spans="1:5" ht="36" customHeight="1">
      <c r="A14" s="453" t="s">
        <v>577</v>
      </c>
      <c r="B14" s="453"/>
      <c r="C14" s="453"/>
      <c r="D14" s="453"/>
      <c r="E14" s="453"/>
    </row>
    <row r="15" spans="1:5" ht="36" customHeight="1">
      <c r="A15" s="48" t="s">
        <v>118</v>
      </c>
      <c r="B15" s="48" t="s">
        <v>563</v>
      </c>
      <c r="C15" s="262" t="s">
        <v>187</v>
      </c>
      <c r="D15" s="262" t="s">
        <v>578</v>
      </c>
      <c r="E15" s="262" t="s">
        <v>579</v>
      </c>
    </row>
    <row r="16" spans="1:5" ht="42.75" customHeight="1">
      <c r="A16" s="47">
        <v>1</v>
      </c>
      <c r="B16" s="48" t="s">
        <v>577</v>
      </c>
      <c r="C16" s="261">
        <f>67205226.0055/1000000-D12</f>
        <v>57.906726005500005</v>
      </c>
      <c r="D16" s="261">
        <v>163</v>
      </c>
      <c r="E16" s="261">
        <f>C16*D16</f>
        <v>9438.7963388964999</v>
      </c>
    </row>
    <row r="17" spans="1:5" ht="42.75" customHeight="1">
      <c r="A17" s="47">
        <v>2</v>
      </c>
      <c r="B17" s="48" t="s">
        <v>91</v>
      </c>
      <c r="C17" s="261">
        <f>(72996.1962-2462-1790-1770-2050-2335-1890-2075-2860-1190*2-950)/1000</f>
        <v>52.434196200000002</v>
      </c>
      <c r="D17" s="261">
        <v>25</v>
      </c>
      <c r="E17" s="261">
        <f t="shared" ref="E17:E19" si="0">C17*D17</f>
        <v>1310.8549050000001</v>
      </c>
    </row>
    <row r="18" spans="1:5" ht="42.75" customHeight="1">
      <c r="A18" s="47">
        <v>3</v>
      </c>
      <c r="B18" s="48" t="s">
        <v>580</v>
      </c>
      <c r="C18" s="261">
        <f>(2462+1790+1770+2050+2335+1890+2075+2860+1190*2+950)/1000</f>
        <v>20.562000000000001</v>
      </c>
      <c r="D18" s="261">
        <v>20</v>
      </c>
      <c r="E18" s="261">
        <f t="shared" si="0"/>
        <v>411.24</v>
      </c>
    </row>
    <row r="19" spans="1:5" ht="42.75" customHeight="1">
      <c r="A19" s="47">
        <v>4</v>
      </c>
      <c r="B19" s="48" t="s">
        <v>581</v>
      </c>
      <c r="C19" s="261">
        <v>1</v>
      </c>
      <c r="D19" s="261">
        <v>200</v>
      </c>
      <c r="E19" s="261">
        <f t="shared" si="0"/>
        <v>200</v>
      </c>
    </row>
    <row r="20" spans="1:5" s="110" customFormat="1" ht="33.75" customHeight="1">
      <c r="A20" s="454" t="s">
        <v>414</v>
      </c>
      <c r="B20" s="455"/>
      <c r="C20" s="261"/>
      <c r="D20" s="261"/>
      <c r="E20" s="261">
        <f>SUM(E16:E19)</f>
        <v>11360.8912438965</v>
      </c>
    </row>
    <row r="22" spans="1:5" s="110" customFormat="1" ht="36" customHeight="1">
      <c r="A22" s="453" t="s">
        <v>582</v>
      </c>
      <c r="B22" s="453"/>
      <c r="C22" s="453"/>
      <c r="D22" s="453"/>
      <c r="E22" s="453"/>
    </row>
    <row r="23" spans="1:5" s="110" customFormat="1" ht="36" customHeight="1">
      <c r="A23" s="48" t="s">
        <v>118</v>
      </c>
      <c r="B23" s="48" t="s">
        <v>563</v>
      </c>
      <c r="C23" s="262" t="s">
        <v>187</v>
      </c>
      <c r="D23" s="262" t="s">
        <v>578</v>
      </c>
      <c r="E23" s="262" t="s">
        <v>579</v>
      </c>
    </row>
    <row r="24" spans="1:5" s="110" customFormat="1" ht="42.75" customHeight="1">
      <c r="A24" s="47">
        <v>1</v>
      </c>
      <c r="B24" s="48" t="s">
        <v>583</v>
      </c>
      <c r="C24" s="261">
        <f>72996.1962*2700/1000000-C12+C10-1.33*2.285-1.52*2.025-0.75*2-2.18*0.95-1.45*1.2-2.35-2.25-2.41*1.75-2.05*1.75-0.86*2.05*3</f>
        <v>124.44306473999997</v>
      </c>
      <c r="D24" s="261">
        <v>70</v>
      </c>
      <c r="E24" s="261">
        <f>C24*D24</f>
        <v>8711.0145317999977</v>
      </c>
    </row>
    <row r="25" spans="1:5" s="110" customFormat="1" ht="42.75" customHeight="1">
      <c r="A25" s="47">
        <v>1</v>
      </c>
      <c r="B25" s="48" t="s">
        <v>584</v>
      </c>
      <c r="C25" s="261">
        <f>67205226.0055/1000000-E12+2077650/1000000</f>
        <v>60.488126005500007</v>
      </c>
      <c r="D25" s="261">
        <v>70</v>
      </c>
      <c r="E25" s="261">
        <f>C25*D25</f>
        <v>4234.1688203850008</v>
      </c>
    </row>
    <row r="26" spans="1:5" s="110" customFormat="1" ht="33.75" customHeight="1">
      <c r="A26" s="454" t="s">
        <v>414</v>
      </c>
      <c r="B26" s="455"/>
      <c r="C26" s="261">
        <f>SUM(C24:C25)</f>
        <v>184.93119074549998</v>
      </c>
      <c r="D26" s="261"/>
      <c r="E26" s="261">
        <f>SUM(E22:E25)</f>
        <v>12945.183352184999</v>
      </c>
    </row>
  </sheetData>
  <mergeCells count="5">
    <mergeCell ref="A12:B12"/>
    <mergeCell ref="A14:E14"/>
    <mergeCell ref="A20:B20"/>
    <mergeCell ref="A22:E22"/>
    <mergeCell ref="A26:B26"/>
  </mergeCells>
  <phoneticPr fontId="12" type="noConversion"/>
  <pageMargins left="0.7" right="0.7" top="0.75" bottom="0.75" header="0.3" footer="0.3"/>
  <pageSetup paperSize="8" orientation="portrait" verticalDpi="0"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开销汇总表</vt:lpstr>
      <vt:lpstr>已付款项</vt:lpstr>
      <vt:lpstr>预算报价</vt:lpstr>
      <vt:lpstr>开关插座</vt:lpstr>
      <vt:lpstr>时间表</vt:lpstr>
      <vt:lpstr>施工进度表</vt:lpstr>
      <vt:lpstr>工期时间</vt:lpstr>
      <vt:lpstr>柜子、地板及硅藻泥面积</vt:lpstr>
      <vt:lpstr>开销汇总表!Print_Area</vt:lpstr>
      <vt:lpstr>已付款项!Print_Area</vt:lpstr>
      <vt:lpstr>预算报价!Print_Area</vt:lpstr>
      <vt:lpstr>已付款项!Print_Titles</vt:lpstr>
      <vt:lpstr>预算报价!Print_Titles</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cp:lastPrinted>2017-09-13T04:42:30Z</cp:lastPrinted>
  <dcterms:created xsi:type="dcterms:W3CDTF">2015-08-21T02:24:52Z</dcterms:created>
  <dcterms:modified xsi:type="dcterms:W3CDTF">2017-12-25T01:10:14Z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