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wq\lua\workLua\上传\"/>
    </mc:Choice>
  </mc:AlternateContent>
  <bookViews>
    <workbookView xWindow="0" yWindow="0" windowWidth="28800" windowHeight="10650"/>
  </bookViews>
  <sheets>
    <sheet name="收益计算器" sheetId="1" r:id="rId1"/>
    <sheet name="人物评价等级计算" sheetId="2" r:id="rId2"/>
    <sheet name="挂机收益一览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O12" i="4" l="1"/>
  <c r="N12" i="4"/>
  <c r="N7" i="4" l="1"/>
  <c r="O7" i="4"/>
  <c r="N8" i="4"/>
  <c r="O8" i="4"/>
  <c r="N9" i="4"/>
  <c r="O9" i="4"/>
  <c r="N10" i="4"/>
  <c r="O10" i="4"/>
  <c r="N11" i="4"/>
  <c r="O11" i="4"/>
  <c r="O6" i="4"/>
  <c r="N6" i="4"/>
  <c r="E10" i="4" l="1"/>
  <c r="E12" i="4" l="1"/>
  <c r="E7" i="4"/>
  <c r="E8" i="4"/>
  <c r="E9" i="4"/>
  <c r="E11" i="4"/>
  <c r="E6" i="4"/>
  <c r="D3" i="4"/>
  <c r="J3" i="4" s="1"/>
  <c r="D4" i="4"/>
  <c r="J4" i="4" s="1"/>
  <c r="D5" i="4"/>
  <c r="J5" i="4" s="1"/>
  <c r="D6" i="4"/>
  <c r="J6" i="4" s="1"/>
  <c r="D7" i="4"/>
  <c r="D8" i="4"/>
  <c r="D9" i="4"/>
  <c r="D10" i="4"/>
  <c r="J10" i="4" s="1"/>
  <c r="D11" i="4"/>
  <c r="D12" i="4"/>
  <c r="D2" i="4"/>
  <c r="J2" i="4" s="1"/>
  <c r="J7" i="4" l="1"/>
  <c r="J12" i="4"/>
  <c r="J8" i="4"/>
  <c r="J9" i="4"/>
  <c r="J11" i="4"/>
  <c r="Q10" i="4"/>
  <c r="P10" i="4"/>
  <c r="Q12" i="4"/>
  <c r="P12" i="4"/>
  <c r="Q8" i="4"/>
  <c r="P8" i="4"/>
  <c r="Q4" i="4"/>
  <c r="P4" i="4"/>
  <c r="P11" i="4"/>
  <c r="Q11" i="4"/>
  <c r="P7" i="4"/>
  <c r="Q7" i="4"/>
  <c r="P3" i="4"/>
  <c r="Q3" i="4"/>
  <c r="Q6" i="4"/>
  <c r="P6" i="4"/>
  <c r="Q2" i="4"/>
  <c r="P2" i="4"/>
  <c r="P9" i="4"/>
  <c r="Q9" i="4"/>
  <c r="P5" i="4"/>
  <c r="Q5" i="4"/>
  <c r="C8" i="4"/>
  <c r="B8" i="4" s="1"/>
  <c r="C4" i="4"/>
  <c r="C11" i="4"/>
  <c r="C7" i="4"/>
  <c r="B7" i="4" s="1"/>
  <c r="C3" i="4"/>
  <c r="B3" i="4" s="1"/>
  <c r="C12" i="4"/>
  <c r="B12" i="4" s="1"/>
  <c r="C10" i="4"/>
  <c r="C6" i="4"/>
  <c r="B6" i="4" s="1"/>
  <c r="C2" i="4"/>
  <c r="B2" i="4" s="1"/>
  <c r="C9" i="4"/>
  <c r="C5" i="4"/>
  <c r="C9" i="1"/>
  <c r="C8" i="1"/>
  <c r="C7" i="1"/>
  <c r="C6" i="1"/>
  <c r="R9" i="4" l="1"/>
  <c r="I9" i="4" s="1"/>
  <c r="R7" i="4"/>
  <c r="I7" i="4" s="1"/>
  <c r="R6" i="4"/>
  <c r="I6" i="4" s="1"/>
  <c r="I4" i="4"/>
  <c r="R4" i="4"/>
  <c r="R12" i="4"/>
  <c r="I12" i="4" s="1"/>
  <c r="R5" i="4"/>
  <c r="I5" i="4"/>
  <c r="R3" i="4"/>
  <c r="I3" i="4"/>
  <c r="R11" i="4"/>
  <c r="I11" i="4" s="1"/>
  <c r="R2" i="4"/>
  <c r="I2" i="4"/>
  <c r="R8" i="4"/>
  <c r="I8" i="4" s="1"/>
  <c r="R10" i="4"/>
  <c r="I10" i="4" s="1"/>
  <c r="B10" i="4"/>
  <c r="B5" i="4"/>
  <c r="B11" i="4"/>
  <c r="B9" i="4"/>
  <c r="B4" i="4"/>
  <c r="B14" i="1"/>
  <c r="E3" i="1" l="1"/>
  <c r="B13" i="1"/>
  <c r="B12" i="1"/>
  <c r="B11" i="1"/>
  <c r="E7" i="1"/>
  <c r="E6" i="1"/>
  <c r="E2" i="1"/>
  <c r="C5" i="1"/>
  <c r="G3" i="2"/>
  <c r="E5" i="1" l="1"/>
  <c r="J14" i="1"/>
  <c r="I4" i="1" l="1"/>
  <c r="H10" i="1"/>
  <c r="H6" i="1"/>
  <c r="H12" i="1"/>
  <c r="H4" i="1"/>
  <c r="H11" i="1"/>
  <c r="H13" i="1"/>
  <c r="H9" i="1"/>
  <c r="H5" i="1"/>
  <c r="H8" i="1"/>
  <c r="H7" i="1"/>
  <c r="J7" i="1"/>
  <c r="J11" i="1"/>
  <c r="J9" i="1"/>
  <c r="J8" i="1"/>
  <c r="J12" i="1"/>
  <c r="J5" i="1"/>
  <c r="J13" i="1"/>
  <c r="J6" i="1"/>
  <c r="J10" i="1"/>
  <c r="J4" i="1"/>
  <c r="E4" i="1"/>
  <c r="J3" i="1"/>
  <c r="I5" i="1"/>
  <c r="I6" i="1"/>
  <c r="H3" i="1"/>
  <c r="I10" i="1"/>
  <c r="I11" i="1"/>
  <c r="I7" i="1"/>
  <c r="H14" i="1"/>
  <c r="I12" i="1"/>
  <c r="I8" i="1"/>
  <c r="I14" i="1"/>
  <c r="I13" i="1"/>
  <c r="I9" i="1"/>
  <c r="I3" i="1"/>
  <c r="M6" i="1" l="1"/>
  <c r="M10" i="1"/>
  <c r="M14" i="1"/>
  <c r="M8" i="1"/>
  <c r="M5" i="1"/>
  <c r="M13" i="1"/>
  <c r="M7" i="1"/>
  <c r="M11" i="1"/>
  <c r="M4" i="1"/>
  <c r="M12" i="1"/>
  <c r="M9" i="1"/>
  <c r="M3" i="1"/>
</calcChain>
</file>

<file path=xl/sharedStrings.xml><?xml version="1.0" encoding="utf-8"?>
<sst xmlns="http://schemas.openxmlformats.org/spreadsheetml/2006/main" count="107" uniqueCount="99">
  <si>
    <t>评价等级</t>
    <phoneticPr fontId="1" type="noConversion"/>
  </si>
  <si>
    <t>正神当头</t>
  </si>
  <si>
    <t>以杀止杀</t>
  </si>
  <si>
    <t>正气加身</t>
  </si>
  <si>
    <t>以暴制暴</t>
  </si>
  <si>
    <t>性别</t>
    <phoneticPr fontId="1" type="noConversion"/>
  </si>
  <si>
    <t>人物等级</t>
    <phoneticPr fontId="1" type="noConversion"/>
  </si>
  <si>
    <t>飞贼第1次</t>
    <phoneticPr fontId="1" type="noConversion"/>
  </si>
  <si>
    <t>飞贼第2次</t>
    <phoneticPr fontId="1" type="noConversion"/>
  </si>
  <si>
    <t>飞贼第3次</t>
  </si>
  <si>
    <t>飞贼第4次</t>
  </si>
  <si>
    <t>飞贼第15+次</t>
    <phoneticPr fontId="1" type="noConversion"/>
  </si>
  <si>
    <t>飞贼第5-7次</t>
    <phoneticPr fontId="1" type="noConversion"/>
  </si>
  <si>
    <t>飞贼第8次</t>
    <phoneticPr fontId="1" type="noConversion"/>
  </si>
  <si>
    <t>飞贼第9次</t>
    <phoneticPr fontId="1" type="noConversion"/>
  </si>
  <si>
    <t>飞贼第10次</t>
    <phoneticPr fontId="1" type="noConversion"/>
  </si>
  <si>
    <t>古寺任务</t>
    <phoneticPr fontId="1" type="noConversion"/>
  </si>
  <si>
    <t>经验获取计算</t>
    <phoneticPr fontId="1" type="noConversion"/>
  </si>
  <si>
    <t>基本武功等级</t>
    <phoneticPr fontId="1" type="noConversion"/>
  </si>
  <si>
    <t>武功等级</t>
    <phoneticPr fontId="1" type="noConversion"/>
  </si>
  <si>
    <t>基本内功等级</t>
    <phoneticPr fontId="1" type="noConversion"/>
  </si>
  <si>
    <t>内功等级</t>
    <phoneticPr fontId="1" type="noConversion"/>
  </si>
  <si>
    <t>基本轻功等级</t>
    <phoneticPr fontId="1" type="noConversion"/>
  </si>
  <si>
    <t>轻功等级</t>
    <phoneticPr fontId="1" type="noConversion"/>
  </si>
  <si>
    <t>基本招架等级</t>
    <phoneticPr fontId="1" type="noConversion"/>
  </si>
  <si>
    <t>招架等级</t>
    <phoneticPr fontId="1" type="noConversion"/>
  </si>
  <si>
    <t>人物等级</t>
    <phoneticPr fontId="1" type="noConversion"/>
  </si>
  <si>
    <t>辅助计算</t>
    <phoneticPr fontId="1" type="noConversion"/>
  </si>
  <si>
    <t>输入武学经验</t>
    <phoneticPr fontId="1" type="noConversion"/>
  </si>
  <si>
    <t>对应武学等级</t>
    <phoneticPr fontId="1" type="noConversion"/>
  </si>
  <si>
    <t>传承次数</t>
    <phoneticPr fontId="1" type="noConversion"/>
  </si>
  <si>
    <t>护送军机</t>
    <phoneticPr fontId="1" type="noConversion"/>
  </si>
  <si>
    <t>显示均值</t>
    <phoneticPr fontId="1" type="noConversion"/>
  </si>
  <si>
    <t>实际收益值</t>
    <phoneticPr fontId="1" type="noConversion"/>
  </si>
  <si>
    <t>基础系数</t>
    <phoneticPr fontId="1" type="noConversion"/>
  </si>
  <si>
    <t>最大系数</t>
    <phoneticPr fontId="1" type="noConversion"/>
  </si>
  <si>
    <t>抗击元兵</t>
  </si>
  <si>
    <t>保家卫国</t>
  </si>
  <si>
    <t>保卫襄阳</t>
  </si>
  <si>
    <t>林家护镖</t>
  </si>
  <si>
    <t>平安巡城</t>
  </si>
  <si>
    <t>戏院唱戏</t>
  </si>
  <si>
    <t>回春堂分药</t>
  </si>
  <si>
    <t>武馆打杂</t>
  </si>
  <si>
    <t>采石场砸石头</t>
  </si>
  <si>
    <t>酒馆洗盘子</t>
  </si>
  <si>
    <t>经验上限</t>
    <phoneticPr fontId="1" type="noConversion"/>
  </si>
  <si>
    <t>挂机任务</t>
    <phoneticPr fontId="1" type="noConversion"/>
  </si>
  <si>
    <t>男</t>
    <phoneticPr fontId="1" type="noConversion"/>
  </si>
  <si>
    <t>女</t>
    <phoneticPr fontId="1" type="noConversion"/>
  </si>
  <si>
    <t>是</t>
  </si>
  <si>
    <t>是</t>
    <phoneticPr fontId="1" type="noConversion"/>
  </si>
  <si>
    <t>否</t>
    <phoneticPr fontId="1" type="noConversion"/>
  </si>
  <si>
    <t>男</t>
  </si>
  <si>
    <t>奖励倍数</t>
    <phoneticPr fontId="1" type="noConversion"/>
  </si>
  <si>
    <t>任务次数</t>
    <phoneticPr fontId="1" type="noConversion"/>
  </si>
  <si>
    <t>1-3</t>
    <phoneticPr fontId="1" type="noConversion"/>
  </si>
  <si>
    <t>5-7</t>
    <phoneticPr fontId="1" type="noConversion"/>
  </si>
  <si>
    <t>11-14</t>
    <phoneticPr fontId="1" type="noConversion"/>
  </si>
  <si>
    <t>15+</t>
    <phoneticPr fontId="1" type="noConversion"/>
  </si>
  <si>
    <t>飞贼第11-14次</t>
    <phoneticPr fontId="1" type="noConversion"/>
  </si>
  <si>
    <t>南阳1-3次</t>
    <phoneticPr fontId="1" type="noConversion"/>
  </si>
  <si>
    <t>实际收益期望</t>
    <phoneticPr fontId="1" type="noConversion"/>
  </si>
  <si>
    <t>评价等级</t>
    <phoneticPr fontId="1" type="noConversion"/>
  </si>
  <si>
    <t>历练任务收益（经验）</t>
    <phoneticPr fontId="1" type="noConversion"/>
  </si>
  <si>
    <t>挂机收益（经验）</t>
    <phoneticPr fontId="1" type="noConversion"/>
  </si>
  <si>
    <t>福缘</t>
    <phoneticPr fontId="1" type="noConversion"/>
  </si>
  <si>
    <t>否</t>
  </si>
  <si>
    <t>期望</t>
    <phoneticPr fontId="1" type="noConversion"/>
  </si>
  <si>
    <t>欢迎加入放置江湖
大玩家交流群663553792</t>
    <phoneticPr fontId="1" type="noConversion"/>
  </si>
  <si>
    <t>不赔本时间</t>
    <phoneticPr fontId="1" type="noConversion"/>
  </si>
  <si>
    <t>福缘系数</t>
    <phoneticPr fontId="1" type="noConversion"/>
  </si>
  <si>
    <t>评价系数</t>
    <phoneticPr fontId="1" type="noConversion"/>
  </si>
  <si>
    <t>显示最大值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</si>
  <si>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</si>
  <si>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</si>
  <si>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</si>
  <si>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最低</t>
    <phoneticPr fontId="1" type="noConversion"/>
  </si>
  <si>
    <t>最高</t>
    <phoneticPr fontId="1" type="noConversion"/>
  </si>
  <si>
    <t>最大挂机</t>
    <phoneticPr fontId="1" type="noConversion"/>
  </si>
  <si>
    <t>修改这一部分</t>
    <phoneticPr fontId="1" type="noConversion"/>
  </si>
  <si>
    <t>爆评价</t>
    <phoneticPr fontId="1" type="noConversion"/>
  </si>
  <si>
    <t>-</t>
    <phoneticPr fontId="1" type="noConversion"/>
  </si>
  <si>
    <t>真 爆评价所需评价等级</t>
    <phoneticPr fontId="1" type="noConversion"/>
  </si>
  <si>
    <t>爆评价2</t>
    <phoneticPr fontId="1" type="noConversion"/>
  </si>
  <si>
    <t>-</t>
    <phoneticPr fontId="1" type="noConversion"/>
  </si>
  <si>
    <t>爆评价所需评价等级</t>
    <phoneticPr fontId="1" type="noConversion"/>
  </si>
  <si>
    <t>爆评价所需评价等级是指显示收益与最大收益相同时的评价等级</t>
    <phoneticPr fontId="1" type="noConversion"/>
  </si>
  <si>
    <t>但是此时仍然有波动的可能性</t>
    <phoneticPr fontId="1" type="noConversion"/>
  </si>
  <si>
    <t>真 爆评价所需评价等级是指最低收益与最大收益相同时的评价等级</t>
    <phoneticPr fontId="1" type="noConversion"/>
  </si>
  <si>
    <t>此时没有波动的可能性</t>
    <phoneticPr fontId="1" type="noConversion"/>
  </si>
  <si>
    <t>最小值</t>
    <phoneticPr fontId="1" type="noConversion"/>
  </si>
  <si>
    <t>最大值</t>
    <phoneticPr fontId="1" type="noConversion"/>
  </si>
  <si>
    <t>重叠百分比</t>
    <phoneticPr fontId="1" type="noConversion"/>
  </si>
  <si>
    <t>显示挂机收益</t>
    <phoneticPr fontId="1" type="noConversion"/>
  </si>
  <si>
    <t>当挂机波动最大值大于最大挂机值而最小值小于最大挂机值时，实际挂机收益期望会比显示的要低。</t>
    <phoneticPr fontId="1" type="noConversion"/>
  </si>
  <si>
    <t>密码：1234</t>
    <phoneticPr fontId="1" type="noConversion"/>
  </si>
  <si>
    <t>无上限收益</t>
    <phoneticPr fontId="1" type="noConversion"/>
  </si>
  <si>
    <t>门客完成历练的收益为期望收益。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</si>
</sst>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0" fillId="0" borderId="0" xfId="0" applyProtection="1">
      <alignment vertical="center"/>
    </xf>
    <xf numFmtId="0" fontId="0" fillId="0" borderId="1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center" vertical="center"/>
    </xf>
    <xf numFmtId="0" fontId="2" fillId="0" borderId="0" xfId="0" applyFont="1" applyProtection="1">
      <alignment vertical="center"/>
    </xf>
    <xf numFmtId="0" fontId="3" fillId="0" borderId="0" xfId="0" applyFont="1" applyProtection="1">
      <alignment vertical="center"/>
    </xf>
    <xf numFmtId="0" fontId="5" fillId="0" borderId="0" xfId="0" applyFo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10" fontId="3" fillId="0" borderId="0" xfId="0" applyNumberFormat="1" applyFont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4"/>
  <sheetViews>
    <sheetView tabSelected="1" workbookViewId="0">
      <selection activeCell="E4" sqref="E4"/>
    </sheetView>
  </sheetViews>
  <sheetFormatPr defaultRowHeight="14.25" x14ac:dyDescent="0.2"/>
  <cols>
    <col min="2" max="2" width="11.625" bestFit="1" customWidth="1"/>
    <col min="3" max="3" width="5.25" customWidth="1"/>
    <col min="4" max="4" width="20.375" customWidth="1"/>
    <col min="5" max="5" width="11.625" bestFit="1" customWidth="1"/>
    <col min="6" max="6" width="23.75" customWidth="1"/>
    <col min="7" max="7" width="15.875" customWidth="1"/>
    <col min="8" max="8" width="12.5" style="1" customWidth="1"/>
    <col min="9" max="9" width="14.5" customWidth="1"/>
    <col min="10" max="10" width="12.125" customWidth="1"/>
    <col min="11" max="12" width="12.75" customWidth="1"/>
    <col min="13" max="13" width="12.375" customWidth="1"/>
  </cols>
  <sheetData>
    <row r="1" spans="1:14" x14ac:dyDescent="0.2">
      <c r="A1" s="3"/>
      <c r="B1" s="3" t="s">
        <v>80</v>
      </c>
      <c r="C1" s="14"/>
      <c r="D1" s="34" t="s">
        <v>65</v>
      </c>
      <c r="E1" s="34"/>
      <c r="F1" s="15"/>
      <c r="G1" s="37" t="s">
        <v>64</v>
      </c>
      <c r="H1" s="38"/>
      <c r="I1" s="38"/>
      <c r="J1" s="38"/>
      <c r="K1" s="38"/>
      <c r="L1" s="38"/>
      <c r="M1" s="38"/>
      <c r="N1" s="16"/>
    </row>
    <row r="2" spans="1:14" x14ac:dyDescent="0.2">
      <c r="A2" s="6" t="s">
        <v>6</v>
      </c>
      <c r="B2" s="31">
        <v>1576</v>
      </c>
      <c r="C2" s="14"/>
      <c r="D2" s="17" t="s">
        <v>47</v>
      </c>
      <c r="E2" s="17" t="str">
        <f>INDEX(挂机收益一览!A2:A12,收益计算器!B14,1)</f>
        <v>保家卫国</v>
      </c>
      <c r="F2" s="18"/>
      <c r="G2" s="17" t="s">
        <v>17</v>
      </c>
      <c r="H2" s="19" t="s">
        <v>68</v>
      </c>
      <c r="I2" s="17" t="s">
        <v>77</v>
      </c>
      <c r="J2" s="17" t="s">
        <v>78</v>
      </c>
      <c r="K2" s="17" t="s">
        <v>55</v>
      </c>
      <c r="L2" s="17" t="s">
        <v>54</v>
      </c>
      <c r="M2" s="17" t="s">
        <v>70</v>
      </c>
      <c r="N2" s="16"/>
    </row>
    <row r="3" spans="1:14" x14ac:dyDescent="0.2">
      <c r="A3" s="6" t="s">
        <v>66</v>
      </c>
      <c r="B3" s="31">
        <v>110</v>
      </c>
      <c r="C3" s="14"/>
      <c r="D3" s="17" t="s">
        <v>94</v>
      </c>
      <c r="E3" s="19">
        <f>INT(INDEX(挂机收益一览!B2:B12,收益计算器!B14,1))</f>
        <v>47716</v>
      </c>
      <c r="F3" s="15"/>
      <c r="G3" s="17" t="s">
        <v>61</v>
      </c>
      <c r="H3" s="19">
        <f>B11*5760*(1+C6+C7)</f>
        <v>95433.54598930481</v>
      </c>
      <c r="I3" s="17">
        <f>B13*5760*(1+C6+C7)</f>
        <v>81118.514090909084</v>
      </c>
      <c r="J3" s="17">
        <f>B12*5760*(1+C6+C7)</f>
        <v>109748.57788770052</v>
      </c>
      <c r="K3" s="20" t="s">
        <v>56</v>
      </c>
      <c r="L3" s="17">
        <v>57.6</v>
      </c>
      <c r="M3" s="17">
        <f t="shared" ref="M3:M14" si="0">H3/E$4*3600</f>
        <v>7200.116639313801</v>
      </c>
      <c r="N3" s="16"/>
    </row>
    <row r="4" spans="1:14" x14ac:dyDescent="0.2">
      <c r="A4" s="6" t="s">
        <v>0</v>
      </c>
      <c r="B4" s="31">
        <v>1192</v>
      </c>
      <c r="C4" s="14"/>
      <c r="D4" s="19" t="s">
        <v>62</v>
      </c>
      <c r="E4" s="19">
        <f>INT(INDEX(挂机收益一览!I2:I12,收益计算器!B14,1))</f>
        <v>47716</v>
      </c>
      <c r="F4" s="14"/>
      <c r="G4" s="17" t="s">
        <v>7</v>
      </c>
      <c r="H4" s="19">
        <f>B$11*100*(C$8+C$9+L4)</f>
        <v>2849.7517205139629</v>
      </c>
      <c r="I4" s="17">
        <f>B$13*100*(C$8+C$9+L4)</f>
        <v>2422.2889624368681</v>
      </c>
      <c r="J4" s="17">
        <f t="shared" ref="J4:J13" si="1">B$12*100*(C$8+C$9+L4)</f>
        <v>3277.2144785910568</v>
      </c>
      <c r="K4" s="20">
        <v>1</v>
      </c>
      <c r="L4" s="17">
        <v>2</v>
      </c>
      <c r="M4" s="17">
        <f t="shared" si="0"/>
        <v>215.00348297950933</v>
      </c>
      <c r="N4" s="16"/>
    </row>
    <row r="5" spans="1:14" x14ac:dyDescent="0.2">
      <c r="A5" s="6" t="s">
        <v>30</v>
      </c>
      <c r="B5" s="31">
        <v>5</v>
      </c>
      <c r="C5" s="21">
        <f>MIN(1+0.05*B5,1.2)</f>
        <v>1.2</v>
      </c>
      <c r="D5" s="17" t="s">
        <v>79</v>
      </c>
      <c r="E5" s="19">
        <f>INT(INDEX(挂机收益一览!C2:C12,收益计算器!B14,1))</f>
        <v>55021</v>
      </c>
      <c r="F5" s="14"/>
      <c r="G5" s="17" t="s">
        <v>8</v>
      </c>
      <c r="H5" s="19">
        <f t="shared" ref="H5:H13" si="2">B$11*100*(C$8+C$9+L5)</f>
        <v>5500.6835535502087</v>
      </c>
      <c r="I5" s="17">
        <f t="shared" ref="I5:I13" si="3">B$13*100*(1+C$8+C$9)*L5</f>
        <v>5182.5717335858571</v>
      </c>
      <c r="J5" s="17">
        <f t="shared" si="1"/>
        <v>6325.7860865827388</v>
      </c>
      <c r="K5" s="20">
        <v>2</v>
      </c>
      <c r="L5" s="17">
        <v>4</v>
      </c>
      <c r="M5" s="17">
        <f t="shared" si="0"/>
        <v>415.00672296044831</v>
      </c>
      <c r="N5" s="16"/>
    </row>
    <row r="6" spans="1:14" x14ac:dyDescent="0.2">
      <c r="A6" s="6" t="s">
        <v>2</v>
      </c>
      <c r="B6" s="32" t="s">
        <v>50</v>
      </c>
      <c r="C6" s="21">
        <f>IF(EXACT(B6,"是"),IF(EXACT(B$10,"男"),0.15,0.1),0)</f>
        <v>0.15</v>
      </c>
      <c r="D6" s="17" t="s">
        <v>86</v>
      </c>
      <c r="E6" s="19">
        <f>INT(INDEX(挂机收益一览!N2:N12,收益计算器!B14,1))</f>
        <v>1729</v>
      </c>
      <c r="F6" s="16"/>
      <c r="G6" s="17" t="s">
        <v>9</v>
      </c>
      <c r="H6" s="19">
        <f t="shared" si="2"/>
        <v>8151.6153865864535</v>
      </c>
      <c r="I6" s="17">
        <f t="shared" si="3"/>
        <v>7773.8576003787857</v>
      </c>
      <c r="J6" s="17">
        <f t="shared" si="1"/>
        <v>9374.3576945744189</v>
      </c>
      <c r="K6" s="20">
        <v>3</v>
      </c>
      <c r="L6" s="17">
        <v>6</v>
      </c>
      <c r="M6" s="17">
        <f t="shared" si="0"/>
        <v>615.00996294138724</v>
      </c>
      <c r="N6" s="16"/>
    </row>
    <row r="7" spans="1:14" x14ac:dyDescent="0.2">
      <c r="A7" s="6" t="s">
        <v>4</v>
      </c>
      <c r="B7" s="32" t="s">
        <v>50</v>
      </c>
      <c r="C7" s="21">
        <f>IF(EXACT(B7,"是"),IF(EXACT(B$10,"男"),0.1,0.15),0)</f>
        <v>0.1</v>
      </c>
      <c r="D7" s="17" t="s">
        <v>83</v>
      </c>
      <c r="E7" s="19">
        <f>INT(INDEX(挂机收益一览!O2:O12,收益计算器!B14,1))</f>
        <v>2836</v>
      </c>
      <c r="F7" s="16"/>
      <c r="G7" s="17" t="s">
        <v>10</v>
      </c>
      <c r="H7" s="19">
        <f t="shared" si="2"/>
        <v>10802.547219622698</v>
      </c>
      <c r="I7" s="17">
        <f t="shared" si="3"/>
        <v>10365.143467171714</v>
      </c>
      <c r="J7" s="17">
        <f t="shared" si="1"/>
        <v>12422.929302566101</v>
      </c>
      <c r="K7" s="20">
        <v>4</v>
      </c>
      <c r="L7" s="17">
        <v>8</v>
      </c>
      <c r="M7" s="17">
        <f t="shared" si="0"/>
        <v>815.01320292232617</v>
      </c>
      <c r="N7" s="16"/>
    </row>
    <row r="8" spans="1:14" x14ac:dyDescent="0.2">
      <c r="A8" s="6" t="s">
        <v>1</v>
      </c>
      <c r="B8" s="32" t="s">
        <v>50</v>
      </c>
      <c r="C8" s="21">
        <f>IF(EXACT(B8,"是"),IF(EXACT(B$10,"男"),0.15,0.1),0)</f>
        <v>0.15</v>
      </c>
      <c r="D8" s="35" t="s">
        <v>69</v>
      </c>
      <c r="E8" s="36"/>
      <c r="F8" s="36"/>
      <c r="G8" s="17" t="s">
        <v>12</v>
      </c>
      <c r="H8" s="19">
        <f t="shared" si="2"/>
        <v>13453.479052658942</v>
      </c>
      <c r="I8" s="17">
        <f t="shared" si="3"/>
        <v>12956.429333964643</v>
      </c>
      <c r="J8" s="17">
        <f t="shared" si="1"/>
        <v>15471.500910557781</v>
      </c>
      <c r="K8" s="20" t="s">
        <v>57</v>
      </c>
      <c r="L8" s="17">
        <v>10</v>
      </c>
      <c r="M8" s="17">
        <f t="shared" si="0"/>
        <v>1015.016442903265</v>
      </c>
      <c r="N8" s="16"/>
    </row>
    <row r="9" spans="1:14" ht="14.25" customHeight="1" x14ac:dyDescent="0.2">
      <c r="A9" s="6" t="s">
        <v>3</v>
      </c>
      <c r="B9" s="32" t="s">
        <v>67</v>
      </c>
      <c r="C9" s="21">
        <f>IF(EXACT(B9,"是"),IF(EXACT(B$10,"男"),0.1,0.15),0)</f>
        <v>0</v>
      </c>
      <c r="D9" s="36"/>
      <c r="E9" s="36"/>
      <c r="F9" s="36"/>
      <c r="G9" s="17" t="s">
        <v>13</v>
      </c>
      <c r="H9" s="19">
        <f t="shared" si="2"/>
        <v>5500.6835535502087</v>
      </c>
      <c r="I9" s="17">
        <f t="shared" si="3"/>
        <v>5182.5717335858571</v>
      </c>
      <c r="J9" s="17">
        <f t="shared" si="1"/>
        <v>6325.7860865827388</v>
      </c>
      <c r="K9" s="20">
        <v>8</v>
      </c>
      <c r="L9" s="17">
        <v>4</v>
      </c>
      <c r="M9" s="17">
        <f t="shared" si="0"/>
        <v>415.00672296044831</v>
      </c>
      <c r="N9" s="16"/>
    </row>
    <row r="10" spans="1:14" x14ac:dyDescent="0.2">
      <c r="A10" s="6" t="s">
        <v>5</v>
      </c>
      <c r="B10" s="32" t="s">
        <v>53</v>
      </c>
      <c r="C10" s="22"/>
      <c r="D10" s="14"/>
      <c r="E10" s="14"/>
      <c r="F10" s="14"/>
      <c r="G10" s="17" t="s">
        <v>14</v>
      </c>
      <c r="H10" s="19">
        <f t="shared" si="2"/>
        <v>4175.2176370320858</v>
      </c>
      <c r="I10" s="17">
        <f t="shared" si="3"/>
        <v>3886.9288001893929</v>
      </c>
      <c r="J10" s="17">
        <f t="shared" si="1"/>
        <v>4801.5002825868978</v>
      </c>
      <c r="K10" s="20">
        <v>9</v>
      </c>
      <c r="L10" s="17">
        <v>3</v>
      </c>
      <c r="M10" s="17">
        <f t="shared" si="0"/>
        <v>315.00510296997879</v>
      </c>
      <c r="N10" s="16"/>
    </row>
    <row r="11" spans="1:14" x14ac:dyDescent="0.2">
      <c r="A11" s="21"/>
      <c r="B11" s="21">
        <f>(INDEX(挂机收益一览!J2:J12,收益计算器!B14,1)/3600)</f>
        <v>13.254659165181224</v>
      </c>
      <c r="C11" s="21"/>
      <c r="D11" s="23" t="s">
        <v>87</v>
      </c>
      <c r="E11" s="14"/>
      <c r="F11" s="14"/>
      <c r="G11" s="17" t="s">
        <v>15</v>
      </c>
      <c r="H11" s="19">
        <f t="shared" si="2"/>
        <v>2849.7517205139629</v>
      </c>
      <c r="I11" s="17">
        <f t="shared" si="3"/>
        <v>2591.2858667929286</v>
      </c>
      <c r="J11" s="17">
        <f t="shared" si="1"/>
        <v>3277.2144785910568</v>
      </c>
      <c r="K11" s="20">
        <v>10</v>
      </c>
      <c r="L11" s="17">
        <v>2</v>
      </c>
      <c r="M11" s="17">
        <f t="shared" si="0"/>
        <v>215.00348297950933</v>
      </c>
      <c r="N11" s="16"/>
    </row>
    <row r="12" spans="1:14" x14ac:dyDescent="0.2">
      <c r="A12" s="21"/>
      <c r="B12" s="21">
        <f>(INDEX(挂机收益一览!J2:J12,收益计算器!B14,1)/3600)*1.15</f>
        <v>15.242858039958406</v>
      </c>
      <c r="C12" s="24"/>
      <c r="D12" s="16" t="s">
        <v>88</v>
      </c>
      <c r="E12" s="14"/>
      <c r="F12" s="14"/>
      <c r="G12" s="17" t="s">
        <v>60</v>
      </c>
      <c r="H12" s="19">
        <f t="shared" si="2"/>
        <v>1524.2858039958408</v>
      </c>
      <c r="I12" s="17">
        <f t="shared" si="3"/>
        <v>1295.6429333964643</v>
      </c>
      <c r="J12" s="17">
        <f t="shared" si="1"/>
        <v>1752.9286745952165</v>
      </c>
      <c r="K12" s="20" t="s">
        <v>58</v>
      </c>
      <c r="L12" s="17">
        <v>1</v>
      </c>
      <c r="M12" s="17">
        <f t="shared" si="0"/>
        <v>115.00186298903988</v>
      </c>
      <c r="N12" s="16"/>
    </row>
    <row r="13" spans="1:14" x14ac:dyDescent="0.2">
      <c r="A13" s="21"/>
      <c r="B13" s="21">
        <f>(INDEX(挂机收益一览!J2:J12,收益计算器!B14,1)/3600)*0.85</f>
        <v>11.266460290404039</v>
      </c>
      <c r="C13" s="24"/>
      <c r="D13" s="16"/>
      <c r="E13" s="14"/>
      <c r="F13" s="14"/>
      <c r="G13" s="17" t="s">
        <v>11</v>
      </c>
      <c r="H13" s="19">
        <f t="shared" si="2"/>
        <v>861.55284573677955</v>
      </c>
      <c r="I13" s="17">
        <f t="shared" si="3"/>
        <v>647.82146669823214</v>
      </c>
      <c r="J13" s="17">
        <f t="shared" si="1"/>
        <v>990.78577259729639</v>
      </c>
      <c r="K13" s="20" t="s">
        <v>59</v>
      </c>
      <c r="L13" s="17">
        <v>0.5</v>
      </c>
      <c r="M13" s="17">
        <f t="shared" si="0"/>
        <v>65.001052993805146</v>
      </c>
      <c r="N13" s="16"/>
    </row>
    <row r="14" spans="1:14" x14ac:dyDescent="0.2">
      <c r="A14" s="21"/>
      <c r="B14" s="21">
        <f>IF(INT((B2+4)^3/10+1)&gt;挂机收益一览!M11,11,IF(INT((B2+4)^3/10+1)&gt;挂机收益一览!M10,10,IF(INT((B2+4)^3/10+1)&gt;挂机收益一览!M9,9,IF(INT((B2+4)^3/10+1)&gt;挂机收益一览!M9,9,IF(INT((B2+4)^3/10+1)&gt;挂机收益一览!M8,8,IF(INT((B2+4)^3/10+1)&gt;挂机收益一览!M7,7,IF(INT((B2+4)^3/10+1)&gt;挂机收益一览!M6,6,IF(INT((B2+4)^3/10+1)&gt;挂机收益一览!M5,5,IF(INT((B2+4)^3/10+1)&gt;挂机收益一览!M4,4,IF(INT((B2+4)^3/10+1)&gt;挂机收益一览!M3,3,IF(INT((B2+4)^3/10+1)&gt;挂机收益一览!M2,2,1)))))))))))</f>
        <v>11</v>
      </c>
      <c r="C14" s="24"/>
      <c r="D14" s="24"/>
      <c r="E14" s="14"/>
      <c r="F14" s="14"/>
      <c r="G14" s="17" t="s">
        <v>16</v>
      </c>
      <c r="H14" s="19">
        <f>B11*3450</f>
        <v>45728.574119875222</v>
      </c>
      <c r="I14" s="17">
        <f>B13*3450</f>
        <v>38869.288001893932</v>
      </c>
      <c r="J14" s="17">
        <f>B12*3450</f>
        <v>52587.860237856505</v>
      </c>
      <c r="K14" s="20">
        <v>1</v>
      </c>
      <c r="L14" s="17">
        <v>34.5</v>
      </c>
      <c r="M14" s="17">
        <f t="shared" si="0"/>
        <v>3450.0558896711964</v>
      </c>
      <c r="N14" s="16"/>
    </row>
    <row r="15" spans="1:14" x14ac:dyDescent="0.2">
      <c r="A15" s="21"/>
      <c r="B15" s="21"/>
      <c r="C15" s="24"/>
      <c r="D15" s="23" t="s">
        <v>89</v>
      </c>
      <c r="E15" s="14"/>
      <c r="F15" s="14"/>
      <c r="G15" s="16"/>
      <c r="H15" s="25"/>
      <c r="I15" s="16"/>
      <c r="J15" s="16"/>
      <c r="K15" s="16"/>
      <c r="L15" s="16"/>
      <c r="M15" s="16"/>
      <c r="N15" s="16"/>
    </row>
    <row r="16" spans="1:14" x14ac:dyDescent="0.2">
      <c r="A16" s="21" t="s">
        <v>48</v>
      </c>
      <c r="B16" s="21" t="s">
        <v>51</v>
      </c>
      <c r="C16" s="24"/>
      <c r="D16" s="16" t="s">
        <v>90</v>
      </c>
      <c r="E16" s="14"/>
      <c r="F16" s="14"/>
      <c r="G16" s="26"/>
      <c r="H16" s="27"/>
      <c r="I16" s="26"/>
      <c r="J16" s="26"/>
      <c r="K16" s="26"/>
      <c r="L16" s="26"/>
      <c r="M16" s="26"/>
      <c r="N16" s="16"/>
    </row>
    <row r="17" spans="1:14" x14ac:dyDescent="0.2">
      <c r="A17" s="21" t="s">
        <v>49</v>
      </c>
      <c r="B17" s="21" t="s">
        <v>52</v>
      </c>
      <c r="C17" s="24"/>
      <c r="D17" s="24"/>
      <c r="E17" s="14"/>
      <c r="F17" s="14"/>
      <c r="G17" s="26"/>
      <c r="H17" s="28"/>
      <c r="I17" s="28"/>
      <c r="J17" s="28"/>
      <c r="K17" s="28"/>
      <c r="L17" s="28"/>
      <c r="M17" s="28"/>
      <c r="N17" s="16"/>
    </row>
    <row r="18" spans="1:14" x14ac:dyDescent="0.2">
      <c r="A18" s="21"/>
      <c r="B18" s="21"/>
      <c r="C18" s="24"/>
      <c r="D18" s="23" t="s">
        <v>95</v>
      </c>
      <c r="E18" s="14"/>
      <c r="F18" s="14"/>
      <c r="G18" s="26"/>
      <c r="H18" s="28"/>
      <c r="I18" s="28"/>
      <c r="J18" s="28"/>
      <c r="K18" s="28"/>
      <c r="L18" s="28"/>
      <c r="M18" s="28"/>
      <c r="N18" s="16"/>
    </row>
    <row r="19" spans="1:14" x14ac:dyDescent="0.2">
      <c r="A19" s="30"/>
      <c r="B19" s="30"/>
      <c r="C19" s="24"/>
      <c r="D19" s="24"/>
      <c r="E19" s="14"/>
      <c r="F19" s="14"/>
      <c r="G19" s="26"/>
      <c r="H19" s="29"/>
      <c r="I19" s="29"/>
      <c r="J19" s="29"/>
      <c r="K19" s="29"/>
      <c r="L19" s="29"/>
      <c r="M19" s="29"/>
      <c r="N19" s="16"/>
    </row>
    <row r="20" spans="1:14" x14ac:dyDescent="0.2">
      <c r="A20" s="21"/>
      <c r="B20" s="21"/>
      <c r="C20" s="21"/>
      <c r="D20" t="s">
        <v>98</v>
      </c>
      <c r="E20" s="14"/>
      <c r="F20" s="14"/>
      <c r="G20" s="26"/>
      <c r="H20" s="21"/>
      <c r="I20" s="21"/>
      <c r="J20" s="21"/>
      <c r="K20" s="21"/>
      <c r="L20" s="21"/>
      <c r="M20" s="21"/>
      <c r="N20" s="16"/>
    </row>
    <row r="21" spans="1:14" x14ac:dyDescent="0.2">
      <c r="A21" s="33"/>
      <c r="B21" s="33"/>
      <c r="C21" s="5"/>
      <c r="D21" s="5"/>
      <c r="E21" s="13"/>
      <c r="F21" s="13"/>
      <c r="G21" s="2"/>
      <c r="H21" s="5"/>
      <c r="I21" s="5"/>
      <c r="J21" s="5"/>
      <c r="K21" s="5"/>
      <c r="L21" s="5"/>
      <c r="M21" s="5"/>
    </row>
    <row r="22" spans="1:14" x14ac:dyDescent="0.2">
      <c r="D22" s="23" t="s">
        <v>96</v>
      </c>
      <c r="E22" s="13"/>
      <c r="F22" s="13"/>
      <c r="G22" s="2"/>
      <c r="H22" s="5"/>
      <c r="I22" s="5"/>
      <c r="J22" s="10"/>
      <c r="K22" s="10"/>
      <c r="L22" s="5"/>
      <c r="M22" s="2"/>
    </row>
    <row r="23" spans="1:14" x14ac:dyDescent="0.2">
      <c r="D23" s="13"/>
      <c r="E23" s="13"/>
      <c r="F23" s="13"/>
      <c r="G23" s="2"/>
      <c r="H23" s="5"/>
      <c r="I23" s="5"/>
      <c r="J23" s="10"/>
      <c r="K23" s="10"/>
      <c r="L23" s="5"/>
      <c r="M23" s="2"/>
    </row>
    <row r="24" spans="1:14" x14ac:dyDescent="0.2">
      <c r="D24" s="13"/>
      <c r="E24" s="13"/>
      <c r="F24" s="13"/>
      <c r="G24" s="2"/>
      <c r="H24" s="5"/>
      <c r="I24" s="5"/>
      <c r="J24" s="10"/>
      <c r="K24" s="10"/>
      <c r="L24" s="5"/>
      <c r="M24" s="2"/>
    </row>
    <row r="25" spans="1:14" x14ac:dyDescent="0.2">
      <c r="D25" s="13"/>
      <c r="E25" s="13"/>
      <c r="F25" s="13"/>
      <c r="H25" s="9"/>
      <c r="I25" s="9"/>
      <c r="J25" s="8"/>
      <c r="K25" s="8"/>
      <c r="L25" s="9"/>
    </row>
    <row r="26" spans="1:14" x14ac:dyDescent="0.2">
      <c r="D26" s="13"/>
      <c r="E26" s="13"/>
      <c r="F26" s="13"/>
      <c r="H26" s="9"/>
      <c r="I26" s="9"/>
      <c r="J26" s="8"/>
      <c r="K26" s="8"/>
      <c r="L26" s="9"/>
    </row>
    <row r="27" spans="1:14" x14ac:dyDescent="0.2">
      <c r="D27" s="13"/>
      <c r="E27" s="13"/>
      <c r="F27" s="13"/>
      <c r="H27" s="9"/>
      <c r="I27" s="9"/>
      <c r="J27" s="8"/>
      <c r="K27" s="8"/>
      <c r="L27" s="9"/>
    </row>
    <row r="28" spans="1:14" x14ac:dyDescent="0.2">
      <c r="D28" s="13"/>
      <c r="E28" s="13"/>
      <c r="F28" s="13"/>
      <c r="H28" s="9"/>
      <c r="I28" s="9"/>
      <c r="J28" s="8"/>
      <c r="K28" s="8"/>
      <c r="L28" s="9"/>
    </row>
    <row r="29" spans="1:14" x14ac:dyDescent="0.2">
      <c r="D29" s="13"/>
      <c r="E29" s="13"/>
      <c r="F29" s="13"/>
      <c r="H29" s="9"/>
      <c r="I29" s="9"/>
      <c r="J29" s="8"/>
      <c r="K29" s="8"/>
      <c r="L29" s="9"/>
    </row>
    <row r="30" spans="1:14" x14ac:dyDescent="0.2">
      <c r="D30" s="13"/>
      <c r="E30" s="13"/>
      <c r="F30" s="13"/>
      <c r="G30" s="4"/>
      <c r="H30" s="4"/>
    </row>
    <row r="31" spans="1:14" x14ac:dyDescent="0.2">
      <c r="D31" s="13"/>
      <c r="E31" s="13"/>
      <c r="F31" s="13"/>
    </row>
    <row r="32" spans="1:14" x14ac:dyDescent="0.2">
      <c r="D32" s="13"/>
      <c r="E32" s="13"/>
      <c r="F32" s="13"/>
    </row>
    <row r="33" spans="4:6" x14ac:dyDescent="0.2">
      <c r="D33" s="13"/>
      <c r="E33" s="13"/>
      <c r="F33" s="13"/>
    </row>
    <row r="34" spans="4:6" x14ac:dyDescent="0.2">
      <c r="D34" s="13"/>
      <c r="E34" s="13"/>
      <c r="F34" s="13"/>
    </row>
  </sheetData>
  <mergeCells count="3">
    <mergeCell ref="D1:E1"/>
    <mergeCell ref="D8:F9"/>
    <mergeCell ref="G1:M1"/>
  </mergeCells>
  <phoneticPr fontId="1" type="noConversion"/>
  <conditionalFormatting sqref="C12:C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{E62D8340-80B5-4A22-AD10-C55209D5B8E5}</x14:id>
        </ext>
      </extLst>
    </cfRule>
  </conditionalFormatting>
  <dataValidations disablePrompts="1" count="2">
    <dataValidation type="list" allowBlank="1" showInputMessage="1" showErrorMessage="1" sqref="B6:B9">
      <formula1>$B$16:$B$17</formula1>
    </dataValidation>
    <dataValidation type="list" allowBlank="1" showInputMessage="1" showErrorMessage="1" sqref="B10">
      <formula1>$A$16:$A$17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2D8340-80B5-4A22-AD10-C55209D5B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C12:C13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0"/>
  <sheetViews>
    <sheetView workbookViewId="0">
      <selection activeCell="B10" sqref="B10"/>
    </sheetView>
  </sheetViews>
  <sheetFormatPr defaultRowHeight="14.25" x14ac:dyDescent="0.2"/>
  <cols>
    <col min="1" max="1" width="14.125" customWidth="1"/>
    <col min="7" max="7" width="14.75" customWidth="1"/>
  </cols>
  <sheetData>
    <row r="1" spans="1:7" x14ac:dyDescent="0.2">
      <c r="A1" s="6" t="s">
        <v>18</v>
      </c>
      <c r="B1" s="11">
        <v>1000</v>
      </c>
      <c r="E1" s="39" t="s">
        <v>27</v>
      </c>
      <c r="F1" s="39"/>
      <c r="G1" s="39"/>
    </row>
    <row r="2" spans="1:7" x14ac:dyDescent="0.2">
      <c r="A2" s="6" t="s">
        <v>19</v>
      </c>
      <c r="B2" s="6">
        <v>1001</v>
      </c>
      <c r="E2" s="40" t="s">
        <v>28</v>
      </c>
      <c r="F2" s="41"/>
      <c r="G2" s="6">
        <v>7432703</v>
      </c>
    </row>
    <row r="3" spans="1:7" x14ac:dyDescent="0.2">
      <c r="A3" s="6" t="s">
        <v>20</v>
      </c>
      <c r="B3" s="11">
        <v>1000</v>
      </c>
      <c r="E3" s="40" t="s">
        <v>29</v>
      </c>
      <c r="F3" s="41"/>
      <c r="G3" s="7">
        <f>INT((($G$2-1)/0.015)^(1/3))</f>
        <v>791</v>
      </c>
    </row>
    <row r="4" spans="1:7" x14ac:dyDescent="0.2">
      <c r="A4" s="6" t="s">
        <v>21</v>
      </c>
      <c r="B4" s="12">
        <v>1000</v>
      </c>
    </row>
    <row r="5" spans="1:7" x14ac:dyDescent="0.2">
      <c r="A5" s="6" t="s">
        <v>22</v>
      </c>
      <c r="B5" s="11">
        <v>1000</v>
      </c>
    </row>
    <row r="6" spans="1:7" x14ac:dyDescent="0.2">
      <c r="A6" s="6" t="s">
        <v>23</v>
      </c>
      <c r="B6" s="6">
        <v>1000</v>
      </c>
    </row>
    <row r="7" spans="1:7" x14ac:dyDescent="0.2">
      <c r="A7" s="6" t="s">
        <v>24</v>
      </c>
      <c r="B7" s="6">
        <v>1000</v>
      </c>
    </row>
    <row r="8" spans="1:7" x14ac:dyDescent="0.2">
      <c r="A8" s="6" t="s">
        <v>25</v>
      </c>
      <c r="B8" s="6">
        <v>1000</v>
      </c>
    </row>
    <row r="9" spans="1:7" x14ac:dyDescent="0.2">
      <c r="A9" s="6" t="s">
        <v>26</v>
      </c>
      <c r="B9" s="6">
        <v>1576</v>
      </c>
    </row>
    <row r="10" spans="1:7" x14ac:dyDescent="0.2">
      <c r="A10" s="6" t="s">
        <v>63</v>
      </c>
      <c r="B10" s="7">
        <f>INT(($B$9*3+B2+B4+B6+B8+INT(B1/2)+INT(B3/2)+INT(B5/2)+INT(B7/2))/9)</f>
        <v>1192</v>
      </c>
    </row>
  </sheetData>
  <mergeCells count="3">
    <mergeCell ref="E1:G1"/>
    <mergeCell ref="E2:F2"/>
    <mergeCell ref="E3:F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4"/>
  <sheetViews>
    <sheetView workbookViewId="0">
      <selection activeCell="J8" sqref="J8"/>
    </sheetView>
  </sheetViews>
  <sheetFormatPr defaultRowHeight="14.25" x14ac:dyDescent="0.2"/>
  <cols>
    <col min="1" max="1" width="15.25" customWidth="1"/>
    <col min="2" max="2" width="9.5" bestFit="1" customWidth="1"/>
    <col min="9" max="9" width="11.625" bestFit="1" customWidth="1"/>
    <col min="10" max="10" width="11.625" customWidth="1"/>
    <col min="13" max="13" width="14.625" customWidth="1"/>
    <col min="14" max="14" width="11.875" customWidth="1"/>
    <col min="15" max="15" width="16.875" customWidth="1"/>
    <col min="18" max="18" width="14.125" bestFit="1" customWidth="1"/>
  </cols>
  <sheetData>
    <row r="1" spans="1:18" x14ac:dyDescent="0.2">
      <c r="B1" t="s">
        <v>32</v>
      </c>
      <c r="C1" t="s">
        <v>73</v>
      </c>
      <c r="D1" t="s">
        <v>71</v>
      </c>
      <c r="E1" t="s">
        <v>72</v>
      </c>
      <c r="F1" t="s">
        <v>74</v>
      </c>
      <c r="G1" t="s">
        <v>75</v>
      </c>
      <c r="H1" t="s">
        <v>76</v>
      </c>
      <c r="I1" t="s">
        <v>33</v>
      </c>
      <c r="J1" t="s">
        <v>97</v>
      </c>
      <c r="K1" t="s">
        <v>34</v>
      </c>
      <c r="L1" t="s">
        <v>35</v>
      </c>
      <c r="M1" t="s">
        <v>46</v>
      </c>
      <c r="N1" t="s">
        <v>81</v>
      </c>
      <c r="O1" t="s">
        <v>84</v>
      </c>
      <c r="P1" t="s">
        <v>91</v>
      </c>
      <c r="Q1" t="s">
        <v>92</v>
      </c>
      <c r="R1" t="s">
        <v>93</v>
      </c>
    </row>
    <row r="2" spans="1:18" x14ac:dyDescent="0.2">
      <c r="A2" t="s">
        <v>45</v>
      </c>
      <c r="B2">
        <f>IF(D2*E2*K2*收益计算器!C$5&gt;C2,C2,D2*E2*K2*收益计算器!C$5)</f>
        <v>63649.999999999993</v>
      </c>
      <c r="C2">
        <f>D2*L2*收益计算器!C$5</f>
        <v>73197.5</v>
      </c>
      <c r="D2">
        <f>(收益计算器!B$3*2+115)/(收益计算器!B$3+130)</f>
        <v>1.3958333333333333</v>
      </c>
      <c r="E2">
        <v>1</v>
      </c>
      <c r="F2">
        <v>0</v>
      </c>
      <c r="I2" s="1">
        <f>IF(Q2&lt;=C2,D2*E2*K2*收益计算器!C$5,IF(P2&gt;=C2,C2,(1-R2)*0.5*(P2+C2)+R2*C2))</f>
        <v>63649.999999999993</v>
      </c>
      <c r="J2" s="1">
        <f>D2*E2*K2*收益计算器!C$5</f>
        <v>63649.999999999993</v>
      </c>
      <c r="K2">
        <v>38000</v>
      </c>
      <c r="L2">
        <v>43700</v>
      </c>
      <c r="M2">
        <v>2000</v>
      </c>
      <c r="N2" t="s">
        <v>82</v>
      </c>
      <c r="O2" t="s">
        <v>85</v>
      </c>
      <c r="P2">
        <f>D2*E2*K2*收益计算器!C$5*0.85</f>
        <v>54102.499999999993</v>
      </c>
      <c r="Q2">
        <f>D2*E2*K2*收益计算器!C$5*1.15</f>
        <v>73197.499999999985</v>
      </c>
      <c r="R2">
        <f>(Q2-C2)/(Q2-P2)</f>
        <v>-7.6207987579821194E-16</v>
      </c>
    </row>
    <row r="3" spans="1:18" x14ac:dyDescent="0.2">
      <c r="A3" t="s">
        <v>44</v>
      </c>
      <c r="B3">
        <f>IF(D3*E3*K3*收益计算器!C$5&gt;C3,C3,D3*E3*K3*收益计算器!C$5)</f>
        <v>40200</v>
      </c>
      <c r="C3">
        <f>D3*L3*收益计算器!C$5</f>
        <v>46230</v>
      </c>
      <c r="D3">
        <f>(收益计算器!B$3*2+115)/(收益计算器!B$3+130)</f>
        <v>1.3958333333333333</v>
      </c>
      <c r="E3">
        <v>1</v>
      </c>
      <c r="F3">
        <v>0</v>
      </c>
      <c r="I3" s="1">
        <f>IF(Q3&lt;=C3,D3*E3*K3*收益计算器!C$5,IF(P3&gt;=C3,C3,(1-R3)*0.5*(P3+C3)+R3*C3))</f>
        <v>40200</v>
      </c>
      <c r="J3" s="1">
        <f>D3*E3*K3*收益计算器!C$5</f>
        <v>40200</v>
      </c>
      <c r="K3">
        <v>24000</v>
      </c>
      <c r="L3">
        <v>27600</v>
      </c>
      <c r="M3">
        <v>5000</v>
      </c>
      <c r="N3" t="s">
        <v>82</v>
      </c>
      <c r="O3" t="s">
        <v>85</v>
      </c>
      <c r="P3">
        <f>D3*E3*K3*收益计算器!C$5*0.85</f>
        <v>34170</v>
      </c>
      <c r="Q3">
        <f>D3*E3*K3*收益计算器!C$5*1.15</f>
        <v>46230</v>
      </c>
      <c r="R3">
        <f t="shared" ref="R3:R12" si="0">(Q3-C3)/(Q3-P3)</f>
        <v>0</v>
      </c>
    </row>
    <row r="4" spans="1:18" x14ac:dyDescent="0.2">
      <c r="A4" t="s">
        <v>43</v>
      </c>
      <c r="B4">
        <f>IF(D4*E4*K4*收益计算器!C$5&gt;C4,C4,D4*E4*K4*收益计算器!C$5)</f>
        <v>33499.999999999993</v>
      </c>
      <c r="C4">
        <f>D4*L4*收益计算器!C$5</f>
        <v>38524.999999999993</v>
      </c>
      <c r="D4">
        <f>(收益计算器!B$3*2+115)/(收益计算器!B$3+130)</f>
        <v>1.3958333333333333</v>
      </c>
      <c r="E4">
        <v>1</v>
      </c>
      <c r="F4">
        <v>0</v>
      </c>
      <c r="I4" s="1">
        <f>IF(Q4&lt;=C4,D4*E4*K4*收益计算器!C$5,IF(P4&gt;=C4,C4,(1-R4)*0.5*(P4+C4)+R4*C4))</f>
        <v>33499.999999999993</v>
      </c>
      <c r="J4" s="1">
        <f>D4*E4*K4*收益计算器!C$5</f>
        <v>33499.999999999993</v>
      </c>
      <c r="K4">
        <v>20000</v>
      </c>
      <c r="L4">
        <v>23000</v>
      </c>
      <c r="M4">
        <v>15000</v>
      </c>
      <c r="N4" t="s">
        <v>82</v>
      </c>
      <c r="O4" t="s">
        <v>85</v>
      </c>
      <c r="P4">
        <f>D4*E4*K4*收益计算器!C$5*0.85</f>
        <v>28474.999999999993</v>
      </c>
      <c r="Q4">
        <f>D4*E4*K4*收益计算器!C$5*1.15</f>
        <v>38524.999999999985</v>
      </c>
      <c r="R4">
        <f t="shared" si="0"/>
        <v>-7.2397588200830165E-16</v>
      </c>
    </row>
    <row r="5" spans="1:18" x14ac:dyDescent="0.2">
      <c r="A5" t="s">
        <v>42</v>
      </c>
      <c r="B5">
        <f>IF(D5*E5*K5*收益计算器!C$5&gt;C5,C5,D5*E5*K5*收益计算器!C$5)</f>
        <v>26799.999999999996</v>
      </c>
      <c r="C5">
        <f>D5*L5*收益计算器!C$5</f>
        <v>30819.999999999996</v>
      </c>
      <c r="D5">
        <f>(收益计算器!B$3*2+115)/(收益计算器!B$3+130)</f>
        <v>1.3958333333333333</v>
      </c>
      <c r="E5">
        <v>1</v>
      </c>
      <c r="F5">
        <v>0</v>
      </c>
      <c r="I5" s="1">
        <f>IF(Q5&lt;=C5,D5*E5*K5*收益计算器!C$5,IF(P5&gt;=C5,C5,(1-R5)*0.5*(P5+C5)+R5*C5))</f>
        <v>26799.999999999996</v>
      </c>
      <c r="J5" s="1">
        <f>D5*E5*K5*收益计算器!C$5</f>
        <v>26799.999999999996</v>
      </c>
      <c r="K5">
        <v>16000</v>
      </c>
      <c r="L5">
        <v>18400</v>
      </c>
      <c r="M5">
        <v>80000</v>
      </c>
      <c r="N5" t="s">
        <v>82</v>
      </c>
      <c r="O5" t="s">
        <v>85</v>
      </c>
      <c r="P5">
        <f>D5*E5*K5*收益计算器!C$5*0.85</f>
        <v>22779.999999999996</v>
      </c>
      <c r="Q5">
        <f>D5*E5*K5*收益计算器!C$5*1.15</f>
        <v>30819.999999999993</v>
      </c>
      <c r="R5">
        <f t="shared" si="0"/>
        <v>-4.5248492625518835E-16</v>
      </c>
    </row>
    <row r="6" spans="1:18" x14ac:dyDescent="0.2">
      <c r="A6" t="s">
        <v>41</v>
      </c>
      <c r="B6">
        <f>IF(D6*E6*K6*收益计算器!C$5&gt;C6,C6,D6*E6*K6*收益计算器!C$5)</f>
        <v>34672.5</v>
      </c>
      <c r="C6">
        <f>D6*L6*收益计算器!C$5</f>
        <v>34672.5</v>
      </c>
      <c r="D6">
        <f>(收益计算器!B$3*2+115)/(收益计算器!B$3+130)</f>
        <v>1.3958333333333333</v>
      </c>
      <c r="E6">
        <f>(挂机收益一览!F6*收益计算器!B$4+挂机收益一览!G6)/(收益计算器!B$4+收益计算器!B$2+挂机收益一览!H6)</f>
        <v>2.4486232370718604</v>
      </c>
      <c r="F6">
        <v>6</v>
      </c>
      <c r="G6">
        <v>140</v>
      </c>
      <c r="H6">
        <v>210</v>
      </c>
      <c r="I6" s="1">
        <f>IF(Q6&lt;=C6,D6*E6*K6*收益计算器!C$5,IF(P6&gt;=C6,C6,(1-R6)*0.5*(P6+C6)+R6*C6))</f>
        <v>34181.859379645277</v>
      </c>
      <c r="J6" s="1">
        <f>D6*E6*K6*收益计算器!C$5</f>
        <v>36912.995298858295</v>
      </c>
      <c r="K6">
        <v>9000</v>
      </c>
      <c r="L6">
        <v>20700</v>
      </c>
      <c r="M6">
        <v>300000</v>
      </c>
      <c r="N6">
        <f>(G6-F6*(H6+收益计算器!B$2))/(L6/K6-F6)-H6-收益计算器!B$2</f>
        <v>1072.3783783783783</v>
      </c>
      <c r="O6">
        <f>(G6-F6*(H6+收益计算器!B$2))/(L6/K6/0.85-F6)-H6-收益计算器!B$2</f>
        <v>1424.5714285714284</v>
      </c>
      <c r="P6">
        <f>D6*E6*K6*收益计算器!C$5*0.85</f>
        <v>31376.046004029551</v>
      </c>
      <c r="Q6">
        <f>D6*E6*K6*收益计算器!C$5*1.15</f>
        <v>42449.94459368704</v>
      </c>
      <c r="R6">
        <f t="shared" si="0"/>
        <v>0.70232217955750609</v>
      </c>
    </row>
    <row r="7" spans="1:18" x14ac:dyDescent="0.2">
      <c r="A7" t="s">
        <v>40</v>
      </c>
      <c r="B7">
        <f>IF(D7*E7*K7*收益计算器!C$5&gt;C7,C7,D7*E7*K7*收益计算器!C$5)</f>
        <v>37446.299999999996</v>
      </c>
      <c r="C7">
        <f>D7*L7*收益计算器!C$5</f>
        <v>37446.299999999996</v>
      </c>
      <c r="D7">
        <f>(收益计算器!B$3*2+115)/(收益计算器!B$3+130)</f>
        <v>1.3958333333333333</v>
      </c>
      <c r="E7">
        <f>(挂机收益一览!F7*收益计算器!B$4+挂机收益一览!G7)/(收益计算器!B$4+收益计算器!B$2+挂机收益一览!H7)</f>
        <v>3.6088384592415648</v>
      </c>
      <c r="F7">
        <v>10</v>
      </c>
      <c r="G7">
        <v>166</v>
      </c>
      <c r="H7">
        <v>581</v>
      </c>
      <c r="I7" s="1">
        <f>IF(Q7&lt;=C7,D7*E7*K7*收益计算器!C$5,IF(P7&gt;=C7,C7,(1-R7)*0.5*(P7+C7)+R7*C7))</f>
        <v>37446.299999999996</v>
      </c>
      <c r="J7" s="1">
        <f>D7*E7*K7*收益计算器!C$5</f>
        <v>58755.498954911905</v>
      </c>
      <c r="K7">
        <v>9720</v>
      </c>
      <c r="L7">
        <v>22356</v>
      </c>
      <c r="M7">
        <v>500000</v>
      </c>
      <c r="N7">
        <f>(G7-F7*(H7+收益计算器!B$2))/(L7/K7-F7)-H7-收益计算器!B$2</f>
        <v>622.74025974025972</v>
      </c>
      <c r="O7">
        <f>(G7-F7*(H7+收益计算器!B$2))/(L7/K7/0.85-F7)-H7-收益计算器!B$2</f>
        <v>777.4193548387093</v>
      </c>
      <c r="P7">
        <f>D7*E7*K7*收益计算器!C$5*0.85</f>
        <v>49942.174111675122</v>
      </c>
      <c r="Q7">
        <f>D7*E7*K7*收益计算器!C$5*1.15</f>
        <v>67568.823798148689</v>
      </c>
      <c r="R7">
        <f t="shared" si="0"/>
        <v>1.7089194108886316</v>
      </c>
    </row>
    <row r="8" spans="1:18" x14ac:dyDescent="0.2">
      <c r="A8" t="s">
        <v>39</v>
      </c>
      <c r="B8">
        <f>IF(D8*E8*K8*收益计算器!C$5&gt;C8,C8,D8*E8*K8*收益计算器!C$5)</f>
        <v>40442.874999999993</v>
      </c>
      <c r="C8">
        <f>D8*L8*收益计算器!C$5</f>
        <v>40442.874999999993</v>
      </c>
      <c r="D8">
        <f>(收益计算器!B$3*2+115)/(收益计算器!B$3+130)</f>
        <v>1.3958333333333333</v>
      </c>
      <c r="E8">
        <f>(挂机收益一览!F8*收益计算器!B$4+挂机收益一览!G8)/(收益计算器!B$4+收益计算器!B$2+挂机收益一览!H8)</f>
        <v>3.2164069391355485</v>
      </c>
      <c r="F8">
        <v>9</v>
      </c>
      <c r="G8">
        <v>211</v>
      </c>
      <c r="H8">
        <v>633</v>
      </c>
      <c r="I8" s="1">
        <f>IF(Q8&lt;=C8,D8*E8*K8*收益计算器!C$5,IF(P8&gt;=C8,C8,(1-R8)*0.5*(P8+C8)+R8*C8))</f>
        <v>40442.874999999993</v>
      </c>
      <c r="J8" s="1">
        <f>D8*E8*K8*收益计算器!C$5</f>
        <v>56557.782078800359</v>
      </c>
      <c r="K8">
        <v>10498</v>
      </c>
      <c r="L8">
        <v>24145</v>
      </c>
      <c r="M8">
        <v>1000000</v>
      </c>
      <c r="N8">
        <f>(G8-F8*(H8+收益计算器!B$2))/(L8/K8-F8)-H8-收益计算器!B$2</f>
        <v>726.80419978105419</v>
      </c>
      <c r="O8">
        <f>(G8-F8*(H8+收益计算器!B$2))/(L8/K8/0.85-F8)-H8-收益计算器!B$2</f>
        <v>916.11792994532198</v>
      </c>
      <c r="P8">
        <f>D8*E8*K8*收益计算器!C$5*0.85</f>
        <v>48074.114766980303</v>
      </c>
      <c r="Q8">
        <f>D8*E8*K8*收益计算器!C$5*1.15</f>
        <v>65041.449390620408</v>
      </c>
      <c r="R8">
        <f t="shared" si="0"/>
        <v>1.4497606687350835</v>
      </c>
    </row>
    <row r="9" spans="1:18" x14ac:dyDescent="0.2">
      <c r="A9" t="s">
        <v>38</v>
      </c>
      <c r="B9">
        <f>IF(D9*E9*K9*收益计算器!C$5&gt;C9,C9,D9*E9*K9*收益计算器!C$5)</f>
        <v>43067.258328304153</v>
      </c>
      <c r="C9">
        <f>D9*L9*收益计算器!C$5</f>
        <v>43675.624999999993</v>
      </c>
      <c r="D9">
        <f>(收益计算器!B$3*2+115)/(收益计算器!B$3+130)</f>
        <v>1.3958333333333333</v>
      </c>
      <c r="E9">
        <f>(挂机收益一览!F9*收益计算器!B$4+挂机收益一览!G9)/(收益计算器!B$4+收益计算器!B$2+挂机收益一览!H9)</f>
        <v>2.2679541339770668</v>
      </c>
      <c r="F9">
        <v>6</v>
      </c>
      <c r="G9">
        <v>364</v>
      </c>
      <c r="H9">
        <v>546</v>
      </c>
      <c r="I9" s="1">
        <f>IF(Q9&lt;=C9,D9*E9*K9*收益计算器!C$5,IF(P9&gt;=C9,C9,(1-R9)*0.5*(P9+C9)+R9*C9))</f>
        <v>41742.096530918541</v>
      </c>
      <c r="J9" s="1">
        <f>D9*E9*K9*收益计算器!C$5</f>
        <v>43067.258328304153</v>
      </c>
      <c r="K9">
        <v>11337</v>
      </c>
      <c r="L9">
        <v>26075</v>
      </c>
      <c r="M9">
        <v>5000000</v>
      </c>
      <c r="N9">
        <f>(G9-F9*(H9+收益计算器!B$2))/(L9/K9-F9)-H9-收益计算器!B$2</f>
        <v>1220.6947338307864</v>
      </c>
      <c r="O9">
        <f>(G9-F9*(H9+收益计算器!B$2))/(L9/K9/0.85-F9)-H9-收益计算器!B$2</f>
        <v>1632.5596008026791</v>
      </c>
      <c r="P9">
        <f>D9*E9*K9*收益计算器!C$5*0.85</f>
        <v>36607.169579058529</v>
      </c>
      <c r="Q9">
        <f>D9*E9*K9*收益计算器!C$5*1.15</f>
        <v>49527.34707754977</v>
      </c>
      <c r="R9">
        <f t="shared" si="0"/>
        <v>0.45291344319635812</v>
      </c>
    </row>
    <row r="10" spans="1:18" x14ac:dyDescent="0.2">
      <c r="A10" t="s">
        <v>36</v>
      </c>
      <c r="B10">
        <f>IF(D10*E10*K10*收益计算器!C$5&gt;C10,C10,D10*E10*K10*收益计算器!C$5)</f>
        <v>44262.593395165823</v>
      </c>
      <c r="C10">
        <f>D10*L10*收益计算器!C$5</f>
        <v>47169.674999999996</v>
      </c>
      <c r="D10">
        <f>(收益计算器!B$3*2+115)/(收益计算器!B$3+130)</f>
        <v>1.3958333333333333</v>
      </c>
      <c r="E10">
        <f>(挂机收益一览!F10*收益计算器!B$4+挂机收益一览!G10)/(收益计算器!B$4+收益计算器!B$2+挂机收益一览!H10)</f>
        <v>2.1582349634626197</v>
      </c>
      <c r="F10">
        <v>6</v>
      </c>
      <c r="G10">
        <v>527</v>
      </c>
      <c r="H10">
        <v>790</v>
      </c>
      <c r="I10" s="1">
        <f>IF(Q10&lt;=C10,D10*E10*K10*收益计算器!C$5,IF(P10&gt;=C10,C10,(1-R10)*0.5*(P10+C10)+R10*C10))</f>
        <v>43738.067774593525</v>
      </c>
      <c r="J10" s="1">
        <f>D10*E10*K10*收益计算器!C$5</f>
        <v>44262.593395165823</v>
      </c>
      <c r="K10">
        <v>12244</v>
      </c>
      <c r="L10">
        <v>28161</v>
      </c>
      <c r="M10">
        <v>15000000</v>
      </c>
      <c r="N10">
        <f>(G10-F10*(H10+收益计算器!B$2))/(L10/K10-F10)-H10-收益计算器!B$2</f>
        <v>1328.308014921749</v>
      </c>
      <c r="O10">
        <f>(G10-F10*(H10+收益计算器!B$2))/(L10/K10/0.85-F10)-H10-收益计算器!B$2</f>
        <v>1783.4936499880414</v>
      </c>
      <c r="P10">
        <f>D10*E10*K10*收益计算器!C$5*0.85</f>
        <v>37623.204385890946</v>
      </c>
      <c r="Q10">
        <f>D10*E10*K10*收益计算器!C$5*1.15</f>
        <v>50901.982404440692</v>
      </c>
      <c r="R10">
        <f t="shared" si="0"/>
        <v>0.28107310772323041</v>
      </c>
    </row>
    <row r="11" spans="1:18" x14ac:dyDescent="0.2">
      <c r="A11" t="s">
        <v>31</v>
      </c>
      <c r="B11">
        <f>IF(D11*E11*K11*收益计算器!C$5&gt;C11,C11,D11*E11*K11*收益计算器!C$5)</f>
        <v>46113.763039999998</v>
      </c>
      <c r="C11">
        <f>D11*L11*收益计算器!C$5</f>
        <v>50945.124999999993</v>
      </c>
      <c r="D11">
        <f>(收益计算器!B$3*2+115)/(收益计算器!B$3+130)</f>
        <v>1.3958333333333333</v>
      </c>
      <c r="E11">
        <f>(挂机收益一览!F11*收益计算器!B$4+挂机收益一览!G11)/(收益计算器!B$4+收益计算器!B$2+挂机收益一览!H11)</f>
        <v>2.0818666666666665</v>
      </c>
      <c r="F11">
        <v>6</v>
      </c>
      <c r="G11">
        <v>655</v>
      </c>
      <c r="H11">
        <v>982</v>
      </c>
      <c r="I11" s="1">
        <f>IF(Q11&lt;=C11,D11*E11*K11*收益计算器!C$5,IF(P11&gt;=C11,C11,(1-R11)*0.5*(P11+C11)+R11*C11))</f>
        <v>45956.537567782252</v>
      </c>
      <c r="J11" s="1">
        <f>D11*E11*K11*收益计算器!C$5</f>
        <v>46113.763039999998</v>
      </c>
      <c r="K11">
        <v>13224</v>
      </c>
      <c r="L11">
        <v>30415</v>
      </c>
      <c r="M11">
        <v>30000000</v>
      </c>
      <c r="N11">
        <f>(G11-F11*(H11+收益计算器!B$2))/(L11/K11-F11)-H11-收益计算器!B$2</f>
        <v>1413.0648490670155</v>
      </c>
      <c r="O11">
        <f>(G11-F11*(H11+收益计算器!B$2))/(L11/K11/0.85-F11)-H11-收益计算器!B$2</f>
        <v>1902.3509077061844</v>
      </c>
      <c r="P11">
        <f>D11*E11*K11*收益计算器!C$5*0.85</f>
        <v>39196.698583999998</v>
      </c>
      <c r="Q11">
        <f>D11*E11*K11*收益计算器!C$5*1.15</f>
        <v>53030.827495999991</v>
      </c>
      <c r="R11">
        <f t="shared" si="0"/>
        <v>0.15076500365634291</v>
      </c>
    </row>
    <row r="12" spans="1:18" x14ac:dyDescent="0.2">
      <c r="A12" t="s">
        <v>37</v>
      </c>
      <c r="B12">
        <f>IF(D12*E12*K12*收益计算器!C$5&gt;C12,C12,D12*E12*K12*收益计算器!C$5)</f>
        <v>47716.772994652405</v>
      </c>
      <c r="C12">
        <f>D12*L12*收益计算器!C$5</f>
        <v>55021.237499999996</v>
      </c>
      <c r="D12">
        <f>(收益计算器!B$3*2+115)/(收益计算器!B$3+130)</f>
        <v>1.3958333333333333</v>
      </c>
      <c r="E12">
        <f>(挂机收益一览!F12*收益计算器!B$4+挂机收益一览!G12)/(收益计算器!B$4+挂机收益一览!H12)</f>
        <v>1.9946524064171123</v>
      </c>
      <c r="F12">
        <v>4</v>
      </c>
      <c r="G12">
        <v>1200</v>
      </c>
      <c r="H12">
        <v>1800</v>
      </c>
      <c r="I12" s="1">
        <f>IF(Q12&lt;=C12,D12*E12*K12*收益计算器!C$5,IF(P12&gt;=C12,C12,(1-R12)*0.5*(P12+C12)+R12*C12))</f>
        <v>47716.772994652405</v>
      </c>
      <c r="J12" s="1">
        <f>D12*E12*K12*收益计算器!C$5</f>
        <v>47716.772994652405</v>
      </c>
      <c r="K12">
        <v>14282</v>
      </c>
      <c r="L12">
        <v>32848.5</v>
      </c>
      <c r="M12">
        <v>1000000000000</v>
      </c>
      <c r="N12">
        <f>(G12-F12*(H12))/(L12/K12-F12)-H12</f>
        <v>1729.3972281142528</v>
      </c>
      <c r="O12">
        <f>(G12-F12*(H12))/(L12/K12/0.85-F12)-H12</f>
        <v>2836.3341247461849</v>
      </c>
      <c r="P12">
        <f>D12*E12*K12*收益计算器!C$5*0.85</f>
        <v>40559.257045454542</v>
      </c>
      <c r="Q12">
        <f>D12*E12*K12*收益计算器!C$5*1.15</f>
        <v>54874.288943850261</v>
      </c>
      <c r="R12">
        <f t="shared" si="0"/>
        <v>-1.0265332078387016E-2</v>
      </c>
    </row>
    <row r="13" spans="1:18" x14ac:dyDescent="0.2">
      <c r="I13" s="1"/>
      <c r="J13" s="1"/>
    </row>
    <row r="14" spans="1:18" x14ac:dyDescent="0.2">
      <c r="I14" s="1"/>
      <c r="J14" s="1"/>
    </row>
    <row r="15" spans="1:18" x14ac:dyDescent="0.2">
      <c r="I15" s="1"/>
      <c r="J15" s="1"/>
    </row>
    <row r="16" spans="1:18" x14ac:dyDescent="0.2">
      <c r="I16" s="1"/>
      <c r="J16" s="1"/>
    </row>
    <row r="17" spans="9:10" x14ac:dyDescent="0.2">
      <c r="I17" s="1"/>
      <c r="J17" s="1"/>
    </row>
    <row r="18" spans="9:10" x14ac:dyDescent="0.2">
      <c r="I18" s="1"/>
      <c r="J18" s="1"/>
    </row>
    <row r="19" spans="9:10" x14ac:dyDescent="0.2">
      <c r="I19" s="1"/>
      <c r="J19" s="1"/>
    </row>
    <row r="20" spans="9:10" x14ac:dyDescent="0.2">
      <c r="I20" s="1"/>
      <c r="J20" s="1"/>
    </row>
    <row r="21" spans="9:10" x14ac:dyDescent="0.2">
      <c r="I21" s="1"/>
      <c r="J21" s="1"/>
    </row>
    <row r="22" spans="9:10" x14ac:dyDescent="0.2">
      <c r="I22" s="1"/>
      <c r="J22" s="1"/>
    </row>
    <row r="23" spans="9:10" x14ac:dyDescent="0.2">
      <c r="I23" s="1"/>
      <c r="J23" s="1"/>
    </row>
    <row r="24" spans="9:10" x14ac:dyDescent="0.2">
      <c r="I24" s="1"/>
      <c r="J2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收益计算器</vt:lpstr>
      <vt:lpstr>人物评价等级计算</vt:lpstr>
      <vt:lpstr>挂机收益一览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wq</cp:lastModifiedBy>
  <dcterms:created xsi:type="dcterms:W3CDTF">2018-06-25T09:02:34Z</dcterms:created>
  <dcterms:modified xsi:type="dcterms:W3CDTF">2019-05-08T07:12:38Z</dcterms:modified>
</cp:coreProperties>
</file>