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guymercer/projects/meta-analysis/data_extraction/data_extraction_1x10/"/>
    </mc:Choice>
  </mc:AlternateContent>
  <xr:revisionPtr revIDLastSave="0" documentId="13_ncr:1_{3DF28ED8-216A-C843-8B9C-A37D525A7362}" xr6:coauthVersionLast="47" xr6:coauthVersionMax="47" xr10:uidLastSave="{00000000-0000-0000-0000-000000000000}"/>
  <bookViews>
    <workbookView xWindow="440" yWindow="700" windowWidth="27560" windowHeight="16960" xr2:uid="{00000000-000D-0000-FFFF-FFFF00000000}"/>
  </bookViews>
  <sheets>
    <sheet name="data_extraction" sheetId="1" r:id="rId1"/>
  </sheets>
  <externalReferences>
    <externalReference r:id="rId2"/>
    <externalReference r:id="rId3"/>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 r="O4" i="1"/>
  <c r="P5" i="1"/>
  <c r="O5" i="1"/>
  <c r="P3" i="1"/>
  <c r="O3" i="1"/>
  <c r="P124" i="1"/>
  <c r="O124" i="1"/>
  <c r="M124" i="1"/>
  <c r="P463" i="1"/>
  <c r="O463" i="1"/>
  <c r="G463" i="1"/>
  <c r="F463" i="1"/>
  <c r="P462" i="1"/>
  <c r="O462" i="1"/>
  <c r="G462" i="1"/>
  <c r="F462" i="1"/>
  <c r="P459" i="1"/>
  <c r="O459" i="1"/>
  <c r="G459" i="1"/>
  <c r="F459" i="1"/>
  <c r="P458" i="1"/>
  <c r="O458" i="1"/>
  <c r="M458" i="1"/>
  <c r="P457" i="1"/>
  <c r="O457" i="1"/>
  <c r="M457" i="1"/>
  <c r="M453" i="1"/>
  <c r="P453" i="1" s="1"/>
  <c r="M451" i="1"/>
  <c r="P451" i="1" s="1"/>
  <c r="P456" i="1"/>
  <c r="O456" i="1"/>
  <c r="P455" i="1"/>
  <c r="O455" i="1"/>
  <c r="P454" i="1"/>
  <c r="O454" i="1"/>
  <c r="P452" i="1"/>
  <c r="O452" i="1"/>
  <c r="G456" i="1"/>
  <c r="F456" i="1"/>
  <c r="G455" i="1"/>
  <c r="F455" i="1"/>
  <c r="G454" i="1"/>
  <c r="F454" i="1"/>
  <c r="G452" i="1"/>
  <c r="F452" i="1"/>
  <c r="G451" i="1"/>
  <c r="F451" i="1"/>
  <c r="P450" i="1"/>
  <c r="O450" i="1"/>
  <c r="P449" i="1"/>
  <c r="O449" i="1"/>
  <c r="P448" i="1"/>
  <c r="O448" i="1"/>
  <c r="P447" i="1"/>
  <c r="O447" i="1"/>
  <c r="P446" i="1"/>
  <c r="O446" i="1"/>
  <c r="P445" i="1"/>
  <c r="O445" i="1"/>
  <c r="P444" i="1"/>
  <c r="O444" i="1"/>
  <c r="P443" i="1"/>
  <c r="O443" i="1"/>
  <c r="G450" i="1"/>
  <c r="F450" i="1"/>
  <c r="G449" i="1"/>
  <c r="F449" i="1"/>
  <c r="G448" i="1"/>
  <c r="F448" i="1"/>
  <c r="G447" i="1"/>
  <c r="F447" i="1"/>
  <c r="G446" i="1"/>
  <c r="F446" i="1"/>
  <c r="G445" i="1"/>
  <c r="F445" i="1"/>
  <c r="G444" i="1"/>
  <c r="F444" i="1"/>
  <c r="G443" i="1"/>
  <c r="F443" i="1"/>
  <c r="P442" i="1"/>
  <c r="O442" i="1"/>
  <c r="P441" i="1"/>
  <c r="O441" i="1"/>
  <c r="P440" i="1"/>
  <c r="O440" i="1"/>
  <c r="P439" i="1"/>
  <c r="O439" i="1"/>
  <c r="P438" i="1"/>
  <c r="O438" i="1"/>
  <c r="P437" i="1"/>
  <c r="O437" i="1"/>
  <c r="P436" i="1"/>
  <c r="O436" i="1"/>
  <c r="P435" i="1"/>
  <c r="O435" i="1"/>
  <c r="P434" i="1"/>
  <c r="O434" i="1"/>
  <c r="G442" i="1"/>
  <c r="F442" i="1"/>
  <c r="G441" i="1"/>
  <c r="F441" i="1"/>
  <c r="G440" i="1"/>
  <c r="F440" i="1"/>
  <c r="G439" i="1"/>
  <c r="F439" i="1"/>
  <c r="G438" i="1"/>
  <c r="F438" i="1"/>
  <c r="G437" i="1"/>
  <c r="F437" i="1"/>
  <c r="G436" i="1"/>
  <c r="F436" i="1"/>
  <c r="G435" i="1"/>
  <c r="F435" i="1"/>
  <c r="G434" i="1"/>
  <c r="F434" i="1"/>
  <c r="AF433" i="1"/>
  <c r="AF432" i="1"/>
  <c r="P431" i="1"/>
  <c r="O431" i="1"/>
  <c r="P430" i="1"/>
  <c r="O430" i="1"/>
  <c r="G431" i="1"/>
  <c r="F431" i="1"/>
  <c r="G430" i="1"/>
  <c r="F430" i="1"/>
  <c r="P429" i="1"/>
  <c r="O429" i="1"/>
  <c r="G429" i="1"/>
  <c r="F429" i="1"/>
  <c r="P428" i="1"/>
  <c r="O428" i="1"/>
  <c r="P427" i="1"/>
  <c r="O427" i="1"/>
  <c r="G428" i="1"/>
  <c r="F428" i="1"/>
  <c r="G427" i="1"/>
  <c r="F427" i="1"/>
  <c r="P426" i="1"/>
  <c r="O426" i="1"/>
  <c r="G426" i="1"/>
  <c r="F426" i="1"/>
  <c r="P425" i="1"/>
  <c r="O425" i="1"/>
  <c r="G425" i="1"/>
  <c r="F425" i="1"/>
  <c r="P420" i="1"/>
  <c r="O420" i="1"/>
  <c r="G420" i="1"/>
  <c r="F420" i="1"/>
  <c r="P419" i="1"/>
  <c r="O419" i="1"/>
  <c r="P418" i="1"/>
  <c r="O418" i="1"/>
  <c r="P417" i="1"/>
  <c r="O417" i="1"/>
  <c r="P416" i="1"/>
  <c r="O416" i="1"/>
  <c r="AF415" i="1"/>
  <c r="P415" i="1"/>
  <c r="O415" i="1"/>
  <c r="G415" i="1"/>
  <c r="F415" i="1"/>
  <c r="P414" i="1"/>
  <c r="O414" i="1"/>
  <c r="G414" i="1"/>
  <c r="F414" i="1"/>
  <c r="P413" i="1"/>
  <c r="O413" i="1"/>
  <c r="G413" i="1"/>
  <c r="F413" i="1"/>
  <c r="P412" i="1"/>
  <c r="O412" i="1"/>
  <c r="G412" i="1"/>
  <c r="F412" i="1"/>
  <c r="P409" i="1"/>
  <c r="O409" i="1"/>
  <c r="G409" i="1"/>
  <c r="F409" i="1"/>
  <c r="P408" i="1"/>
  <c r="O408" i="1"/>
  <c r="G408" i="1"/>
  <c r="F408" i="1"/>
  <c r="AF407" i="1"/>
  <c r="AF406" i="1"/>
  <c r="AF405" i="1"/>
  <c r="P407" i="1"/>
  <c r="O407" i="1"/>
  <c r="P406" i="1"/>
  <c r="O406" i="1"/>
  <c r="P405" i="1"/>
  <c r="O405" i="1"/>
  <c r="G407" i="1"/>
  <c r="F407" i="1"/>
  <c r="G406" i="1"/>
  <c r="F406" i="1"/>
  <c r="G405" i="1"/>
  <c r="F405" i="1"/>
  <c r="P404" i="1"/>
  <c r="O404" i="1"/>
  <c r="G404" i="1"/>
  <c r="F404" i="1"/>
  <c r="AO403" i="1"/>
  <c r="AF403" i="1"/>
  <c r="AO402" i="1"/>
  <c r="AF402" i="1"/>
  <c r="AO401" i="1"/>
  <c r="AF401" i="1"/>
  <c r="AO400" i="1"/>
  <c r="AF400" i="1"/>
  <c r="AO399" i="1"/>
  <c r="AF399" i="1"/>
  <c r="AO398" i="1"/>
  <c r="AF398" i="1"/>
  <c r="AO397" i="1"/>
  <c r="AF397" i="1"/>
  <c r="AO396" i="1"/>
  <c r="AF396" i="1"/>
  <c r="AO395" i="1"/>
  <c r="AF395" i="1"/>
  <c r="AO394" i="1"/>
  <c r="AF394" i="1"/>
  <c r="AO393" i="1"/>
  <c r="AF393" i="1"/>
  <c r="AO392" i="1"/>
  <c r="AF392" i="1"/>
  <c r="AO391" i="1"/>
  <c r="AF391" i="1"/>
  <c r="P403" i="1"/>
  <c r="O403" i="1"/>
  <c r="G403" i="1"/>
  <c r="F403" i="1"/>
  <c r="P402" i="1"/>
  <c r="O402" i="1"/>
  <c r="G402" i="1"/>
  <c r="F402" i="1"/>
  <c r="P401" i="1"/>
  <c r="O401" i="1"/>
  <c r="G401" i="1"/>
  <c r="F401" i="1"/>
  <c r="P400" i="1"/>
  <c r="O400" i="1"/>
  <c r="G400" i="1"/>
  <c r="F400" i="1"/>
  <c r="P399" i="1"/>
  <c r="O399" i="1"/>
  <c r="G399" i="1"/>
  <c r="F399" i="1"/>
  <c r="P398" i="1"/>
  <c r="O398" i="1"/>
  <c r="G398" i="1"/>
  <c r="F398" i="1"/>
  <c r="P397" i="1"/>
  <c r="O397" i="1"/>
  <c r="G397" i="1"/>
  <c r="F397" i="1"/>
  <c r="P396" i="1"/>
  <c r="O396" i="1"/>
  <c r="G396" i="1"/>
  <c r="F396" i="1"/>
  <c r="P395" i="1"/>
  <c r="O395" i="1"/>
  <c r="G395" i="1"/>
  <c r="F395" i="1"/>
  <c r="P394" i="1"/>
  <c r="O394" i="1"/>
  <c r="G394" i="1"/>
  <c r="F394" i="1"/>
  <c r="P393" i="1"/>
  <c r="O393" i="1"/>
  <c r="G393" i="1"/>
  <c r="F393" i="1"/>
  <c r="P392" i="1"/>
  <c r="O392" i="1"/>
  <c r="G392" i="1"/>
  <c r="F392" i="1"/>
  <c r="P391" i="1"/>
  <c r="O391" i="1"/>
  <c r="G391" i="1"/>
  <c r="F391" i="1"/>
  <c r="AO390" i="1"/>
  <c r="AO389" i="1"/>
  <c r="AO388" i="1"/>
  <c r="P390" i="1"/>
  <c r="O390" i="1"/>
  <c r="P389" i="1"/>
  <c r="O389" i="1"/>
  <c r="G390" i="1"/>
  <c r="F390" i="1"/>
  <c r="G389" i="1"/>
  <c r="F389" i="1"/>
  <c r="P388" i="1"/>
  <c r="O388" i="1"/>
  <c r="G388" i="1"/>
  <c r="F388" i="1"/>
  <c r="P387" i="1"/>
  <c r="O387" i="1"/>
  <c r="AO387" i="1"/>
  <c r="AO386" i="1"/>
  <c r="P386" i="1"/>
  <c r="O386" i="1"/>
  <c r="G387" i="1"/>
  <c r="F387" i="1"/>
  <c r="G386" i="1"/>
  <c r="F386" i="1"/>
  <c r="AO385" i="1"/>
  <c r="P385" i="1"/>
  <c r="O385" i="1"/>
  <c r="G385" i="1"/>
  <c r="F385" i="1"/>
  <c r="P384" i="1"/>
  <c r="O384" i="1"/>
  <c r="P383" i="1"/>
  <c r="O383" i="1"/>
  <c r="P382" i="1"/>
  <c r="O382" i="1"/>
  <c r="G384" i="1"/>
  <c r="F384" i="1"/>
  <c r="G383" i="1"/>
  <c r="F383" i="1"/>
  <c r="G382" i="1"/>
  <c r="F382" i="1"/>
  <c r="AO384" i="1"/>
  <c r="AO383" i="1"/>
  <c r="AO382" i="1"/>
  <c r="AO381" i="1"/>
  <c r="P381" i="1"/>
  <c r="O381" i="1"/>
  <c r="G381" i="1"/>
  <c r="F381" i="1"/>
  <c r="P380" i="1"/>
  <c r="O380" i="1"/>
  <c r="P379" i="1"/>
  <c r="O379" i="1"/>
  <c r="P378" i="1"/>
  <c r="O378" i="1"/>
  <c r="G380" i="1"/>
  <c r="F380" i="1"/>
  <c r="G379" i="1"/>
  <c r="F379" i="1"/>
  <c r="G378" i="1"/>
  <c r="F378" i="1"/>
  <c r="AO380" i="1"/>
  <c r="AO379" i="1"/>
  <c r="AO378" i="1"/>
  <c r="AO377" i="1"/>
  <c r="P377" i="1"/>
  <c r="O377" i="1"/>
  <c r="G377" i="1"/>
  <c r="F377" i="1"/>
  <c r="AO376" i="1"/>
  <c r="AF376" i="1"/>
  <c r="P376" i="1"/>
  <c r="O376" i="1"/>
  <c r="G376" i="1"/>
  <c r="F376" i="1"/>
  <c r="AO375" i="1"/>
  <c r="AF375" i="1"/>
  <c r="P375" i="1"/>
  <c r="O375" i="1"/>
  <c r="G375" i="1"/>
  <c r="F375" i="1"/>
  <c r="AO374" i="1"/>
  <c r="AF374" i="1"/>
  <c r="P374" i="1"/>
  <c r="O374" i="1"/>
  <c r="G374" i="1"/>
  <c r="F374" i="1"/>
  <c r="AO373" i="1"/>
  <c r="AF373" i="1"/>
  <c r="P373" i="1"/>
  <c r="O373" i="1"/>
  <c r="G373" i="1"/>
  <c r="F373" i="1"/>
  <c r="AO372" i="1"/>
  <c r="AF372" i="1"/>
  <c r="P372" i="1"/>
  <c r="O372" i="1"/>
  <c r="G372" i="1"/>
  <c r="F372" i="1"/>
  <c r="AO371" i="1"/>
  <c r="AF371" i="1"/>
  <c r="P371" i="1"/>
  <c r="O371" i="1"/>
  <c r="AO370" i="1"/>
  <c r="AF370" i="1"/>
  <c r="P370" i="1"/>
  <c r="O370" i="1"/>
  <c r="G370" i="1"/>
  <c r="F370" i="1"/>
  <c r="AO369" i="1"/>
  <c r="AF369" i="1"/>
  <c r="P368" i="1"/>
  <c r="O368" i="1"/>
  <c r="P367" i="1"/>
  <c r="O367" i="1"/>
  <c r="P366" i="1"/>
  <c r="O366" i="1"/>
  <c r="G368" i="1"/>
  <c r="F368" i="1"/>
  <c r="G367" i="1"/>
  <c r="F367" i="1"/>
  <c r="G366" i="1"/>
  <c r="F366" i="1"/>
  <c r="P365" i="1"/>
  <c r="O365" i="1"/>
  <c r="P364" i="1"/>
  <c r="O364" i="1"/>
  <c r="G364" i="1"/>
  <c r="F364" i="1"/>
  <c r="P363" i="1"/>
  <c r="O363" i="1"/>
  <c r="G363" i="1"/>
  <c r="F363" i="1"/>
  <c r="P362" i="1"/>
  <c r="O362" i="1"/>
  <c r="G362" i="1"/>
  <c r="F362" i="1"/>
  <c r="P361" i="1"/>
  <c r="O361" i="1"/>
  <c r="G361" i="1"/>
  <c r="F361" i="1"/>
  <c r="P360" i="1"/>
  <c r="O360" i="1"/>
  <c r="G360" i="1"/>
  <c r="F360" i="1"/>
  <c r="P359" i="1"/>
  <c r="O359" i="1"/>
  <c r="G359" i="1"/>
  <c r="F359" i="1"/>
  <c r="P350" i="1"/>
  <c r="O350" i="1"/>
  <c r="G350" i="1"/>
  <c r="F350" i="1"/>
  <c r="P349" i="1"/>
  <c r="O349" i="1"/>
  <c r="G349" i="1"/>
  <c r="F349" i="1"/>
  <c r="AF348" i="1"/>
  <c r="P348" i="1"/>
  <c r="O348" i="1"/>
  <c r="G348" i="1"/>
  <c r="F348" i="1"/>
  <c r="P345" i="1"/>
  <c r="O345" i="1"/>
  <c r="P344" i="1"/>
  <c r="O344" i="1"/>
  <c r="P343" i="1"/>
  <c r="O343" i="1"/>
  <c r="P342" i="1"/>
  <c r="O342" i="1"/>
  <c r="P341" i="1"/>
  <c r="O341" i="1"/>
  <c r="P340" i="1"/>
  <c r="O340" i="1"/>
  <c r="G340" i="1"/>
  <c r="F340" i="1"/>
  <c r="P339" i="1"/>
  <c r="O339" i="1"/>
  <c r="G339" i="1"/>
  <c r="F339" i="1"/>
  <c r="P338" i="1"/>
  <c r="O338" i="1"/>
  <c r="G338" i="1"/>
  <c r="F338" i="1"/>
  <c r="P337" i="1"/>
  <c r="O337" i="1"/>
  <c r="G337" i="1"/>
  <c r="F337" i="1"/>
  <c r="P336" i="1"/>
  <c r="O336" i="1"/>
  <c r="P335" i="1"/>
  <c r="O335" i="1"/>
  <c r="P334" i="1"/>
  <c r="O334" i="1"/>
  <c r="G334" i="1"/>
  <c r="F334" i="1"/>
  <c r="P333" i="1"/>
  <c r="O333" i="1"/>
  <c r="P332" i="1"/>
  <c r="O332" i="1"/>
  <c r="AO330" i="1"/>
  <c r="P330" i="1"/>
  <c r="O330" i="1"/>
  <c r="G330" i="1"/>
  <c r="F330" i="1"/>
  <c r="AO329" i="1"/>
  <c r="P329" i="1"/>
  <c r="O329" i="1"/>
  <c r="G329" i="1"/>
  <c r="F329" i="1"/>
  <c r="P328" i="1"/>
  <c r="O328" i="1"/>
  <c r="G328" i="1"/>
  <c r="F328" i="1"/>
  <c r="P327" i="1"/>
  <c r="O327" i="1"/>
  <c r="G327" i="1"/>
  <c r="F327" i="1"/>
  <c r="P326" i="1"/>
  <c r="O326" i="1"/>
  <c r="G326" i="1"/>
  <c r="F326" i="1"/>
  <c r="P325" i="1"/>
  <c r="O325" i="1"/>
  <c r="G325" i="1"/>
  <c r="F325" i="1"/>
  <c r="P324" i="1"/>
  <c r="O324" i="1"/>
  <c r="G324" i="1"/>
  <c r="F324" i="1"/>
  <c r="P323" i="1"/>
  <c r="O323" i="1"/>
  <c r="G323" i="1"/>
  <c r="F323" i="1"/>
  <c r="P322" i="1"/>
  <c r="O322" i="1"/>
  <c r="G322" i="1"/>
  <c r="F322" i="1"/>
  <c r="P321" i="1"/>
  <c r="O321" i="1"/>
  <c r="G321" i="1"/>
  <c r="F321" i="1"/>
  <c r="P320" i="1"/>
  <c r="O320" i="1"/>
  <c r="G320" i="1"/>
  <c r="F320" i="1"/>
  <c r="P319" i="1"/>
  <c r="O319" i="1"/>
  <c r="G319" i="1"/>
  <c r="F319" i="1"/>
  <c r="AO318" i="1"/>
  <c r="P318" i="1"/>
  <c r="O318" i="1"/>
  <c r="G318" i="1"/>
  <c r="F318" i="1"/>
  <c r="AO317" i="1"/>
  <c r="P317" i="1"/>
  <c r="O317" i="1"/>
  <c r="G317" i="1"/>
  <c r="F317" i="1"/>
  <c r="P316" i="1"/>
  <c r="P315" i="1"/>
  <c r="P314" i="1"/>
  <c r="P313" i="1"/>
  <c r="P312" i="1"/>
  <c r="P311" i="1"/>
  <c r="P310" i="1"/>
  <c r="O316" i="1"/>
  <c r="O315" i="1"/>
  <c r="O314" i="1"/>
  <c r="O313" i="1"/>
  <c r="O312" i="1"/>
  <c r="O311" i="1"/>
  <c r="O310" i="1"/>
  <c r="G316" i="1"/>
  <c r="G315" i="1"/>
  <c r="G314" i="1"/>
  <c r="G313" i="1"/>
  <c r="G312" i="1"/>
  <c r="G311" i="1"/>
  <c r="G310" i="1"/>
  <c r="F316" i="1"/>
  <c r="F315" i="1"/>
  <c r="F314" i="1"/>
  <c r="F313" i="1"/>
  <c r="F312" i="1"/>
  <c r="F311" i="1"/>
  <c r="F310" i="1"/>
  <c r="P309" i="1"/>
  <c r="P308" i="1"/>
  <c r="P307" i="1"/>
  <c r="P306" i="1"/>
  <c r="P305" i="1"/>
  <c r="P304" i="1"/>
  <c r="O309" i="1"/>
  <c r="O308" i="1"/>
  <c r="O307" i="1"/>
  <c r="O306" i="1"/>
  <c r="O305" i="1"/>
  <c r="O304" i="1"/>
  <c r="G309" i="1"/>
  <c r="G308" i="1"/>
  <c r="G307" i="1"/>
  <c r="G306" i="1"/>
  <c r="G305" i="1"/>
  <c r="G304" i="1"/>
  <c r="F309" i="1"/>
  <c r="F308" i="1"/>
  <c r="F307" i="1"/>
  <c r="F306" i="1"/>
  <c r="F305" i="1"/>
  <c r="F304" i="1"/>
  <c r="P303" i="1"/>
  <c r="P302" i="1"/>
  <c r="P301" i="1"/>
  <c r="P300" i="1"/>
  <c r="P299" i="1"/>
  <c r="P298" i="1"/>
  <c r="P297" i="1"/>
  <c r="O303" i="1"/>
  <c r="O302" i="1"/>
  <c r="O301" i="1"/>
  <c r="O300" i="1"/>
  <c r="O299" i="1"/>
  <c r="O298" i="1"/>
  <c r="O297" i="1"/>
  <c r="G303" i="1"/>
  <c r="G302" i="1"/>
  <c r="G301" i="1"/>
  <c r="G300" i="1"/>
  <c r="G299" i="1"/>
  <c r="G298" i="1"/>
  <c r="G297" i="1"/>
  <c r="F303" i="1"/>
  <c r="F302" i="1"/>
  <c r="F301" i="1"/>
  <c r="F300" i="1"/>
  <c r="F299" i="1"/>
  <c r="F298" i="1"/>
  <c r="F297" i="1"/>
  <c r="P296" i="1"/>
  <c r="O296" i="1"/>
  <c r="G296" i="1"/>
  <c r="F296" i="1"/>
  <c r="P295" i="1"/>
  <c r="O295" i="1"/>
  <c r="G295" i="1"/>
  <c r="F295" i="1"/>
  <c r="P294" i="1"/>
  <c r="O294" i="1"/>
  <c r="G294" i="1"/>
  <c r="F294" i="1"/>
  <c r="P293" i="1"/>
  <c r="O293" i="1"/>
  <c r="G293" i="1"/>
  <c r="F293" i="1"/>
  <c r="P292" i="1"/>
  <c r="O292" i="1"/>
  <c r="G292" i="1"/>
  <c r="F292" i="1"/>
  <c r="P291" i="1"/>
  <c r="O291" i="1"/>
  <c r="G291" i="1"/>
  <c r="F291" i="1"/>
  <c r="P290" i="1"/>
  <c r="O290" i="1"/>
  <c r="G290" i="1"/>
  <c r="F290" i="1"/>
  <c r="P289" i="1"/>
  <c r="O289" i="1"/>
  <c r="G289" i="1"/>
  <c r="F289" i="1"/>
  <c r="P288" i="1"/>
  <c r="O288" i="1"/>
  <c r="P287" i="1"/>
  <c r="O287" i="1"/>
  <c r="P286" i="1"/>
  <c r="O286" i="1"/>
  <c r="P285" i="1"/>
  <c r="O285" i="1"/>
  <c r="P284" i="1"/>
  <c r="O284" i="1"/>
  <c r="P283" i="1"/>
  <c r="O283" i="1"/>
  <c r="G283" i="1"/>
  <c r="F283" i="1"/>
  <c r="P282" i="1"/>
  <c r="O282" i="1"/>
  <c r="G282" i="1"/>
  <c r="F282" i="1"/>
  <c r="O281" i="1"/>
  <c r="G281" i="1"/>
  <c r="F281" i="1"/>
  <c r="O280" i="1"/>
  <c r="G280" i="1"/>
  <c r="F280" i="1"/>
  <c r="AO279" i="1"/>
  <c r="AF279" i="1"/>
  <c r="P279" i="1"/>
  <c r="O279" i="1"/>
  <c r="P278" i="1"/>
  <c r="O278" i="1"/>
  <c r="G278" i="1"/>
  <c r="F278" i="1"/>
  <c r="AO277" i="1"/>
  <c r="AF277" i="1"/>
  <c r="P269" i="1"/>
  <c r="O269" i="1"/>
  <c r="G269" i="1"/>
  <c r="F269" i="1"/>
  <c r="P268" i="1"/>
  <c r="O268" i="1"/>
  <c r="G268" i="1"/>
  <c r="F268" i="1"/>
  <c r="P267" i="1"/>
  <c r="O267" i="1"/>
  <c r="G267" i="1"/>
  <c r="F267" i="1"/>
  <c r="P266" i="1"/>
  <c r="O266" i="1"/>
  <c r="G266" i="1"/>
  <c r="F266" i="1"/>
  <c r="R265" i="1"/>
  <c r="P265" i="1"/>
  <c r="O265" i="1"/>
  <c r="I265" i="1"/>
  <c r="G265" i="1"/>
  <c r="F265" i="1"/>
  <c r="R264" i="1"/>
  <c r="P264" i="1"/>
  <c r="O264" i="1"/>
  <c r="I264" i="1"/>
  <c r="G264" i="1"/>
  <c r="F264" i="1"/>
  <c r="R263" i="1"/>
  <c r="P263" i="1"/>
  <c r="O263" i="1"/>
  <c r="I263" i="1"/>
  <c r="G263" i="1"/>
  <c r="F263" i="1"/>
  <c r="R262" i="1"/>
  <c r="P262" i="1"/>
  <c r="O262" i="1"/>
  <c r="I262" i="1"/>
  <c r="G262" i="1"/>
  <c r="F262" i="1"/>
  <c r="AF261" i="1"/>
  <c r="P261" i="1"/>
  <c r="O261" i="1"/>
  <c r="G261" i="1"/>
  <c r="F261" i="1"/>
  <c r="P260" i="1"/>
  <c r="O260" i="1"/>
  <c r="G260" i="1"/>
  <c r="F260" i="1"/>
  <c r="P259" i="1"/>
  <c r="O259" i="1"/>
  <c r="G259" i="1"/>
  <c r="F259" i="1"/>
  <c r="P258" i="1"/>
  <c r="O258" i="1"/>
  <c r="G258" i="1"/>
  <c r="F258" i="1"/>
  <c r="P257" i="1"/>
  <c r="O257" i="1"/>
  <c r="G257" i="1"/>
  <c r="F257" i="1"/>
  <c r="AF259" i="1"/>
  <c r="AF258" i="1"/>
  <c r="AF257" i="1"/>
  <c r="P256" i="1"/>
  <c r="O256" i="1"/>
  <c r="G256" i="1"/>
  <c r="F256" i="1"/>
  <c r="P255" i="1"/>
  <c r="O255" i="1"/>
  <c r="G255" i="1"/>
  <c r="F255" i="1"/>
  <c r="AF256" i="1"/>
  <c r="AF255" i="1"/>
  <c r="P254" i="1"/>
  <c r="O254" i="1"/>
  <c r="G254" i="1"/>
  <c r="F254" i="1"/>
  <c r="P253" i="1"/>
  <c r="O253" i="1"/>
  <c r="G253" i="1"/>
  <c r="F253" i="1"/>
  <c r="P252" i="1"/>
  <c r="O252" i="1"/>
  <c r="G252" i="1"/>
  <c r="F252" i="1"/>
  <c r="P251" i="1"/>
  <c r="O251" i="1"/>
  <c r="G251" i="1"/>
  <c r="F251" i="1"/>
  <c r="P250" i="1"/>
  <c r="O250" i="1"/>
  <c r="G250" i="1"/>
  <c r="F250" i="1"/>
  <c r="P249" i="1"/>
  <c r="O249" i="1"/>
  <c r="G249" i="1"/>
  <c r="F249" i="1"/>
  <c r="P248" i="1"/>
  <c r="O248" i="1"/>
  <c r="G248" i="1"/>
  <c r="F248" i="1"/>
  <c r="P247" i="1"/>
  <c r="O247" i="1"/>
  <c r="G247" i="1"/>
  <c r="F247" i="1"/>
  <c r="AF246" i="1"/>
  <c r="AF245" i="1"/>
  <c r="P245" i="1"/>
  <c r="O245" i="1"/>
  <c r="M245" i="1"/>
  <c r="G245" i="1"/>
  <c r="F245" i="1"/>
  <c r="P244" i="1"/>
  <c r="O244" i="1"/>
  <c r="G244" i="1"/>
  <c r="F244" i="1"/>
  <c r="P243" i="1"/>
  <c r="O243" i="1"/>
  <c r="G243" i="1"/>
  <c r="F243" i="1"/>
  <c r="P242" i="1"/>
  <c r="O242" i="1"/>
  <c r="G242" i="1"/>
  <c r="F242" i="1"/>
  <c r="P241" i="1"/>
  <c r="O241" i="1"/>
  <c r="G241" i="1"/>
  <c r="F241" i="1"/>
  <c r="P240" i="1"/>
  <c r="O240" i="1"/>
  <c r="G240" i="1"/>
  <c r="F240" i="1"/>
  <c r="P239" i="1"/>
  <c r="O239" i="1"/>
  <c r="G239" i="1"/>
  <c r="F239" i="1"/>
  <c r="P238" i="1"/>
  <c r="O238" i="1"/>
  <c r="G238" i="1"/>
  <c r="F238" i="1"/>
  <c r="P237" i="1"/>
  <c r="O237" i="1"/>
  <c r="G237" i="1"/>
  <c r="F237" i="1"/>
  <c r="P236" i="1"/>
  <c r="O236" i="1"/>
  <c r="G236" i="1"/>
  <c r="F236" i="1"/>
  <c r="P235" i="1"/>
  <c r="O235" i="1"/>
  <c r="G235" i="1"/>
  <c r="F235" i="1"/>
  <c r="P234" i="1"/>
  <c r="O234" i="1"/>
  <c r="G234" i="1"/>
  <c r="F234" i="1"/>
  <c r="P233" i="1"/>
  <c r="O233" i="1"/>
  <c r="G233" i="1"/>
  <c r="F233" i="1"/>
  <c r="P232" i="1"/>
  <c r="O232" i="1"/>
  <c r="P231" i="1"/>
  <c r="O231" i="1"/>
  <c r="P230" i="1"/>
  <c r="O230" i="1"/>
  <c r="P229" i="1"/>
  <c r="O229" i="1"/>
  <c r="P228" i="1"/>
  <c r="O228" i="1"/>
  <c r="P227" i="1"/>
  <c r="O227" i="1"/>
  <c r="P226" i="1"/>
  <c r="O226" i="1"/>
  <c r="P225" i="1"/>
  <c r="O225" i="1"/>
  <c r="P224" i="1"/>
  <c r="O224" i="1"/>
  <c r="P223" i="1"/>
  <c r="O223" i="1"/>
  <c r="G223" i="1"/>
  <c r="F223" i="1"/>
  <c r="P220" i="1"/>
  <c r="O220" i="1"/>
  <c r="G220" i="1"/>
  <c r="F220" i="1"/>
  <c r="P219" i="1"/>
  <c r="O219" i="1"/>
  <c r="G219" i="1"/>
  <c r="F219" i="1"/>
  <c r="P218" i="1"/>
  <c r="O218" i="1"/>
  <c r="G218" i="1"/>
  <c r="F218" i="1"/>
  <c r="P217" i="1"/>
  <c r="O217" i="1"/>
  <c r="G217" i="1"/>
  <c r="F217" i="1"/>
  <c r="AF216" i="1"/>
  <c r="AF215" i="1"/>
  <c r="AO214" i="1"/>
  <c r="P214" i="1"/>
  <c r="O214" i="1"/>
  <c r="G214" i="1"/>
  <c r="F214" i="1"/>
  <c r="AO213" i="1"/>
  <c r="P213" i="1"/>
  <c r="O213" i="1"/>
  <c r="G213" i="1"/>
  <c r="F213" i="1"/>
  <c r="AO212" i="1"/>
  <c r="P212" i="1"/>
  <c r="O212" i="1"/>
  <c r="G212" i="1"/>
  <c r="F212" i="1"/>
  <c r="AO211" i="1"/>
  <c r="P211" i="1"/>
  <c r="O211" i="1"/>
  <c r="G211" i="1"/>
  <c r="F211" i="1"/>
  <c r="P210" i="1"/>
  <c r="O210" i="1"/>
  <c r="G210" i="1"/>
  <c r="F210" i="1"/>
  <c r="P209" i="1"/>
  <c r="O209" i="1"/>
  <c r="P208" i="1"/>
  <c r="O208" i="1"/>
  <c r="P207" i="1"/>
  <c r="O207" i="1"/>
  <c r="P206" i="1"/>
  <c r="O206" i="1"/>
  <c r="P205" i="1"/>
  <c r="O205" i="1"/>
  <c r="P204" i="1"/>
  <c r="O204" i="1"/>
  <c r="P203" i="1"/>
  <c r="O203" i="1"/>
  <c r="P172" i="1"/>
  <c r="P202" i="1"/>
  <c r="P201" i="1"/>
  <c r="O202"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O172" i="1"/>
  <c r="P171" i="1"/>
  <c r="O171" i="1"/>
  <c r="O170" i="1"/>
  <c r="P170" i="1"/>
  <c r="P169" i="1"/>
  <c r="O169" i="1"/>
  <c r="P168" i="1"/>
  <c r="O168" i="1"/>
  <c r="P167" i="1"/>
  <c r="O167" i="1"/>
  <c r="P166" i="1"/>
  <c r="O166" i="1"/>
  <c r="P165" i="1"/>
  <c r="O165" i="1"/>
  <c r="P164" i="1"/>
  <c r="O164" i="1"/>
  <c r="P163" i="1"/>
  <c r="O163" i="1"/>
  <c r="G163" i="1"/>
  <c r="F163" i="1"/>
  <c r="P162" i="1"/>
  <c r="O162" i="1"/>
  <c r="P161" i="1"/>
  <c r="O161" i="1"/>
  <c r="P160" i="1"/>
  <c r="O160" i="1"/>
  <c r="P159" i="1"/>
  <c r="O159" i="1"/>
  <c r="G162" i="1"/>
  <c r="F162" i="1"/>
  <c r="G161" i="1"/>
  <c r="F161" i="1"/>
  <c r="G160" i="1"/>
  <c r="F160" i="1"/>
  <c r="G159" i="1"/>
  <c r="F159" i="1"/>
  <c r="P158" i="1"/>
  <c r="O158" i="1"/>
  <c r="G158" i="1"/>
  <c r="F158" i="1"/>
  <c r="P157" i="1"/>
  <c r="O157" i="1"/>
  <c r="G157" i="1"/>
  <c r="F157" i="1"/>
  <c r="P156" i="1"/>
  <c r="O156" i="1"/>
  <c r="G156" i="1"/>
  <c r="F156" i="1"/>
  <c r="P155" i="1"/>
  <c r="O155" i="1"/>
  <c r="G155" i="1"/>
  <c r="F155" i="1"/>
  <c r="P154" i="1"/>
  <c r="O154" i="1"/>
  <c r="P153" i="1"/>
  <c r="O153" i="1"/>
  <c r="G154" i="1"/>
  <c r="F154" i="1"/>
  <c r="G153" i="1"/>
  <c r="F153" i="1"/>
  <c r="P152" i="1"/>
  <c r="O152" i="1"/>
  <c r="G152" i="1"/>
  <c r="F152" i="1"/>
  <c r="P151" i="1"/>
  <c r="O151" i="1"/>
  <c r="G151" i="1"/>
  <c r="F151" i="1"/>
  <c r="P150" i="1"/>
  <c r="O150" i="1"/>
  <c r="G150" i="1"/>
  <c r="F150" i="1"/>
  <c r="P149" i="1"/>
  <c r="O149" i="1"/>
  <c r="G149" i="1"/>
  <c r="F149" i="1"/>
  <c r="P148" i="1"/>
  <c r="O148" i="1"/>
  <c r="G148" i="1"/>
  <c r="F148" i="1"/>
  <c r="P147" i="1"/>
  <c r="O147" i="1"/>
  <c r="G147" i="1"/>
  <c r="F147" i="1"/>
  <c r="P145" i="1"/>
  <c r="O145" i="1"/>
  <c r="P144" i="1"/>
  <c r="O144" i="1"/>
  <c r="P143" i="1"/>
  <c r="O143" i="1"/>
  <c r="G144" i="1"/>
  <c r="F144" i="1"/>
  <c r="G143" i="1"/>
  <c r="F143" i="1"/>
  <c r="P142" i="1"/>
  <c r="O142" i="1"/>
  <c r="G142" i="1"/>
  <c r="F142" i="1"/>
  <c r="AO144" i="1"/>
  <c r="AO143" i="1"/>
  <c r="AO142" i="1"/>
  <c r="AO141" i="1"/>
  <c r="P141" i="1"/>
  <c r="O141" i="1"/>
  <c r="G141" i="1"/>
  <c r="F141" i="1"/>
  <c r="AO140" i="1"/>
  <c r="P140" i="1"/>
  <c r="O140" i="1"/>
  <c r="G140" i="1"/>
  <c r="F140" i="1"/>
  <c r="AO139" i="1"/>
  <c r="P139" i="1"/>
  <c r="O139" i="1"/>
  <c r="G139" i="1"/>
  <c r="F139" i="1"/>
  <c r="AO138" i="1"/>
  <c r="P138" i="1"/>
  <c r="O138" i="1"/>
  <c r="G138" i="1"/>
  <c r="F138" i="1"/>
  <c r="AO137" i="1"/>
  <c r="P137" i="1"/>
  <c r="O137" i="1"/>
  <c r="G137" i="1"/>
  <c r="F137" i="1"/>
  <c r="AO136" i="1"/>
  <c r="P136" i="1"/>
  <c r="O136" i="1"/>
  <c r="G136" i="1"/>
  <c r="F136" i="1"/>
  <c r="G135" i="1"/>
  <c r="F135" i="1"/>
  <c r="AO135" i="1"/>
  <c r="P134" i="1"/>
  <c r="O134" i="1"/>
  <c r="G134" i="1"/>
  <c r="F134" i="1"/>
  <c r="P133" i="1"/>
  <c r="O133" i="1"/>
  <c r="G133" i="1"/>
  <c r="F133" i="1"/>
  <c r="P132" i="1"/>
  <c r="O132" i="1"/>
  <c r="G132" i="1"/>
  <c r="F132" i="1"/>
  <c r="P131" i="1"/>
  <c r="O131" i="1"/>
  <c r="G131" i="1"/>
  <c r="F131" i="1"/>
  <c r="P130" i="1"/>
  <c r="O130" i="1"/>
  <c r="G130" i="1"/>
  <c r="F130" i="1"/>
  <c r="P129" i="1"/>
  <c r="O129" i="1"/>
  <c r="G129" i="1"/>
  <c r="F129" i="1"/>
  <c r="P128" i="1"/>
  <c r="O128" i="1"/>
  <c r="G128" i="1"/>
  <c r="F128" i="1"/>
  <c r="P127" i="1"/>
  <c r="O127" i="1"/>
  <c r="G127" i="1"/>
  <c r="F127" i="1"/>
  <c r="P126" i="1"/>
  <c r="O126" i="1"/>
  <c r="G126" i="1"/>
  <c r="F126" i="1"/>
  <c r="P125" i="1"/>
  <c r="O125" i="1"/>
  <c r="G125" i="1"/>
  <c r="F125" i="1"/>
  <c r="P122" i="1"/>
  <c r="O122" i="1"/>
  <c r="G122" i="1"/>
  <c r="F122" i="1"/>
  <c r="P121" i="1"/>
  <c r="O121" i="1"/>
  <c r="G121" i="1"/>
  <c r="F121" i="1"/>
  <c r="P120" i="1"/>
  <c r="O120" i="1"/>
  <c r="G120" i="1"/>
  <c r="F120" i="1"/>
  <c r="P119" i="1"/>
  <c r="O119" i="1"/>
  <c r="G119" i="1"/>
  <c r="F119" i="1"/>
  <c r="P118" i="1"/>
  <c r="O118" i="1"/>
  <c r="G118" i="1"/>
  <c r="F118" i="1"/>
  <c r="P117" i="1"/>
  <c r="O117" i="1"/>
  <c r="G117" i="1"/>
  <c r="F117" i="1"/>
  <c r="P116" i="1"/>
  <c r="O116" i="1"/>
  <c r="G116" i="1"/>
  <c r="F116" i="1"/>
  <c r="P115" i="1"/>
  <c r="O115" i="1"/>
  <c r="G115" i="1"/>
  <c r="F115" i="1"/>
  <c r="P114" i="1"/>
  <c r="O114" i="1"/>
  <c r="G114" i="1"/>
  <c r="F114" i="1"/>
  <c r="P113" i="1"/>
  <c r="O113" i="1"/>
  <c r="G113" i="1"/>
  <c r="F113" i="1"/>
  <c r="G112" i="1"/>
  <c r="F112" i="1"/>
  <c r="P111" i="1"/>
  <c r="O111" i="1"/>
  <c r="G111" i="1"/>
  <c r="F111" i="1"/>
  <c r="P110" i="1"/>
  <c r="O110" i="1"/>
  <c r="G110" i="1"/>
  <c r="F110" i="1"/>
  <c r="P109" i="1"/>
  <c r="O109" i="1"/>
  <c r="G109" i="1"/>
  <c r="F109" i="1"/>
  <c r="P108" i="1"/>
  <c r="O108" i="1"/>
  <c r="G108" i="1"/>
  <c r="F108" i="1"/>
  <c r="P107" i="1"/>
  <c r="O107" i="1"/>
  <c r="G107" i="1"/>
  <c r="F107" i="1"/>
  <c r="P106" i="1"/>
  <c r="O106" i="1"/>
  <c r="G106" i="1"/>
  <c r="F106" i="1"/>
  <c r="P105" i="1"/>
  <c r="O105" i="1"/>
  <c r="G105" i="1"/>
  <c r="F105" i="1"/>
  <c r="P104" i="1"/>
  <c r="O104" i="1"/>
  <c r="G104" i="1"/>
  <c r="F104" i="1"/>
  <c r="P103" i="1"/>
  <c r="O103" i="1"/>
  <c r="G103" i="1"/>
  <c r="F103" i="1"/>
  <c r="P102" i="1"/>
  <c r="O102" i="1"/>
  <c r="G102" i="1"/>
  <c r="F102" i="1"/>
  <c r="P101" i="1"/>
  <c r="O101" i="1"/>
  <c r="G101" i="1"/>
  <c r="F101" i="1"/>
  <c r="P100" i="1"/>
  <c r="O100" i="1"/>
  <c r="G100" i="1"/>
  <c r="F100" i="1"/>
  <c r="P99" i="1"/>
  <c r="O99" i="1"/>
  <c r="G99" i="1"/>
  <c r="F99" i="1"/>
  <c r="P98" i="1"/>
  <c r="O98" i="1"/>
  <c r="G98" i="1"/>
  <c r="F98" i="1"/>
  <c r="P97" i="1"/>
  <c r="O97" i="1"/>
  <c r="G97" i="1"/>
  <c r="F97" i="1"/>
  <c r="P96" i="1"/>
  <c r="O96" i="1"/>
  <c r="G96" i="1"/>
  <c r="F96" i="1"/>
  <c r="P94" i="1"/>
  <c r="O94" i="1"/>
  <c r="G94" i="1"/>
  <c r="F94" i="1"/>
  <c r="P93" i="1"/>
  <c r="O93" i="1"/>
  <c r="G93" i="1"/>
  <c r="F93" i="1"/>
  <c r="P91" i="1"/>
  <c r="O91" i="1"/>
  <c r="G91" i="1"/>
  <c r="F91" i="1"/>
  <c r="P90" i="1"/>
  <c r="O90" i="1"/>
  <c r="G90" i="1"/>
  <c r="F90" i="1"/>
  <c r="P89" i="1"/>
  <c r="O89" i="1"/>
  <c r="G89" i="1"/>
  <c r="F89" i="1"/>
  <c r="P87" i="1"/>
  <c r="O87" i="1"/>
  <c r="G87" i="1"/>
  <c r="F87" i="1"/>
  <c r="P86" i="1"/>
  <c r="O86" i="1"/>
  <c r="G86" i="1"/>
  <c r="F86" i="1"/>
  <c r="P85" i="1"/>
  <c r="O85" i="1"/>
  <c r="G85" i="1"/>
  <c r="F85" i="1"/>
  <c r="P84" i="1"/>
  <c r="O84" i="1"/>
  <c r="G84" i="1"/>
  <c r="F84" i="1"/>
  <c r="P83" i="1"/>
  <c r="O83" i="1"/>
  <c r="G83" i="1"/>
  <c r="F83" i="1"/>
  <c r="P82" i="1"/>
  <c r="O82" i="1"/>
  <c r="G82" i="1"/>
  <c r="F82" i="1"/>
  <c r="P80" i="1"/>
  <c r="O80" i="1"/>
  <c r="G80" i="1"/>
  <c r="F80" i="1"/>
  <c r="P79" i="1"/>
  <c r="O79" i="1"/>
  <c r="F79" i="1"/>
  <c r="G79" i="1"/>
  <c r="P78" i="1"/>
  <c r="O78" i="1"/>
  <c r="G78" i="1"/>
  <c r="F78" i="1"/>
  <c r="P77" i="1"/>
  <c r="O77" i="1"/>
  <c r="G77" i="1"/>
  <c r="F77" i="1"/>
  <c r="P76" i="1"/>
  <c r="O76" i="1"/>
  <c r="G76" i="1"/>
  <c r="F76" i="1"/>
  <c r="P75" i="1"/>
  <c r="O75" i="1"/>
  <c r="G75" i="1"/>
  <c r="F75" i="1"/>
  <c r="P74" i="1"/>
  <c r="O74" i="1"/>
  <c r="G74" i="1"/>
  <c r="F74" i="1"/>
  <c r="P72" i="1"/>
  <c r="O72" i="1"/>
  <c r="G72" i="1"/>
  <c r="F72" i="1"/>
  <c r="P71" i="1"/>
  <c r="O71" i="1"/>
  <c r="G71" i="1"/>
  <c r="F71" i="1"/>
  <c r="P70" i="1"/>
  <c r="O70" i="1"/>
  <c r="G70" i="1"/>
  <c r="F70" i="1"/>
  <c r="P69" i="1"/>
  <c r="O69" i="1"/>
  <c r="G69" i="1"/>
  <c r="F69" i="1"/>
  <c r="P68" i="1"/>
  <c r="O68" i="1"/>
  <c r="G68" i="1"/>
  <c r="F68" i="1"/>
  <c r="P67" i="1"/>
  <c r="O67" i="1"/>
  <c r="G67" i="1"/>
  <c r="F67" i="1"/>
  <c r="P66" i="1"/>
  <c r="O66" i="1"/>
  <c r="G66" i="1"/>
  <c r="F66" i="1"/>
  <c r="P64" i="1"/>
  <c r="O64" i="1"/>
  <c r="G64" i="1"/>
  <c r="F64" i="1"/>
  <c r="P63" i="1"/>
  <c r="O63" i="1"/>
  <c r="G63" i="1"/>
  <c r="F63" i="1"/>
  <c r="P62" i="1"/>
  <c r="O62" i="1"/>
  <c r="G62" i="1"/>
  <c r="F62" i="1"/>
  <c r="P61" i="1"/>
  <c r="O61" i="1"/>
  <c r="G61" i="1"/>
  <c r="F61" i="1"/>
  <c r="P59" i="1"/>
  <c r="O59" i="1"/>
  <c r="G59" i="1"/>
  <c r="F59" i="1"/>
  <c r="P58" i="1"/>
  <c r="O58" i="1"/>
  <c r="G58" i="1"/>
  <c r="F58" i="1"/>
  <c r="P57" i="1"/>
  <c r="O57" i="1"/>
  <c r="G57" i="1"/>
  <c r="F57" i="1"/>
  <c r="P56" i="1"/>
  <c r="O56" i="1"/>
  <c r="G56" i="1"/>
  <c r="F56" i="1"/>
  <c r="P54" i="1"/>
  <c r="O54" i="1"/>
  <c r="G54" i="1"/>
  <c r="F54" i="1"/>
  <c r="P53" i="1"/>
  <c r="O53" i="1"/>
  <c r="G53" i="1"/>
  <c r="F53" i="1"/>
  <c r="P52" i="1"/>
  <c r="O52" i="1"/>
  <c r="G52" i="1"/>
  <c r="F52" i="1"/>
  <c r="P51" i="1"/>
  <c r="O51" i="1"/>
  <c r="G51" i="1"/>
  <c r="F51" i="1"/>
  <c r="P50" i="1"/>
  <c r="O50" i="1"/>
  <c r="G50" i="1"/>
  <c r="F50" i="1"/>
  <c r="P49" i="1"/>
  <c r="O49" i="1"/>
  <c r="G49" i="1"/>
  <c r="F49" i="1"/>
  <c r="P48" i="1"/>
  <c r="O48" i="1"/>
  <c r="G48" i="1"/>
  <c r="F48" i="1"/>
  <c r="P47" i="1"/>
  <c r="O47" i="1"/>
  <c r="G47" i="1"/>
  <c r="F47" i="1"/>
  <c r="P46" i="1"/>
  <c r="O46" i="1"/>
  <c r="G46" i="1"/>
  <c r="F46" i="1"/>
  <c r="P45" i="1"/>
  <c r="O45" i="1"/>
  <c r="G45" i="1"/>
  <c r="F45" i="1"/>
  <c r="P44" i="1"/>
  <c r="O44" i="1"/>
  <c r="G44" i="1"/>
  <c r="F44" i="1"/>
  <c r="P43" i="1"/>
  <c r="O43" i="1"/>
  <c r="G43" i="1"/>
  <c r="F43" i="1"/>
  <c r="P41" i="1"/>
  <c r="O41" i="1"/>
  <c r="G41" i="1"/>
  <c r="F41" i="1"/>
  <c r="P40" i="1"/>
  <c r="O40" i="1"/>
  <c r="G40" i="1"/>
  <c r="F40" i="1"/>
  <c r="P39" i="1"/>
  <c r="O39" i="1"/>
  <c r="G39" i="1"/>
  <c r="F39" i="1"/>
  <c r="P38" i="1"/>
  <c r="O38" i="1"/>
  <c r="G38" i="1"/>
  <c r="F38" i="1"/>
  <c r="P37" i="1"/>
  <c r="O37" i="1"/>
  <c r="G37" i="1"/>
  <c r="F37" i="1"/>
  <c r="P36" i="1"/>
  <c r="O36" i="1"/>
  <c r="G36" i="1"/>
  <c r="F36" i="1"/>
  <c r="P35" i="1"/>
  <c r="O35" i="1"/>
  <c r="G35" i="1"/>
  <c r="F35" i="1"/>
  <c r="P34" i="1"/>
  <c r="O34" i="1"/>
  <c r="P33" i="1"/>
  <c r="O33" i="1"/>
  <c r="G33" i="1"/>
  <c r="F33" i="1"/>
  <c r="P32" i="1"/>
  <c r="O32" i="1"/>
  <c r="G32" i="1"/>
  <c r="F32" i="1"/>
  <c r="P31" i="1"/>
  <c r="O31" i="1"/>
  <c r="G31" i="1"/>
  <c r="F31" i="1"/>
  <c r="P30" i="1"/>
  <c r="O30" i="1"/>
  <c r="G30" i="1"/>
  <c r="F30" i="1"/>
  <c r="G29" i="1"/>
  <c r="F29" i="1"/>
  <c r="P29" i="1"/>
  <c r="O29" i="1"/>
  <c r="P28" i="1"/>
  <c r="O28" i="1"/>
  <c r="G28" i="1"/>
  <c r="F28" i="1"/>
  <c r="P27" i="1"/>
  <c r="O27" i="1"/>
  <c r="G27" i="1"/>
  <c r="F27" i="1"/>
  <c r="P26" i="1"/>
  <c r="O26" i="1"/>
  <c r="G26" i="1"/>
  <c r="F26" i="1"/>
  <c r="G25" i="1"/>
  <c r="F25" i="1"/>
  <c r="P25" i="1"/>
  <c r="O25" i="1"/>
  <c r="P24" i="1"/>
  <c r="O24" i="1"/>
  <c r="G24" i="1"/>
  <c r="F24" i="1"/>
  <c r="P23" i="1"/>
  <c r="O23" i="1"/>
  <c r="G23" i="1"/>
  <c r="F23" i="1"/>
  <c r="P22" i="1"/>
  <c r="O22" i="1"/>
  <c r="G22" i="1"/>
  <c r="F22" i="1"/>
  <c r="P21" i="1"/>
  <c r="O21" i="1"/>
  <c r="G21" i="1"/>
  <c r="F21" i="1"/>
  <c r="P20" i="1"/>
  <c r="O20" i="1"/>
  <c r="G20" i="1"/>
  <c r="F20" i="1"/>
  <c r="P19" i="1"/>
  <c r="O19" i="1"/>
  <c r="G19" i="1"/>
  <c r="F19" i="1"/>
  <c r="P18" i="1"/>
  <c r="O18" i="1"/>
  <c r="G18" i="1"/>
  <c r="F18" i="1"/>
  <c r="G17" i="1"/>
  <c r="F17" i="1"/>
  <c r="G16" i="1"/>
  <c r="F16" i="1"/>
  <c r="G15" i="1"/>
  <c r="F15" i="1"/>
  <c r="G14" i="1"/>
  <c r="F14" i="1"/>
  <c r="P13" i="1"/>
  <c r="O13" i="1"/>
  <c r="G13" i="1"/>
  <c r="F13" i="1"/>
  <c r="P12" i="1"/>
  <c r="O12" i="1"/>
  <c r="G12" i="1"/>
  <c r="F12" i="1"/>
  <c r="P11" i="1"/>
  <c r="O11" i="1"/>
  <c r="G11" i="1"/>
  <c r="F11" i="1"/>
  <c r="P10" i="1"/>
  <c r="O10" i="1"/>
  <c r="G10" i="1"/>
  <c r="F10" i="1"/>
  <c r="P9" i="1"/>
  <c r="O9" i="1"/>
  <c r="G9" i="1"/>
  <c r="F9" i="1"/>
  <c r="P8" i="1"/>
  <c r="O8" i="1"/>
  <c r="G8" i="1"/>
  <c r="F8" i="1"/>
  <c r="P7" i="1"/>
  <c r="O7" i="1"/>
  <c r="O453" i="1" l="1"/>
  <c r="O451" i="1"/>
</calcChain>
</file>

<file path=xl/sharedStrings.xml><?xml version="1.0" encoding="utf-8"?>
<sst xmlns="http://schemas.openxmlformats.org/spreadsheetml/2006/main" count="16208" uniqueCount="1688">
  <si>
    <t>STUDY_ID</t>
  </si>
  <si>
    <t>DATA_ID</t>
  </si>
  <si>
    <t>YEAR_PUBLISHED</t>
  </si>
  <si>
    <t>AI_NAME</t>
  </si>
  <si>
    <t>AI_50</t>
  </si>
  <si>
    <t>AI_50_TYPE</t>
  </si>
  <si>
    <t>AI_ERROR_TYPE</t>
  </si>
  <si>
    <t>AI_ERROR_LOWER</t>
  </si>
  <si>
    <t>AI_ERROR_HIGHER</t>
  </si>
  <si>
    <t>AI_N_STRUCTURE</t>
  </si>
  <si>
    <t>FORM_NAME</t>
  </si>
  <si>
    <t>FORM_50</t>
  </si>
  <si>
    <t>FORM_50_TYPE</t>
  </si>
  <si>
    <t>FORM_ERROR_LOWER</t>
  </si>
  <si>
    <t>FORM_ERROR_HIGHER</t>
  </si>
  <si>
    <t>FORM_ERROR_TYPE</t>
  </si>
  <si>
    <t>FORM_N_STRUCTURE</t>
  </si>
  <si>
    <t>SPECIES_NAME_COMMON</t>
  </si>
  <si>
    <t>SPECIES_CLASS</t>
  </si>
  <si>
    <t>SPECIES_PHYLUM</t>
  </si>
  <si>
    <t>SPECIES_KINGDOM</t>
  </si>
  <si>
    <t>ECOSYSTEM</t>
  </si>
  <si>
    <t>LIFE_STAGE</t>
  </si>
  <si>
    <t>EXPOSURE_DURATION_HOURS</t>
  </si>
  <si>
    <t>PESTICIDE_CLASS</t>
  </si>
  <si>
    <t>NANO_FORMULATION</t>
  </si>
  <si>
    <t>SEX</t>
  </si>
  <si>
    <t>EXPOSURE_ROUTE</t>
  </si>
  <si>
    <t>ACUTE_CHRONIC_TOXICITY</t>
  </si>
  <si>
    <t>PH</t>
  </si>
  <si>
    <t>FEEDING_STATE</t>
  </si>
  <si>
    <t>SPECIES_NAME_BINOMIAL</t>
  </si>
  <si>
    <t>wos1144</t>
  </si>
  <si>
    <t>2,4-Dichlorophenoxyacetic acid</t>
  </si>
  <si>
    <t>Danio rerio</t>
  </si>
  <si>
    <t>zebrafish</t>
  </si>
  <si>
    <t>Teleostei </t>
  </si>
  <si>
    <t>Chordata</t>
  </si>
  <si>
    <t>Animalia</t>
  </si>
  <si>
    <t>Aquatic</t>
  </si>
  <si>
    <t>herbicide</t>
  </si>
  <si>
    <t>DMA4®IVM</t>
  </si>
  <si>
    <t>LC50</t>
  </si>
  <si>
    <t>SE</t>
  </si>
  <si>
    <t>60 eggs/dish, 8 dishes</t>
  </si>
  <si>
    <t>embryo</t>
  </si>
  <si>
    <t>n/a</t>
  </si>
  <si>
    <t>environmental</t>
  </si>
  <si>
    <t>chronic</t>
  </si>
  <si>
    <t>AGE_TEST_ORGANISM_HOURS</t>
  </si>
  <si>
    <t>NO</t>
  </si>
  <si>
    <t>60 eggs/dish, 16 dishes</t>
  </si>
  <si>
    <t>60 eggs/dish, 12 dishes</t>
  </si>
  <si>
    <t>wos2</t>
  </si>
  <si>
    <t>wos1303</t>
  </si>
  <si>
    <t>glyphosate</t>
  </si>
  <si>
    <t>&gt;50</t>
  </si>
  <si>
    <t>50 embryos/dish, 3 dishes</t>
  </si>
  <si>
    <t>Roundup® Power 2.0</t>
  </si>
  <si>
    <t>Xenopus laevis</t>
  </si>
  <si>
    <t>Amphibia</t>
  </si>
  <si>
    <t>acute</t>
  </si>
  <si>
    <t>TEMPERATURE_°C</t>
  </si>
  <si>
    <t>YES</t>
  </si>
  <si>
    <t>SE_SIMULATION_REQUIRED</t>
  </si>
  <si>
    <t>wos28</t>
  </si>
  <si>
    <t>diuron</t>
  </si>
  <si>
    <t>carbofuran</t>
  </si>
  <si>
    <t>EC50</t>
  </si>
  <si>
    <t>CI_95</t>
  </si>
  <si>
    <t>10 tests, with 4 replicates in each</t>
  </si>
  <si>
    <t>Nortox® 500 SC</t>
  </si>
  <si>
    <t>Ceriodaphnia silvestrii</t>
  </si>
  <si>
    <t>Branchiopoda</t>
  </si>
  <si>
    <t>Arthropoda</t>
  </si>
  <si>
    <t>adult</t>
  </si>
  <si>
    <t>fed</t>
  </si>
  <si>
    <t>insecticide</t>
  </si>
  <si>
    <t>Furadan® 350 SC</t>
  </si>
  <si>
    <t>wos1286</t>
  </si>
  <si>
    <t>glyphosate-IPA</t>
  </si>
  <si>
    <t>NOTES</t>
  </si>
  <si>
    <t>Lampsilis siliquoidea</t>
  </si>
  <si>
    <t>african clawed frog</t>
  </si>
  <si>
    <t>fat muckets</t>
  </si>
  <si>
    <t>Bivalvia</t>
  </si>
  <si>
    <t>Mollusca</t>
  </si>
  <si>
    <t>Roundup Ultramax</t>
  </si>
  <si>
    <t>Aqua Star</t>
  </si>
  <si>
    <t>glochidia</t>
  </si>
  <si>
    <t>juvenile</t>
  </si>
  <si>
    <t>168 (post transformation)</t>
  </si>
  <si>
    <t>&gt;148</t>
  </si>
  <si>
    <t>720 (post transformation)</t>
  </si>
  <si>
    <t>roundup vs gly-ipa could not be included for chronic toxicity tests as one month age difference between juveniles in each group.</t>
  </si>
  <si>
    <t xml:space="preserve">for juvenile acute testing - roundup vs gly-ipa was suitable as age of juveniles was the same. This was not the case for gly-ipa vs aqua star so these were excluded. </t>
  </si>
  <si>
    <t>wos927</t>
  </si>
  <si>
    <t>chlorpyrifos</t>
  </si>
  <si>
    <t>Lorsban</t>
  </si>
  <si>
    <t>for atrazine and permethrin experiments were also carried out but there was no effect for either substance over the concentration range carried out. The concentration range for both was less than 3 orders of magnitude and no range finding experiment is mentioned. Therefore, this lac k of effect for both the ais and formulations can't be considered evidence for no difference, rather an inappropriately narrow range of concentrations tested.</t>
  </si>
  <si>
    <t>1080 (post transformation)</t>
  </si>
  <si>
    <t>COMMON_CONTROL</t>
  </si>
  <si>
    <t>MULTIPLE_MEASUREMENT</t>
  </si>
  <si>
    <t>wos1144_1</t>
  </si>
  <si>
    <t>wos1144_2</t>
  </si>
  <si>
    <t>wos1303_1</t>
  </si>
  <si>
    <t>wos28_1</t>
  </si>
  <si>
    <t>wos28_2</t>
  </si>
  <si>
    <t>wos1286_1</t>
  </si>
  <si>
    <t>wos1286_2</t>
  </si>
  <si>
    <t>wos1286_3</t>
  </si>
  <si>
    <t>wos1286_4</t>
  </si>
  <si>
    <t>wos927_1</t>
  </si>
  <si>
    <t>wos927_2</t>
  </si>
  <si>
    <t>wos927_3</t>
  </si>
  <si>
    <t>for multiple_measurement - 24-48h were the same for each life stage, 96h juvenile acute was standalone, then 7-21d were multiple measurements.</t>
  </si>
  <si>
    <t>for multiple_measurement - 24-48h were the same for each life stage, 96h juvenile acute was standalone, then 7-28d were multiple measurements.</t>
  </si>
  <si>
    <t>atrazine</t>
  </si>
  <si>
    <t>Aatrex 4L</t>
  </si>
  <si>
    <t>wos927_4</t>
  </si>
  <si>
    <t>permethrin</t>
  </si>
  <si>
    <t>Mosquito-B-Gone</t>
  </si>
  <si>
    <t>wos927_5</t>
  </si>
  <si>
    <t>wos1144_a</t>
  </si>
  <si>
    <t>wos1144_b</t>
  </si>
  <si>
    <t>wos1303_a</t>
  </si>
  <si>
    <t>wos28_a</t>
  </si>
  <si>
    <t>wos28_b</t>
  </si>
  <si>
    <t>wos1286_a</t>
  </si>
  <si>
    <t>wos1286_b</t>
  </si>
  <si>
    <t>wos1286_c</t>
  </si>
  <si>
    <t>wos1286_d</t>
  </si>
  <si>
    <t>wos1286_e</t>
  </si>
  <si>
    <t>wos1286_f</t>
  </si>
  <si>
    <t>wos1286_g</t>
  </si>
  <si>
    <t>wos1286_h</t>
  </si>
  <si>
    <t>wos927_a</t>
  </si>
  <si>
    <t>wos927_b</t>
  </si>
  <si>
    <t>wos927_c</t>
  </si>
  <si>
    <t>wos927_d</t>
  </si>
  <si>
    <t>wos927_e</t>
  </si>
  <si>
    <t>wos927_f</t>
  </si>
  <si>
    <t>wos927_g</t>
  </si>
  <si>
    <t>wos927_h</t>
  </si>
  <si>
    <t>wos927_i</t>
  </si>
  <si>
    <t>wos927_j</t>
  </si>
  <si>
    <t>wos33</t>
  </si>
  <si>
    <t>wos33_a</t>
  </si>
  <si>
    <t>wos_33_1</t>
  </si>
  <si>
    <t>Oreochromis niloticus</t>
  </si>
  <si>
    <t>nile tilapia</t>
  </si>
  <si>
    <t>Teleostei</t>
  </si>
  <si>
    <t>starved</t>
  </si>
  <si>
    <t>REGULATORY_STANDARDISED_GUIDELINES_FOLLOWED</t>
  </si>
  <si>
    <t>scopus517</t>
  </si>
  <si>
    <t>CI_METHOD</t>
  </si>
  <si>
    <t>probit</t>
  </si>
  <si>
    <t>trimmed spearman–karber</t>
  </si>
  <si>
    <t>three parameter logistic</t>
  </si>
  <si>
    <t>chemically pure and technical were both available. Chemically pure was selected as the control as 100% (presumably) vs 95% for technical fenthion. Also, these products were for wall treatment</t>
  </si>
  <si>
    <t>home product for patio/yard spraying</t>
  </si>
  <si>
    <t>fenthion</t>
  </si>
  <si>
    <t>LD50</t>
  </si>
  <si>
    <t>Baytex</t>
  </si>
  <si>
    <t>scopus517_a</t>
  </si>
  <si>
    <t>scopus517_1</t>
  </si>
  <si>
    <t>Rattus rattus</t>
  </si>
  <si>
    <t>rat</t>
  </si>
  <si>
    <t>Mammalia</t>
  </si>
  <si>
    <t>Terrestrial</t>
  </si>
  <si>
    <t>male</t>
  </si>
  <si>
    <t>gavage</t>
  </si>
  <si>
    <t>Lebaycid</t>
  </si>
  <si>
    <t>scopus517_2</t>
  </si>
  <si>
    <t>wos2103</t>
  </si>
  <si>
    <t>malathion</t>
  </si>
  <si>
    <t>wos2103_a</t>
  </si>
  <si>
    <t>Rana ridibunda</t>
  </si>
  <si>
    <t>marsh frog</t>
  </si>
  <si>
    <t>Aquatic/Terrestrial</t>
  </si>
  <si>
    <t>larvae</t>
  </si>
  <si>
    <t>21/22 (gosner stage)</t>
  </si>
  <si>
    <t>wos946</t>
  </si>
  <si>
    <t>cycloxydim</t>
  </si>
  <si>
    <t>Focus Ultra</t>
  </si>
  <si>
    <t>wos946_a</t>
  </si>
  <si>
    <t>wos2103_1</t>
  </si>
  <si>
    <t>wos946_1</t>
  </si>
  <si>
    <t>47 (NF stage)</t>
  </si>
  <si>
    <t>wos946_b</t>
  </si>
  <si>
    <t>wos946_2</t>
  </si>
  <si>
    <t>8-11 (NF stage)</t>
  </si>
  <si>
    <t>wos315</t>
  </si>
  <si>
    <t>λ-Cyhalothrin</t>
  </si>
  <si>
    <t>four parameter logistic</t>
  </si>
  <si>
    <t>wos315_a</t>
  </si>
  <si>
    <t>wos315_1</t>
  </si>
  <si>
    <t>Callinectes sapidus</t>
  </si>
  <si>
    <t>blue crab</t>
  </si>
  <si>
    <t>Malacostraca</t>
  </si>
  <si>
    <t>megalopae</t>
  </si>
  <si>
    <t>imidacloprid</t>
  </si>
  <si>
    <t>Trimax Pro</t>
  </si>
  <si>
    <t>wos315_b</t>
  </si>
  <si>
    <t>wos315_2</t>
  </si>
  <si>
    <t>acephate</t>
  </si>
  <si>
    <t>wos315_c</t>
  </si>
  <si>
    <t>wos315_3</t>
  </si>
  <si>
    <t>wos315_d</t>
  </si>
  <si>
    <t>wos315_4</t>
  </si>
  <si>
    <t>wos315_5</t>
  </si>
  <si>
    <t>wos315_e</t>
  </si>
  <si>
    <t>wos315_f</t>
  </si>
  <si>
    <t>wos315_6</t>
  </si>
  <si>
    <t>wos2030</t>
  </si>
  <si>
    <t>trifluralin</t>
  </si>
  <si>
    <t>Treflan 4D</t>
  </si>
  <si>
    <t>logistic/log-logit models</t>
  </si>
  <si>
    <t>wos2030_a</t>
  </si>
  <si>
    <t>wos2030_1</t>
  </si>
  <si>
    <t>Lithobates clamitans</t>
  </si>
  <si>
    <t>green frog</t>
  </si>
  <si>
    <t>25 (gosner stage)</t>
  </si>
  <si>
    <t>WATER_HARDNESS_mg_L_Ca_CO3</t>
  </si>
  <si>
    <t>scopus307</t>
  </si>
  <si>
    <t>triallate</t>
  </si>
  <si>
    <t>Fargo</t>
  </si>
  <si>
    <t>litchfield-wilcoxon</t>
  </si>
  <si>
    <t>scopus307_a</t>
  </si>
  <si>
    <t>scopus307_1</t>
  </si>
  <si>
    <t>Chironomus riparius</t>
  </si>
  <si>
    <t>harlequin fly</t>
  </si>
  <si>
    <t>Insecta</t>
  </si>
  <si>
    <t>4th instar</t>
  </si>
  <si>
    <t>immobilisation used as endpoint for acute toxicity studies rather than mortality.</t>
  </si>
  <si>
    <t>scopus307_b</t>
  </si>
  <si>
    <t>propachlor</t>
  </si>
  <si>
    <t>Ramrod</t>
  </si>
  <si>
    <t>scopus307_c</t>
  </si>
  <si>
    <t>scopus307_2</t>
  </si>
  <si>
    <t>scopus307_d</t>
  </si>
  <si>
    <t>alachlor</t>
  </si>
  <si>
    <t>Lasso</t>
  </si>
  <si>
    <t>scopus307_e</t>
  </si>
  <si>
    <t>scopus307_3</t>
  </si>
  <si>
    <t>scopus307_f</t>
  </si>
  <si>
    <t>metribuzin</t>
  </si>
  <si>
    <t>Sencor</t>
  </si>
  <si>
    <t>scopus307_g</t>
  </si>
  <si>
    <t>scopus307_4</t>
  </si>
  <si>
    <t>scopus307_h</t>
  </si>
  <si>
    <t>sample size from FETAX document referenced.</t>
  </si>
  <si>
    <t>scopus3635</t>
  </si>
  <si>
    <t>methomyl</t>
  </si>
  <si>
    <t>L 24%</t>
  </si>
  <si>
    <t>scopus3635_a</t>
  </si>
  <si>
    <t>scopus3635_1</t>
  </si>
  <si>
    <t>Daphnia magna</t>
  </si>
  <si>
    <t>water flea</t>
  </si>
  <si>
    <t>sample size from committee on methods for toxicity tests with aquatic organisms 1975. In the document it says at least 10 individuals so to be conservative this is the value I used.</t>
  </si>
  <si>
    <t>5 megalopae per vessel</t>
  </si>
  <si>
    <t>10 larvae per vessel</t>
  </si>
  <si>
    <t>25 embryos per vessel</t>
  </si>
  <si>
    <t>5 adults per vessel</t>
  </si>
  <si>
    <t>7 juveniles per vessel</t>
  </si>
  <si>
    <t>50-75 per vessel</t>
  </si>
  <si>
    <t>7-10 juveniles per vessel</t>
  </si>
  <si>
    <t>50-100 per vessel</t>
  </si>
  <si>
    <t>4 larvae per vessel</t>
  </si>
  <si>
    <t>120 adults only, housed separately</t>
  </si>
  <si>
    <t>10 larvae only, one vessel</t>
  </si>
  <si>
    <t>10 individuals only, one vessel</t>
  </si>
  <si>
    <t>24 individuals, one per well</t>
  </si>
  <si>
    <t>aminocarb</t>
  </si>
  <si>
    <t>L 17%</t>
  </si>
  <si>
    <t>scopus3635_b</t>
  </si>
  <si>
    <t>scopus3635_2</t>
  </si>
  <si>
    <t>trichlorfon</t>
  </si>
  <si>
    <t>WP 80%</t>
  </si>
  <si>
    <t>scopus3635_c</t>
  </si>
  <si>
    <t>scopus3635_3</t>
  </si>
  <si>
    <t>fenitrothion</t>
  </si>
  <si>
    <t>L 87.7%</t>
  </si>
  <si>
    <t>scopus3635_d</t>
  </si>
  <si>
    <t>scopus3635_4</t>
  </si>
  <si>
    <t>&gt;50000</t>
  </si>
  <si>
    <t>WP 95%</t>
  </si>
  <si>
    <t>scopus3635_e</t>
  </si>
  <si>
    <t>scopus3635_5</t>
  </si>
  <si>
    <t>scopus3635_f</t>
  </si>
  <si>
    <t>scopus3635_6</t>
  </si>
  <si>
    <t>Gammarus pseudolimnaeus</t>
  </si>
  <si>
    <t>amphipod</t>
  </si>
  <si>
    <t>scopus3635_g</t>
  </si>
  <si>
    <t>scopus3635_7</t>
  </si>
  <si>
    <t>scopus3635_h</t>
  </si>
  <si>
    <t>scopus3635_8</t>
  </si>
  <si>
    <t>scopus3635_i</t>
  </si>
  <si>
    <t>scopus3635_9</t>
  </si>
  <si>
    <t>scopus3635_j</t>
  </si>
  <si>
    <t>scopus3635_10</t>
  </si>
  <si>
    <t>scopus3635_k</t>
  </si>
  <si>
    <t>scopus3635_11</t>
  </si>
  <si>
    <t>Chironomus plumosus</t>
  </si>
  <si>
    <t>buzzer midge</t>
  </si>
  <si>
    <t>scopus3635_l</t>
  </si>
  <si>
    <t>scopus3635_12</t>
  </si>
  <si>
    <t>scopus3635_m</t>
  </si>
  <si>
    <t>scopus3635_13</t>
  </si>
  <si>
    <t>scopus3635_n</t>
  </si>
  <si>
    <t>scopus3635_14</t>
  </si>
  <si>
    <t>scopus3635_o</t>
  </si>
  <si>
    <t>scopus3635_15</t>
  </si>
  <si>
    <t>scopus3635_p</t>
  </si>
  <si>
    <t>scopus3635_16</t>
  </si>
  <si>
    <t>rainbow trout</t>
  </si>
  <si>
    <t>Oncorhynchus mykiss</t>
  </si>
  <si>
    <t>sample size from committee on methods for toxicity tests with aquatic organisms 1975. In the document it says at least 10 individuals so to be conservative this is the value I used. Used old species name for rainbow trout. Updated.</t>
  </si>
  <si>
    <t>1st instar</t>
  </si>
  <si>
    <t>L 29%</t>
  </si>
  <si>
    <t>scopus3635_17</t>
  </si>
  <si>
    <t>scopus3635_q</t>
  </si>
  <si>
    <t>scopus3635_18</t>
  </si>
  <si>
    <t>scopus3635_r</t>
  </si>
  <si>
    <t>scopus3635_19</t>
  </si>
  <si>
    <t>L 93%</t>
  </si>
  <si>
    <t>scopus3635_s</t>
  </si>
  <si>
    <t>scopus3635_20</t>
  </si>
  <si>
    <t>scopus3635_21</t>
  </si>
  <si>
    <t>WP 40%</t>
  </si>
  <si>
    <t>scopus3635_22</t>
  </si>
  <si>
    <t>WP 75%</t>
  </si>
  <si>
    <t>scopus3635_t</t>
  </si>
  <si>
    <t>scopus3635_23</t>
  </si>
  <si>
    <t>scopus3635_u</t>
  </si>
  <si>
    <t>scopus3635_24</t>
  </si>
  <si>
    <t>Lepomis macrochirus</t>
  </si>
  <si>
    <t>bluegill</t>
  </si>
  <si>
    <t>scopus3635_25</t>
  </si>
  <si>
    <t>scopus3635_v</t>
  </si>
  <si>
    <t>scopus3635_26</t>
  </si>
  <si>
    <t>scopus3635_w</t>
  </si>
  <si>
    <t>scopus3635_27</t>
  </si>
  <si>
    <t xml:space="preserve">sample size from committee on methods for toxicity tests with aquatic organisms 1975. In the document it says at least 10 individuals so to be conservative this is the value I used. Used old species name for rainbow trout. Updated. In the standard testing followed, range finding tests are outlined. I assume at least 3 orders of magnitude concentrations were tested. </t>
  </si>
  <si>
    <t>scopus3635_x</t>
  </si>
  <si>
    <t>scopus3635_28</t>
  </si>
  <si>
    <t>scopus3635_29</t>
  </si>
  <si>
    <t>scopus3635_30</t>
  </si>
  <si>
    <t>scopus3635_y</t>
  </si>
  <si>
    <t>scopus3635_31</t>
  </si>
  <si>
    <t>Ictalurus punctatus</t>
  </si>
  <si>
    <t>channel catfish</t>
  </si>
  <si>
    <t>scopus3635_z</t>
  </si>
  <si>
    <t>scopus3635_32</t>
  </si>
  <si>
    <t>scopus3635_33</t>
  </si>
  <si>
    <t>scopus3635_a_a</t>
  </si>
  <si>
    <t>scopus3635_34</t>
  </si>
  <si>
    <t>scopus3635_35</t>
  </si>
  <si>
    <t>scopus3635_a_b</t>
  </si>
  <si>
    <t xml:space="preserve">sample size from committee on methods for toxicity tests with aquatic organisms 1975. In the document it says at least 10 individuals so to be conservative this is the value I used. For the formulation the upper CI was lower than the point estimate, indicating an inputting error in the study. Use the lower CI. </t>
  </si>
  <si>
    <t>scopus3635_a_c</t>
  </si>
  <si>
    <t>scopus3635_36</t>
  </si>
  <si>
    <t xml:space="preserve">sample size from committee on methods for toxicity tests with aquatic organisms 1975. In the document it says at least 10 individuals so to be conservative this is the value I used. For the AI the lower CI was higher than the point estimate, indicating an inputting error in the study. Use the upper CI. </t>
  </si>
  <si>
    <t>scopus3635_37</t>
  </si>
  <si>
    <t>scopus3635_38</t>
  </si>
  <si>
    <t>scopus3635_a_d</t>
  </si>
  <si>
    <t>Pimephales promelas</t>
  </si>
  <si>
    <t>fathead minnow</t>
  </si>
  <si>
    <t>scopus3635_a_e</t>
  </si>
  <si>
    <t>scopus3635_39</t>
  </si>
  <si>
    <t>scopus3635_40</t>
  </si>
  <si>
    <t>scopus3635_a_f</t>
  </si>
  <si>
    <t>scopus3635_41</t>
  </si>
  <si>
    <t>&gt;100</t>
  </si>
  <si>
    <t>scopus3635_a_g</t>
  </si>
  <si>
    <t>scopus3635_42</t>
  </si>
  <si>
    <t>scopus3635_a_h</t>
  </si>
  <si>
    <t>scopus3635_43</t>
  </si>
  <si>
    <t>scopus3635_44</t>
  </si>
  <si>
    <t>scopus3635_a_i</t>
  </si>
  <si>
    <t xml:space="preserve">sample size from committee on methods for toxicity tests with aquatic organisms 1975. In the document it says at least 10 individuals so to be conservative this is the value I used.  In the standard testing followed, range finding tests are outlined. I assume at least 3 orders of magnitude concentrations were tested. </t>
  </si>
  <si>
    <t>scopus3635_45</t>
  </si>
  <si>
    <t>AI_N_CONTAINER</t>
  </si>
  <si>
    <t>AI_N_INDIVIDUALS_PER_CONTAINER</t>
  </si>
  <si>
    <t>FORM_N_CONTAINER</t>
  </si>
  <si>
    <t>FORM_N_INDIVIDUALS_PER_CONTAINER</t>
  </si>
  <si>
    <t>wos279</t>
  </si>
  <si>
    <t>brornoxynil octanoate</t>
  </si>
  <si>
    <t>10 individuals, one vessel</t>
  </si>
  <si>
    <t>Buctril</t>
  </si>
  <si>
    <t>moving average-angle</t>
  </si>
  <si>
    <t>wos279_a</t>
  </si>
  <si>
    <t>wos_279_1</t>
  </si>
  <si>
    <t>Only include LC50s where exposure was for the whole period. For example, exclude a 96h LC50 if there was 48h treatment and 48 recovery in clean water. If both static and static-renewal are available for aquatic treatments, select static only as this is the most common approach.</t>
  </si>
  <si>
    <t>Bronate</t>
  </si>
  <si>
    <t>wos_279_2</t>
  </si>
  <si>
    <t>wos279_b</t>
  </si>
  <si>
    <t>wos_279_3</t>
  </si>
  <si>
    <t>wos_279_4</t>
  </si>
  <si>
    <t>Only include LC50s where exposure was for the whole period. For example, exclude a 96h LC50 if there was 48h treatment and 48 recovery in clean water. If both static and static-renewal are available for aquatic treatments, select static only as this is the most common approach. Could not include soft water for eldest category as ai and formulations were different ages (14d vs 15d).</t>
  </si>
  <si>
    <t>wos279_c</t>
  </si>
  <si>
    <t>wos_279_5</t>
  </si>
  <si>
    <t>wos_279_6</t>
  </si>
  <si>
    <t>wos279_d</t>
  </si>
  <si>
    <t>wos_279_7</t>
  </si>
  <si>
    <t>wos_279_8</t>
  </si>
  <si>
    <t>wos_279_9</t>
  </si>
  <si>
    <t>wos279_e</t>
  </si>
  <si>
    <t>wos_279_10</t>
  </si>
  <si>
    <t>wos279_f</t>
  </si>
  <si>
    <t>wos_279_11</t>
  </si>
  <si>
    <t>wos_279_12</t>
  </si>
  <si>
    <t>wos2111</t>
  </si>
  <si>
    <t>IC50</t>
  </si>
  <si>
    <t>2 replicates, fixed number of bacteria, luminiscence endpoint</t>
  </si>
  <si>
    <t>Roundup</t>
  </si>
  <si>
    <t>wos2111_a</t>
  </si>
  <si>
    <t>wos2111_1</t>
  </si>
  <si>
    <t xml:space="preserve">Vibrio fischeri </t>
  </si>
  <si>
    <t>Gammaproteobacteria</t>
  </si>
  <si>
    <t>Proteobacteria</t>
  </si>
  <si>
    <t>Bacteria</t>
  </si>
  <si>
    <t>3 replicates, 20000 cells but absorbance endpoint</t>
  </si>
  <si>
    <t>wos2111_b</t>
  </si>
  <si>
    <t>wos2111_2</t>
  </si>
  <si>
    <t>Selenastrum capricornutum</t>
  </si>
  <si>
    <t>Chlorophyceae</t>
  </si>
  <si>
    <t>Chlorophyta</t>
  </si>
  <si>
    <t>Plantae</t>
  </si>
  <si>
    <t>wos2111_c</t>
  </si>
  <si>
    <t>wos2111_3</t>
  </si>
  <si>
    <t>Skeletonema costatum</t>
  </si>
  <si>
    <t>Bacillariophyceae</t>
  </si>
  <si>
    <t>Chromista </t>
  </si>
  <si>
    <t>Gyrista</t>
  </si>
  <si>
    <t>3 replicates, 2500 cells, cell count by haemocytometer endpoint</t>
  </si>
  <si>
    <t>wos2111_d</t>
  </si>
  <si>
    <t>wos2111_4</t>
  </si>
  <si>
    <t>Tetrahymena pyriformis</t>
  </si>
  <si>
    <t>Ciliophora</t>
  </si>
  <si>
    <t>Ciliatea </t>
  </si>
  <si>
    <t>3 replicates, 1000 cells, cell count by haemocytometer endpoint</t>
  </si>
  <si>
    <t>wos2111_e</t>
  </si>
  <si>
    <t>wos2111_5</t>
  </si>
  <si>
    <t>Euplotes vannus</t>
  </si>
  <si>
    <t>Spirotrichea</t>
  </si>
  <si>
    <t>4 replicates, 5 individuals</t>
  </si>
  <si>
    <t>wos2111_f</t>
  </si>
  <si>
    <t>wos2111_6</t>
  </si>
  <si>
    <t>Ceriodaphnia dubia</t>
  </si>
  <si>
    <t>wos2111_g</t>
  </si>
  <si>
    <t>wos2111_7</t>
  </si>
  <si>
    <t>Acartia tonsa</t>
  </si>
  <si>
    <t>Copepoda</t>
  </si>
  <si>
    <t>wos840</t>
  </si>
  <si>
    <t>thiamethoxam</t>
  </si>
  <si>
    <t>5 replicates, 10 individuals</t>
  </si>
  <si>
    <t>Actara</t>
  </si>
  <si>
    <t>drc package, not reported adequately</t>
  </si>
  <si>
    <t>wos840_a</t>
  </si>
  <si>
    <t>wos840_1</t>
  </si>
  <si>
    <t>Folsomia candida</t>
  </si>
  <si>
    <t>Collembola </t>
  </si>
  <si>
    <t>female</t>
  </si>
  <si>
    <t>Only include acute and chronic toxicity tests that were performed to test individuals with no history of pesticide exposure, and no history of parental exposure. Exclude multigenerational studies like some of the endpoints in. The formulation was curtailed one day early in comparison to the ai. I decided to include it because there was no difference between the two treatments and the difference of one day was highly unlikely to have changed the actara lc50.</t>
  </si>
  <si>
    <t>neonate</t>
  </si>
  <si>
    <t>wos44</t>
  </si>
  <si>
    <t>S-metolachlor </t>
  </si>
  <si>
    <t>Primextra® GOLD TZ </t>
  </si>
  <si>
    <t>wos44_a</t>
  </si>
  <si>
    <t>wos44_1</t>
  </si>
  <si>
    <t>Daphnia longispina</t>
  </si>
  <si>
    <t>wos293</t>
  </si>
  <si>
    <t>dimethoate</t>
  </si>
  <si>
    <t>24 wells, 1 individual in each</t>
  </si>
  <si>
    <t>nano dimethoate</t>
  </si>
  <si>
    <t>wos293_a</t>
  </si>
  <si>
    <t>wos293_1</t>
  </si>
  <si>
    <t>Danio rerio </t>
  </si>
  <si>
    <t>500 EC Nortox® </t>
  </si>
  <si>
    <t>wos293_2</t>
  </si>
  <si>
    <t>AB wild type</t>
  </si>
  <si>
    <t>Lobo-Broa Reservoir</t>
  </si>
  <si>
    <t>Centre de Ressources Biologiques Xénopes</t>
  </si>
  <si>
    <t>STRAIN_CLONE_SOURCE</t>
  </si>
  <si>
    <t>Silver Fork of Perche Creek</t>
  </si>
  <si>
    <t>Kulia fish farm</t>
  </si>
  <si>
    <t>Veterinary College of Norway</t>
  </si>
  <si>
    <t>Ege University Campus</t>
  </si>
  <si>
    <t>Pivers Island Bridge,Beaufort,North Carolina, USA</t>
  </si>
  <si>
    <t>Charles D. Sullivan</t>
  </si>
  <si>
    <t>Yankton Field Research Station</t>
  </si>
  <si>
    <t>U.S. Fish and Wildlife Service hatcheries</t>
  </si>
  <si>
    <t>Columbia National Fisheries Research Laboratory</t>
  </si>
  <si>
    <t>Azur Environmental</t>
  </si>
  <si>
    <t>Culture Collection of Algae and Protozoa (Cumbria,UK).</t>
  </si>
  <si>
    <t>Culture Collection of Algae, University of Texas at Austin</t>
  </si>
  <si>
    <t>Aquatic Research Organisms (Hampton,NH,USA)</t>
  </si>
  <si>
    <t>Marine Biological Laboratory at Helsingør</t>
  </si>
  <si>
    <t>Department of Ecological Science, Vrije Universiteit, Amsterdam</t>
  </si>
  <si>
    <t>EM7</t>
  </si>
  <si>
    <t>wild-type</t>
  </si>
  <si>
    <t>wos128</t>
  </si>
  <si>
    <t>1-3 replicates, 10 individuals</t>
  </si>
  <si>
    <t>Roundup Plus</t>
  </si>
  <si>
    <t>wos128_a</t>
  </si>
  <si>
    <t>wos128_1</t>
  </si>
  <si>
    <t>Reading</t>
  </si>
  <si>
    <t>knokke 4 was excluded because this strain was derived from individuals from ponds in areas of intensive agriculture. Therefore, they had a background of pesticide exposure.</t>
  </si>
  <si>
    <t>wos128_b</t>
  </si>
  <si>
    <t>wos128_2</t>
  </si>
  <si>
    <t>Tromso</t>
  </si>
  <si>
    <t>wos128_c</t>
  </si>
  <si>
    <t>wos128_3</t>
  </si>
  <si>
    <t>wos128_d</t>
  </si>
  <si>
    <t>wos128_4</t>
  </si>
  <si>
    <t>1 replicate, 10 individuals</t>
  </si>
  <si>
    <t>wos128_e</t>
  </si>
  <si>
    <t>wos128_5</t>
  </si>
  <si>
    <t>wos996</t>
  </si>
  <si>
    <t>5 replicates, 5 individuals</t>
  </si>
  <si>
    <t>drc package, specific model not reported</t>
  </si>
  <si>
    <t>wos996_a</t>
  </si>
  <si>
    <t>wos996_1</t>
  </si>
  <si>
    <t>Rana temporaria</t>
  </si>
  <si>
    <t>european common frogs</t>
  </si>
  <si>
    <t>Palatinate Forest, SW Germany</t>
  </si>
  <si>
    <t>20 (Gosner Stage)</t>
  </si>
  <si>
    <t>wos941</t>
  </si>
  <si>
    <t>thiacloprid</t>
  </si>
  <si>
    <t>3 replicates, 5 individuals</t>
  </si>
  <si>
    <t>Calypso</t>
  </si>
  <si>
    <t>wos941_a</t>
  </si>
  <si>
    <t>wos941_1</t>
  </si>
  <si>
    <t>Eisenia andrei</t>
  </si>
  <si>
    <t>Clitellata </t>
  </si>
  <si>
    <t>Annelida </t>
  </si>
  <si>
    <t>hermaphrodite</t>
  </si>
  <si>
    <t>lower CI was bigger than the LC50 estimate. Use higher CI to calculate SE.</t>
  </si>
  <si>
    <t>esfenvalerate</t>
  </si>
  <si>
    <t>Sumialfa</t>
  </si>
  <si>
    <t>wos941_b</t>
  </si>
  <si>
    <t>wos941_2</t>
  </si>
  <si>
    <t>dimethenamid-p</t>
  </si>
  <si>
    <t>Frontier</t>
  </si>
  <si>
    <t>wos941_c</t>
  </si>
  <si>
    <t>wos941_3</t>
  </si>
  <si>
    <t>prosulfocarb</t>
  </si>
  <si>
    <t>Filon</t>
  </si>
  <si>
    <t>wos941_d</t>
  </si>
  <si>
    <t>wos941_4</t>
  </si>
  <si>
    <t>wos253</t>
  </si>
  <si>
    <t>azinphos methyl</t>
  </si>
  <si>
    <t>Gusathion</t>
  </si>
  <si>
    <t>6 replicates, 5 individuals</t>
  </si>
  <si>
    <t>wos253_a</t>
  </si>
  <si>
    <t>wos253_1</t>
  </si>
  <si>
    <t>Laboratory of Environmental Toxicology, Inonu University</t>
  </si>
  <si>
    <t>8 (stage)</t>
  </si>
  <si>
    <t>wos253_b</t>
  </si>
  <si>
    <t>wos253_2</t>
  </si>
  <si>
    <t>46 (stage)</t>
  </si>
  <si>
    <t>may be inaccurate. Read note for below effect size.</t>
  </si>
  <si>
    <t>there was a nominal and measured LC50, which were very different. In the discussion the authors comment that the actual concentration of AzM in the formulation must be higher than the label indicates. This raises the question of if the result for embryos above, which only had a nominal LC50, is different for this reason, rather than diverging toxicities between the ai and formulation.</t>
  </si>
  <si>
    <t>wos23</t>
  </si>
  <si>
    <t>acetochlor</t>
  </si>
  <si>
    <t>3 replicate flasks per concentration</t>
  </si>
  <si>
    <t>Harness</t>
  </si>
  <si>
    <t>LL.2(), drc</t>
  </si>
  <si>
    <t>wos23_a</t>
  </si>
  <si>
    <t>wos23_1</t>
  </si>
  <si>
    <t>Raphidocelis subcapitata</t>
  </si>
  <si>
    <t>EBPI</t>
  </si>
  <si>
    <t>replicate number taken from minimum number required to adhere to OECD 2011 guidelines followed.</t>
  </si>
  <si>
    <t>Surpass</t>
  </si>
  <si>
    <t>wos23_2</t>
  </si>
  <si>
    <t>replicate number taken from minimum number required to adhere to OECD 2011 guidelines followed. Negative lower CI for formulation.</t>
  </si>
  <si>
    <t>S‐metolachlor</t>
  </si>
  <si>
    <t>Dual II Magnum</t>
  </si>
  <si>
    <t>wos23_b</t>
  </si>
  <si>
    <t>wos23_3</t>
  </si>
  <si>
    <t>wos23_4</t>
  </si>
  <si>
    <t>Aquatic Biosystems Inc</t>
  </si>
  <si>
    <t>algaecide</t>
  </si>
  <si>
    <t>algaecide, captain was a chelator and, captain XTR was a chelator with a surfanctant.</t>
  </si>
  <si>
    <t>copper sulfate</t>
  </si>
  <si>
    <t>at least 6 replicates, 5 per container</t>
  </si>
  <si>
    <t>Captain</t>
  </si>
  <si>
    <t>&gt;6.40</t>
  </si>
  <si>
    <t>wos1565</t>
  </si>
  <si>
    <t>wos1565_a</t>
  </si>
  <si>
    <t>wos1565_1</t>
  </si>
  <si>
    <t>Captain XTR</t>
  </si>
  <si>
    <t>wos1565_2</t>
  </si>
  <si>
    <t>wos1565_b</t>
  </si>
  <si>
    <t>wos1565_c</t>
  </si>
  <si>
    <t>wos1565_d</t>
  </si>
  <si>
    <t>wos1565_e</t>
  </si>
  <si>
    <t>there were two sets of values for the brook trout, for small and large specimens. Label adult (small) and adult (big)</t>
  </si>
  <si>
    <t>&gt;1</t>
  </si>
  <si>
    <t>wos1565_f</t>
  </si>
  <si>
    <t>wos1565_3</t>
  </si>
  <si>
    <t>Salvelinus fontinalis</t>
  </si>
  <si>
    <t>brook trout</t>
  </si>
  <si>
    <t>adult (small)</t>
  </si>
  <si>
    <t>New York State Rome Lab</t>
  </si>
  <si>
    <t>wos1565_4</t>
  </si>
  <si>
    <t>wos1565_g</t>
  </si>
  <si>
    <t>wos1565_h</t>
  </si>
  <si>
    <t>wos1565_i</t>
  </si>
  <si>
    <t>wos1565_j</t>
  </si>
  <si>
    <t>wos1565_k</t>
  </si>
  <si>
    <t>wos1565_5</t>
  </si>
  <si>
    <t>wos1565_6</t>
  </si>
  <si>
    <t>adult (large)</t>
  </si>
  <si>
    <t>there were two sets of values for the brook trout, for small and large specimens. Label adult (small) and adult (big). 8h large brook trout was excluded as copper sulfate LC50 was greater than range tested for formulants.</t>
  </si>
  <si>
    <t>wos1565_l</t>
  </si>
  <si>
    <t>wos1565_m</t>
  </si>
  <si>
    <t>wos1565_n</t>
  </si>
  <si>
    <t>scopus59</t>
  </si>
  <si>
    <t>cypermethrin</t>
  </si>
  <si>
    <t>Ustaad</t>
  </si>
  <si>
    <t>scopus59_a</t>
  </si>
  <si>
    <t>scopus59_1</t>
  </si>
  <si>
    <t>wos764</t>
  </si>
  <si>
    <t>&gt;500</t>
  </si>
  <si>
    <t>3 replicates per concentration</t>
  </si>
  <si>
    <t>wos764_a</t>
  </si>
  <si>
    <t>wos764_1</t>
  </si>
  <si>
    <t>Aliivibrio fischeri</t>
  </si>
  <si>
    <t>DSM-7151, NRRL B-11177</t>
  </si>
  <si>
    <t>Barclay Gallup Biograde 360</t>
  </si>
  <si>
    <t>Boom Efekt</t>
  </si>
  <si>
    <t>Fozat 480</t>
  </si>
  <si>
    <t>Gladiator 480 SL</t>
  </si>
  <si>
    <t>Glialka Express 6H</t>
  </si>
  <si>
    <t>Kapazin</t>
  </si>
  <si>
    <t>Roundup Classic</t>
  </si>
  <si>
    <t xml:space="preserve">the CIs were in terms of G salt. Had to convert CIs using to G acid using ratio between G acid and G salt EC50 estimates. Some odd CIs in this set of 13. </t>
  </si>
  <si>
    <t>Total</t>
  </si>
  <si>
    <t>Dominator Extra 608 SL</t>
  </si>
  <si>
    <t>Glialka Star</t>
  </si>
  <si>
    <t>Roundup Mega</t>
  </si>
  <si>
    <t>Glyfos Dakar</t>
  </si>
  <si>
    <t>Medallon Premium</t>
  </si>
  <si>
    <t>wos764_2</t>
  </si>
  <si>
    <t>wos764_3</t>
  </si>
  <si>
    <t>wos764_4</t>
  </si>
  <si>
    <t>wos764_5</t>
  </si>
  <si>
    <t>wos764_6</t>
  </si>
  <si>
    <t>wos764_7</t>
  </si>
  <si>
    <t>wos764_8</t>
  </si>
  <si>
    <t>wos764_9</t>
  </si>
  <si>
    <t>wos764_10</t>
  </si>
  <si>
    <t>wos764_11</t>
  </si>
  <si>
    <t>wos764_12</t>
  </si>
  <si>
    <t>wos764_13</t>
  </si>
  <si>
    <t>wos764_14</t>
  </si>
  <si>
    <t>wos764_15</t>
  </si>
  <si>
    <t>wos764_16</t>
  </si>
  <si>
    <t>wos764_17</t>
  </si>
  <si>
    <t>wos764_18</t>
  </si>
  <si>
    <t>wos764_19</t>
  </si>
  <si>
    <t>wos764_20</t>
  </si>
  <si>
    <t>wos764_21</t>
  </si>
  <si>
    <t>wos764_22</t>
  </si>
  <si>
    <t>wos764_23</t>
  </si>
  <si>
    <t>wos764_24</t>
  </si>
  <si>
    <t>wos764_25</t>
  </si>
  <si>
    <t>wos764_26</t>
  </si>
  <si>
    <t>wos764_b</t>
  </si>
  <si>
    <t xml:space="preserve">the CIs were in terms of G salt. Had to convert CIs using to G acid using ratio between G acid and G salt EC50 estimates. </t>
  </si>
  <si>
    <t>wos764_c</t>
  </si>
  <si>
    <t>wos764_27</t>
  </si>
  <si>
    <t>wos764_28</t>
  </si>
  <si>
    <t>wos764_29</t>
  </si>
  <si>
    <t>wos764_30</t>
  </si>
  <si>
    <t>wos764_31</t>
  </si>
  <si>
    <t>wos764_32</t>
  </si>
  <si>
    <t>wos764_33</t>
  </si>
  <si>
    <t>wos764_34</t>
  </si>
  <si>
    <t>wos764_35</t>
  </si>
  <si>
    <t>wos764_36</t>
  </si>
  <si>
    <t>wos764_37</t>
  </si>
  <si>
    <t>wos764_38</t>
  </si>
  <si>
    <t>wos764_39</t>
  </si>
  <si>
    <t>wos1023</t>
  </si>
  <si>
    <t>4 individuals per container, 8 containers</t>
  </si>
  <si>
    <t>log(dose)-normalised response</t>
  </si>
  <si>
    <t>wos1023_a</t>
  </si>
  <si>
    <t>wos1023_1</t>
  </si>
  <si>
    <t>wos1023_b</t>
  </si>
  <si>
    <t>wos1023_c</t>
  </si>
  <si>
    <t>5 tadpoles, 6 replicates</t>
  </si>
  <si>
    <t>wos1023_d</t>
  </si>
  <si>
    <t>wos1023_2</t>
  </si>
  <si>
    <t>wos1023_e</t>
  </si>
  <si>
    <t>wos1023_f</t>
  </si>
  <si>
    <t>wos1004</t>
  </si>
  <si>
    <t>fipronil</t>
  </si>
  <si>
    <t>eLD50</t>
  </si>
  <si>
    <t>10 birds used in up and down estimation</t>
  </si>
  <si>
    <t>Adonis 3UL</t>
  </si>
  <si>
    <t>maximum likelihood method</t>
  </si>
  <si>
    <t>wos1004_1</t>
  </si>
  <si>
    <t>wos1004_a</t>
  </si>
  <si>
    <t>Taeniopygia guttata</t>
  </si>
  <si>
    <t>zebra finch</t>
  </si>
  <si>
    <t>University of Wollongong</t>
  </si>
  <si>
    <t>7 birds used in up and down estimation</t>
  </si>
  <si>
    <t>Aves</t>
  </si>
  <si>
    <t>used an up and down estimation technique that may not be valid with meta-analysis as the sample size isn't quite the same. Also, the formulation figure was taken from the paper but the ai value was taken from their PhD thesis, which was different to the value quoted as "unpublished is wos1004. Ask if this can be included?</t>
  </si>
  <si>
    <t>scopus2979</t>
  </si>
  <si>
    <t>fenvalerate</t>
  </si>
  <si>
    <t>10 fish, 4 chambers</t>
  </si>
  <si>
    <t>30% EC</t>
  </si>
  <si>
    <t>scopus2979_a</t>
  </si>
  <si>
    <t>scopus2979_1</t>
  </si>
  <si>
    <t>US EPA Environmental Research Lab, Duluth</t>
  </si>
  <si>
    <t>US EPA conducted the study so I assumed regulatory guidelines were followed.</t>
  </si>
  <si>
    <t>scopus2979_b</t>
  </si>
  <si>
    <t>scopus2979_c</t>
  </si>
  <si>
    <t>scopus2979_d</t>
  </si>
  <si>
    <t>Scenedesmus quadricauda</t>
  </si>
  <si>
    <t>wos116</t>
  </si>
  <si>
    <t>3 replicates</t>
  </si>
  <si>
    <t>drc, four or five parameter</t>
  </si>
  <si>
    <t>wos116_1</t>
  </si>
  <si>
    <t>microbial community</t>
  </si>
  <si>
    <t>Zavalla</t>
  </si>
  <si>
    <t>wos116_a</t>
  </si>
  <si>
    <t>wos116_2</t>
  </si>
  <si>
    <t>wos116_b</t>
  </si>
  <si>
    <t>Coronel Dorrego</t>
  </si>
  <si>
    <t>method of this paper was hard to follow. As it's an aggregate, not a single species this may be excluded later on. I excluded soils that had a history of glyphosate exposure.</t>
  </si>
  <si>
    <t>wos17</t>
  </si>
  <si>
    <t>nicosulfuron+terbuthylazine</t>
  </si>
  <si>
    <t>Winner Top</t>
  </si>
  <si>
    <t>logistic</t>
  </si>
  <si>
    <t>wos17_a</t>
  </si>
  <si>
    <t>wos17_b</t>
  </si>
  <si>
    <t>wos17_c</t>
  </si>
  <si>
    <t>wos17_d</t>
  </si>
  <si>
    <t>wos17_1</t>
  </si>
  <si>
    <t>wos17_2</t>
  </si>
  <si>
    <t>wos17_3</t>
  </si>
  <si>
    <t>wos17_4</t>
  </si>
  <si>
    <t>University of Aveiro</t>
  </si>
  <si>
    <t>two ais but usable as mixture of them at same ratio as formulation was used. This meant the ai and the formulation could be compared in terms of TU (as the individual ais were also tested).</t>
  </si>
  <si>
    <t>Chlorella vulgaris</t>
  </si>
  <si>
    <t>Trebouxiophyceae</t>
  </si>
  <si>
    <t>Lemna minor</t>
  </si>
  <si>
    <t>Liliopsida</t>
  </si>
  <si>
    <t>Tracheophyta</t>
  </si>
  <si>
    <t>Lemna gibba</t>
  </si>
  <si>
    <t>wos1843</t>
  </si>
  <si>
    <t>4 containers, 5 individuals</t>
  </si>
  <si>
    <t>Roundup Quick</t>
  </si>
  <si>
    <t>log-normal</t>
  </si>
  <si>
    <t>wos1843_a</t>
  </si>
  <si>
    <t>wos1843_1</t>
  </si>
  <si>
    <t>National Institute of Chemical Physics and Biophysics, Estonia</t>
  </si>
  <si>
    <t>glyphosate-IPA vs Roundup Max was excluded as this formulation has a glyphosate ammonium salt, not IPA. Bacterial work did not include CIs. Requested</t>
  </si>
  <si>
    <t>wos1843_b</t>
  </si>
  <si>
    <t>wos1843_2</t>
  </si>
  <si>
    <t>scopus3747</t>
  </si>
  <si>
    <t>11% spray</t>
  </si>
  <si>
    <t>scopus3747_a</t>
  </si>
  <si>
    <t>scopus3747_1</t>
  </si>
  <si>
    <t>Salmo salar</t>
  </si>
  <si>
    <t>atlantic salmon</t>
  </si>
  <si>
    <t>wos45</t>
  </si>
  <si>
    <t>wos45_a</t>
  </si>
  <si>
    <t>wos45_b</t>
  </si>
  <si>
    <t>wos45_c</t>
  </si>
  <si>
    <t>wos45_d</t>
  </si>
  <si>
    <t>wos45_e</t>
  </si>
  <si>
    <t>wos45_f</t>
  </si>
  <si>
    <t>wos45_g</t>
  </si>
  <si>
    <t>wos45_h</t>
  </si>
  <si>
    <t>wos45_i</t>
  </si>
  <si>
    <t>wos_45_1</t>
  </si>
  <si>
    <t>wos_45_2</t>
  </si>
  <si>
    <t>wos_45_3</t>
  </si>
  <si>
    <t>Leptodactylus latrans</t>
  </si>
  <si>
    <t>creole frog</t>
  </si>
  <si>
    <t>Rio de la Plata Estuary/El pescado stream floodplain</t>
  </si>
  <si>
    <t>36 (gosner stage)</t>
  </si>
  <si>
    <t>&gt;300</t>
  </si>
  <si>
    <t>wos91</t>
  </si>
  <si>
    <t>Federal University of Sao Carlos</t>
  </si>
  <si>
    <t>triplicate</t>
  </si>
  <si>
    <t>wos91_a</t>
  </si>
  <si>
    <t>wos91_1</t>
  </si>
  <si>
    <t>wos91_2</t>
  </si>
  <si>
    <t>wos91_b</t>
  </si>
  <si>
    <t>wos26</t>
  </si>
  <si>
    <t>4 containers, 10 individuals</t>
  </si>
  <si>
    <t>wos26_a</t>
  </si>
  <si>
    <t>wos26_1</t>
  </si>
  <si>
    <t>Paramecium caudatum</t>
  </si>
  <si>
    <t>Monjolinho Reservoir</t>
  </si>
  <si>
    <t>Protozoa</t>
  </si>
  <si>
    <t>adapted existing regulatory guidelines.</t>
  </si>
  <si>
    <t>wos26_b</t>
  </si>
  <si>
    <t>wos26_c</t>
  </si>
  <si>
    <t>wos26_d</t>
  </si>
  <si>
    <t>4 containers, 50 individuals</t>
  </si>
  <si>
    <t>wos26_e</t>
  </si>
  <si>
    <t>wos26_2</t>
  </si>
  <si>
    <t>wos26_f</t>
  </si>
  <si>
    <t>wos26_3</t>
  </si>
  <si>
    <t>wos26_g</t>
  </si>
  <si>
    <t>wos26_h</t>
  </si>
  <si>
    <t>wos26_i</t>
  </si>
  <si>
    <t>wos26_j</t>
  </si>
  <si>
    <t>wos26_4</t>
  </si>
  <si>
    <t>wos2136</t>
  </si>
  <si>
    <t>quintozene</t>
  </si>
  <si>
    <t>10 individuals, housed separately</t>
  </si>
  <si>
    <t>FFII</t>
  </si>
  <si>
    <t>Oryzias latipes</t>
  </si>
  <si>
    <t>japanese medaka</t>
  </si>
  <si>
    <t>wos2136_a</t>
  </si>
  <si>
    <t>wos2136_1</t>
  </si>
  <si>
    <t>Carolina Biological Supply</t>
  </si>
  <si>
    <t>fungicide</t>
  </si>
  <si>
    <t>scopus1818</t>
  </si>
  <si>
    <t>4 replicates</t>
  </si>
  <si>
    <t>Atanor</t>
  </si>
  <si>
    <t>&gt;20</t>
  </si>
  <si>
    <t>non-linear</t>
  </si>
  <si>
    <t>scopus1818_a</t>
  </si>
  <si>
    <t>scopus1818_1</t>
  </si>
  <si>
    <t>University of Buenos Aires</t>
  </si>
  <si>
    <t xml:space="preserve">also performed studies on s.acutus whether neither the formulation or AI had an effect. However, only tests between 0-20 with no associated range finding test so excluded. </t>
  </si>
  <si>
    <t>wos1189</t>
  </si>
  <si>
    <t>4 replicates, 3 individuals per well</t>
  </si>
  <si>
    <t>Roundup Max</t>
  </si>
  <si>
    <t>wos1189_a</t>
  </si>
  <si>
    <t>wos1189_1</t>
  </si>
  <si>
    <t>Hydra vulgaris</t>
  </si>
  <si>
    <t>fresh-water polyp</t>
  </si>
  <si>
    <t>Watertox Bioassays Program of the International Development Research Center of Canada</t>
  </si>
  <si>
    <t>Hydrozoa</t>
  </si>
  <si>
    <t>Glextrin</t>
  </si>
  <si>
    <t>wos1189_b</t>
  </si>
  <si>
    <t>wos1189_2</t>
  </si>
  <si>
    <t>PirfosGlex</t>
  </si>
  <si>
    <t>wos1189_c</t>
  </si>
  <si>
    <t>wos1189_3</t>
  </si>
  <si>
    <t>wos1413</t>
  </si>
  <si>
    <t>propetamphos</t>
  </si>
  <si>
    <t>Ectomort centenary</t>
  </si>
  <si>
    <t>wos1413_a</t>
  </si>
  <si>
    <t>wos1413_b</t>
  </si>
  <si>
    <t>wos1413_1</t>
  </si>
  <si>
    <t>wos1413_2</t>
  </si>
  <si>
    <t>river sediment microbes</t>
  </si>
  <si>
    <t>Conwy Estuary</t>
  </si>
  <si>
    <t>difference between this and the other wos1413 effect size is dissolved organic matter. 0 for this one</t>
  </si>
  <si>
    <t>difference between this and the other wos1413 effect size is dissolved organic matter. 40 for this one</t>
  </si>
  <si>
    <t>wos5</t>
  </si>
  <si>
    <t>2 replicates</t>
  </si>
  <si>
    <t>Ron-do</t>
  </si>
  <si>
    <t>wos5_a</t>
  </si>
  <si>
    <t>wos5_b</t>
  </si>
  <si>
    <t>wos5_1</t>
  </si>
  <si>
    <t>wos5_2</t>
  </si>
  <si>
    <t>Culture Collection of Algae, University of Göttingen, Germany</t>
  </si>
  <si>
    <t>Scenedesmus acutus</t>
  </si>
  <si>
    <t>Luján river</t>
  </si>
  <si>
    <t>negative lower CI for AI. Use upper.</t>
  </si>
  <si>
    <t>wos397</t>
  </si>
  <si>
    <t>linear interpolation</t>
  </si>
  <si>
    <t>wos397_a</t>
  </si>
  <si>
    <t>wos397_1</t>
  </si>
  <si>
    <t>wos397_b</t>
  </si>
  <si>
    <t>wos397_c</t>
  </si>
  <si>
    <t>El pescado stream, Buenos Aires province</t>
  </si>
  <si>
    <t xml:space="preserve">negative upper CI for formulation. Use lower arm. </t>
  </si>
  <si>
    <t>wos1023_g</t>
  </si>
  <si>
    <t>wos866</t>
  </si>
  <si>
    <t>clomazone</t>
  </si>
  <si>
    <t>logarithmic regression</t>
  </si>
  <si>
    <t>wos866_1</t>
  </si>
  <si>
    <t>wos866_2</t>
  </si>
  <si>
    <t>wos866_3</t>
  </si>
  <si>
    <t>wos866_4</t>
  </si>
  <si>
    <t>wos866_a</t>
  </si>
  <si>
    <t>wos866_b</t>
  </si>
  <si>
    <t>Myriophyllum aquaticum</t>
  </si>
  <si>
    <t>Magnoliopsida</t>
  </si>
  <si>
    <t>Institute of Pesticides and Environmental Protection, Serbia</t>
  </si>
  <si>
    <t>multiple endpoints were looked at but fresh weight was extracted.</t>
  </si>
  <si>
    <t>Rampa</t>
  </si>
  <si>
    <t>GAT</t>
  </si>
  <si>
    <t>multiple endpoints were looked at but fresh weight was extracted. Not the extremely wide CI. Don't think this model fitted properly.</t>
  </si>
  <si>
    <t>wos291</t>
  </si>
  <si>
    <t>chlorothalonil</t>
  </si>
  <si>
    <t>Bravo 500</t>
  </si>
  <si>
    <t>wos291_a</t>
  </si>
  <si>
    <t>wos291_1</t>
  </si>
  <si>
    <t>Centre for Functional Ecology, Portugal</t>
  </si>
  <si>
    <t>glyphosate/montana comparison was excluded as no effect for either and different concentration range tested for each.</t>
  </si>
  <si>
    <t>scopus2687</t>
  </si>
  <si>
    <t>4 replicates, 25 individuals, repeated 3 times.</t>
  </si>
  <si>
    <t>permethrin nano</t>
  </si>
  <si>
    <t>scopus2687_a</t>
  </si>
  <si>
    <t>scopus2687_1</t>
  </si>
  <si>
    <t>Drosophila melanogaster</t>
  </si>
  <si>
    <t>fruit fly</t>
  </si>
  <si>
    <t>wild Canton-S</t>
  </si>
  <si>
    <t>oral-food</t>
  </si>
  <si>
    <t>third instar</t>
  </si>
  <si>
    <t>Cu</t>
  </si>
  <si>
    <t>Cu nano</t>
  </si>
  <si>
    <t>scopus2687_b</t>
  </si>
  <si>
    <t>scopus2687_2</t>
  </si>
  <si>
    <t>bactericide/fungicide</t>
  </si>
  <si>
    <t>acephate nano</t>
  </si>
  <si>
    <t>scopus2687_c</t>
  </si>
  <si>
    <t>scopus2687_3</t>
  </si>
  <si>
    <t>validamycin</t>
  </si>
  <si>
    <t>validamycin nano</t>
  </si>
  <si>
    <t>scopus2687_d</t>
  </si>
  <si>
    <t>scopus2687_4</t>
  </si>
  <si>
    <t>wos353</t>
  </si>
  <si>
    <t>5 containers, 20 daphnids</t>
  </si>
  <si>
    <t>Confidor</t>
  </si>
  <si>
    <t>wos353_a</t>
  </si>
  <si>
    <t>wos353_1</t>
  </si>
  <si>
    <t>sample size was unclear but I think the extracted values are correct</t>
  </si>
  <si>
    <t>wos353_b</t>
  </si>
  <si>
    <t>2 trials, 2 replicates</t>
  </si>
  <si>
    <t>linear regression</t>
  </si>
  <si>
    <t>wos353_c</t>
  </si>
  <si>
    <t>wos353_2</t>
  </si>
  <si>
    <t xml:space="preserve">odd way of calculating CIs, See ai. </t>
  </si>
  <si>
    <t>6 vessels, 7 fish</t>
  </si>
  <si>
    <t>wos353_d</t>
  </si>
  <si>
    <t>wos353_3</t>
  </si>
  <si>
    <t>Hamilton Buchanan</t>
  </si>
  <si>
    <t>wos24</t>
  </si>
  <si>
    <t>MCPA + dicamba</t>
  </si>
  <si>
    <t>Bindii and Clover Weeder</t>
  </si>
  <si>
    <t>log-logistic concentration-effect curve</t>
  </si>
  <si>
    <t>Photobacterium leiognathi</t>
  </si>
  <si>
    <t>Pseudomonadota</t>
  </si>
  <si>
    <t>diazinon</t>
  </si>
  <si>
    <t>Crawly Cruncher</t>
  </si>
  <si>
    <t>wos290</t>
  </si>
  <si>
    <t>3 replicates, 10 individuals per replicate</t>
  </si>
  <si>
    <t>Diuron Nortox 500 SC</t>
  </si>
  <si>
    <t>wos24_a</t>
  </si>
  <si>
    <t>wos24_c</t>
  </si>
  <si>
    <t>wos24_e</t>
  </si>
  <si>
    <t>wos24_1</t>
  </si>
  <si>
    <t>wos24_3</t>
  </si>
  <si>
    <t>wos24_5</t>
  </si>
  <si>
    <t>wos290_a</t>
  </si>
  <si>
    <t>wos290_1</t>
  </si>
  <si>
    <t>values quoted standard deviation for LC50 values. Assume this was referring to SE. Value very close to work in another paper (wos26) performed by the same author.</t>
  </si>
  <si>
    <t>Furadan 350 SC</t>
  </si>
  <si>
    <t>wos290_b</t>
  </si>
  <si>
    <t>wos290_2</t>
  </si>
  <si>
    <t>3 replicates, 5 individuals per replicate</t>
  </si>
  <si>
    <t>wos290_c</t>
  </si>
  <si>
    <t>wos290_3</t>
  </si>
  <si>
    <t>wos290_d</t>
  </si>
  <si>
    <t>wos290_4</t>
  </si>
  <si>
    <t>wos194</t>
  </si>
  <si>
    <t>11 individuals housed separately</t>
  </si>
  <si>
    <t>2,4-Dichlorophenoxyacetic acid formulation</t>
  </si>
  <si>
    <t>10 individuals housed separately</t>
  </si>
  <si>
    <t>wos194_a</t>
  </si>
  <si>
    <t>wos194_1</t>
  </si>
  <si>
    <t>mouse</t>
  </si>
  <si>
    <t>Mus musculus</t>
  </si>
  <si>
    <t>ICR/Jcl</t>
  </si>
  <si>
    <t>neither the ai or the formulation had an effect.</t>
  </si>
  <si>
    <t>wos163</t>
  </si>
  <si>
    <t>Sherpa</t>
  </si>
  <si>
    <t>wos163_a</t>
  </si>
  <si>
    <t>wos163_1</t>
  </si>
  <si>
    <t>Hypsiboas pulchellus</t>
  </si>
  <si>
    <t>Montevideo tree frog</t>
  </si>
  <si>
    <t>la plata province, Buenos Aires</t>
  </si>
  <si>
    <t>wos292</t>
  </si>
  <si>
    <t>&gt;200</t>
  </si>
  <si>
    <t>4 replicates, 10 individuals</t>
  </si>
  <si>
    <t>nano atrazine</t>
  </si>
  <si>
    <t>Thres2P</t>
  </si>
  <si>
    <t>wos292_a</t>
  </si>
  <si>
    <t>wos292_1</t>
  </si>
  <si>
    <t>Enchytraeus crypticus</t>
  </si>
  <si>
    <t>Clitellata</t>
  </si>
  <si>
    <t>Annelida</t>
  </si>
  <si>
    <t xml:space="preserve">could not extract atrazine vs gesaprim because they were tested over different concentration ranges. Also, can't extract atrazine vs nano-ATZ for FLCt test because one has no effect (&gt;200) and the other has an endpoint of 252, even though it was only tested from 0-200. Must have extrapolated but makes comparison not possible. </t>
  </si>
  <si>
    <t>scopus2715</t>
  </si>
  <si>
    <t>gamma-cyhalothrin</t>
  </si>
  <si>
    <t>2 replicates, 10 individuals each</t>
  </si>
  <si>
    <t xml:space="preserve">nano gamma-cyhalothrin small fractionation </t>
  </si>
  <si>
    <t>two parameter logistic</t>
  </si>
  <si>
    <t>scopus2715_a</t>
  </si>
  <si>
    <t>scopus2715_1</t>
  </si>
  <si>
    <t>Oregon state university</t>
  </si>
  <si>
    <t xml:space="preserve">nano gamma-cyhalothrin large fractionation </t>
  </si>
  <si>
    <t>scopus2715_2</t>
  </si>
  <si>
    <t>scopus3665</t>
  </si>
  <si>
    <t>carbaryl</t>
  </si>
  <si>
    <t>carbaryl 85% WP</t>
  </si>
  <si>
    <t>scopus3665_a</t>
  </si>
  <si>
    <t>scopus3665_1</t>
  </si>
  <si>
    <t>Cirrhinus mrigala</t>
  </si>
  <si>
    <t>Guntur channel, south india</t>
  </si>
  <si>
    <t>carbaryl 50% WP</t>
  </si>
  <si>
    <t>scopus3665_2</t>
  </si>
  <si>
    <t>scopus1816</t>
  </si>
  <si>
    <t>&gt;41.48</t>
  </si>
  <si>
    <t>probit/spearman karber</t>
  </si>
  <si>
    <t>scopus1816_a</t>
  </si>
  <si>
    <t>scopus1816_b</t>
  </si>
  <si>
    <t>scopus1816_c</t>
  </si>
  <si>
    <t>scopus1816_d</t>
  </si>
  <si>
    <t>scopus1816_e</t>
  </si>
  <si>
    <t>scopus1816_1</t>
  </si>
  <si>
    <t>scopus1816_2</t>
  </si>
  <si>
    <t>scopus1816_3</t>
  </si>
  <si>
    <t>scopus1816_4</t>
  </si>
  <si>
    <t>scopus1816_5</t>
  </si>
  <si>
    <t>R. pipiens</t>
  </si>
  <si>
    <t>H. chrysoscelis</t>
  </si>
  <si>
    <t>R. catesbeiana</t>
  </si>
  <si>
    <t>B. fowleri</t>
  </si>
  <si>
    <t>R. clamitans</t>
  </si>
  <si>
    <t>Pickens and Greenwood Countie</t>
  </si>
  <si>
    <t>Wards Natural Science</t>
  </si>
  <si>
    <t>scopus3756</t>
  </si>
  <si>
    <t>endosulfan</t>
  </si>
  <si>
    <t>35% EC</t>
  </si>
  <si>
    <t>scopus3756_a</t>
  </si>
  <si>
    <t>scopus3756_1</t>
  </si>
  <si>
    <t>Channa punctata</t>
  </si>
  <si>
    <t>Nagarjuna University</t>
  </si>
  <si>
    <t>4% dust</t>
  </si>
  <si>
    <t>scopus3756_2</t>
  </si>
  <si>
    <t>wos172</t>
  </si>
  <si>
    <t>4 replicates, 5 individuals, repeated 5 times</t>
  </si>
  <si>
    <t>wos172_a</t>
  </si>
  <si>
    <t>wos172_1</t>
  </si>
  <si>
    <t>Strandesia trispinosa</t>
  </si>
  <si>
    <t>Ostracoda</t>
  </si>
  <si>
    <t>University of Sao Paulo</t>
  </si>
  <si>
    <t>wos172_b</t>
  </si>
  <si>
    <t>wos172_2</t>
  </si>
  <si>
    <t>wos172_c</t>
  </si>
  <si>
    <t>wos172_3</t>
  </si>
  <si>
    <t>Allonais inaequalis</t>
  </si>
  <si>
    <t>UFSCar</t>
  </si>
  <si>
    <t>wos172_d</t>
  </si>
  <si>
    <t>wos172_4</t>
  </si>
  <si>
    <t>wos172_e</t>
  </si>
  <si>
    <t>wos172_5</t>
  </si>
  <si>
    <t>Dero furcatus</t>
  </si>
  <si>
    <t>Oligochaeta</t>
  </si>
  <si>
    <t>wos172_f</t>
  </si>
  <si>
    <t>wos172_6</t>
  </si>
  <si>
    <t>wos278</t>
  </si>
  <si>
    <t>Esteron Ultra</t>
  </si>
  <si>
    <t>Rhinella arenarum</t>
  </si>
  <si>
    <t>south american toad</t>
  </si>
  <si>
    <t>Lobos, Buenos Aires</t>
  </si>
  <si>
    <t>wos278_a</t>
  </si>
  <si>
    <t>wos278_b</t>
  </si>
  <si>
    <t>wos278_c</t>
  </si>
  <si>
    <t>wos278_d</t>
  </si>
  <si>
    <t>wos278_e</t>
  </si>
  <si>
    <t>wos278_f</t>
  </si>
  <si>
    <t>wos278_g</t>
  </si>
  <si>
    <t>wos278_1</t>
  </si>
  <si>
    <t>S.3 (embryonic stage)</t>
  </si>
  <si>
    <t>wos278_h</t>
  </si>
  <si>
    <t>wos278_i</t>
  </si>
  <si>
    <t>wos278_j</t>
  </si>
  <si>
    <t>wos278_k</t>
  </si>
  <si>
    <t>wos278_l</t>
  </si>
  <si>
    <t>wos278_m</t>
  </si>
  <si>
    <t>wos278_2</t>
  </si>
  <si>
    <t>wos278_3</t>
  </si>
  <si>
    <t>wos278_4</t>
  </si>
  <si>
    <t>wos278_5</t>
  </si>
  <si>
    <t>wos278_6</t>
  </si>
  <si>
    <t>wos278_7</t>
  </si>
  <si>
    <t>S.18 (embryonic stage)</t>
  </si>
  <si>
    <t>S.20 (embryonic stage)</t>
  </si>
  <si>
    <t>S.21 (embryonic stage)</t>
  </si>
  <si>
    <t>S.23 (embryonic stage)</t>
  </si>
  <si>
    <t>S.17 (embryonic stage)</t>
  </si>
  <si>
    <t>S.10 (embryonic stage)</t>
  </si>
  <si>
    <t>wos278_n</t>
  </si>
  <si>
    <t>wos278_o</t>
  </si>
  <si>
    <t>wos278_p</t>
  </si>
  <si>
    <t>wos278_q</t>
  </si>
  <si>
    <t>wos278_r</t>
  </si>
  <si>
    <t>wos278_s</t>
  </si>
  <si>
    <t>wos278_t</t>
  </si>
  <si>
    <t>S.25 (embryonic stage)</t>
  </si>
  <si>
    <t>wos278_8</t>
  </si>
  <si>
    <t>24,48,72 and 96 error bars for S.3 repeat measurement section commercial formulation will be inaccurate due to a poor quality graph and overlapping points</t>
  </si>
  <si>
    <t>wos226</t>
  </si>
  <si>
    <t>Termidor</t>
  </si>
  <si>
    <t>wos226_a</t>
  </si>
  <si>
    <t>wos226_1</t>
  </si>
  <si>
    <t>Aquatox Inc.</t>
  </si>
  <si>
    <t>bifenthrin</t>
  </si>
  <si>
    <t>Talstar</t>
  </si>
  <si>
    <t>wos226_b</t>
  </si>
  <si>
    <t>wos226_2</t>
  </si>
  <si>
    <t>scopus387</t>
  </si>
  <si>
    <t>amitrole</t>
  </si>
  <si>
    <t>50 wells on the same plate (therefore housed separately)</t>
  </si>
  <si>
    <t>amitrole-T</t>
  </si>
  <si>
    <t>scopus387_a</t>
  </si>
  <si>
    <t>scopus387_1</t>
  </si>
  <si>
    <t>Cyclops vernalis</t>
  </si>
  <si>
    <t>Maxillopoda</t>
  </si>
  <si>
    <t>nauplii</t>
  </si>
  <si>
    <t>scopus387_b</t>
  </si>
  <si>
    <t>scopus387_c</t>
  </si>
  <si>
    <t>scopus387_2</t>
  </si>
  <si>
    <t>note the large CIs.</t>
  </si>
  <si>
    <t>scopus387_d</t>
  </si>
  <si>
    <t>wos1895</t>
  </si>
  <si>
    <t>wos1895_a</t>
  </si>
  <si>
    <t>wos1895_1</t>
  </si>
  <si>
    <t>extracted part of the sample size from the referenced guideline. Was in spanish. Use deepL to translate p61.</t>
  </si>
  <si>
    <t>wos1895_b</t>
  </si>
  <si>
    <t>wos1895_2</t>
  </si>
  <si>
    <t>wos1895_c</t>
  </si>
  <si>
    <t>wos1895_3</t>
  </si>
  <si>
    <t>wos1137</t>
  </si>
  <si>
    <t>imazapyr</t>
  </si>
  <si>
    <t>Stalker</t>
  </si>
  <si>
    <t>wos1137_a</t>
  </si>
  <si>
    <t>wos1137_1</t>
  </si>
  <si>
    <t>Rana catesbeiana</t>
  </si>
  <si>
    <t>american bullfrog</t>
  </si>
  <si>
    <t>Twin Falls, Idaho</t>
  </si>
  <si>
    <t>Habitat</t>
  </si>
  <si>
    <t>wos1137_2</t>
  </si>
  <si>
    <t>triclopyr</t>
  </si>
  <si>
    <t>Garlon 3A</t>
  </si>
  <si>
    <t>wos1137_b</t>
  </si>
  <si>
    <t>wos1137_3</t>
  </si>
  <si>
    <t>note the 0 CI for the formulation. Probably unusable</t>
  </si>
  <si>
    <t>scopus1712</t>
  </si>
  <si>
    <t>3 replicates of 30 individuals</t>
  </si>
  <si>
    <t>Roundup Concentrate Plus</t>
  </si>
  <si>
    <t>scopus1712_a</t>
  </si>
  <si>
    <t>scopus1712_1</t>
  </si>
  <si>
    <t>w1118</t>
  </si>
  <si>
    <t>scopus1712_b</t>
  </si>
  <si>
    <t>scopus1712_2</t>
  </si>
  <si>
    <t>wos71</t>
  </si>
  <si>
    <t>Trimmed Spearman–Karber</t>
  </si>
  <si>
    <t>wos71_a</t>
  </si>
  <si>
    <t>wos71_1</t>
  </si>
  <si>
    <t>Philodina roseola</t>
  </si>
  <si>
    <t>common rotifer</t>
  </si>
  <si>
    <t>University of Sao Carlos</t>
  </si>
  <si>
    <t>Eurotatoria</t>
  </si>
  <si>
    <t>Rotifera</t>
  </si>
  <si>
    <t>wos2172</t>
  </si>
  <si>
    <t>Touchdown</t>
  </si>
  <si>
    <t>Roundup Biactive</t>
  </si>
  <si>
    <t>Spearman-Karber</t>
  </si>
  <si>
    <t>wos2172_a</t>
  </si>
  <si>
    <t>wos2172_1</t>
  </si>
  <si>
    <t>Litoria moorei</t>
  </si>
  <si>
    <t>Mandurah District</t>
  </si>
  <si>
    <t>wos2172_b</t>
  </si>
  <si>
    <t>wos2172_2</t>
  </si>
  <si>
    <t>wos2172_c</t>
  </si>
  <si>
    <t>wos2172_3</t>
  </si>
  <si>
    <t>soft water</t>
  </si>
  <si>
    <t>lake water</t>
  </si>
  <si>
    <t>wos2172_d</t>
  </si>
  <si>
    <t>wos2172_4</t>
  </si>
  <si>
    <t>5 individuals per concentration, housed separately</t>
  </si>
  <si>
    <t>wos2172_f</t>
  </si>
  <si>
    <t>wos2172_e</t>
  </si>
  <si>
    <t>wos2172_5</t>
  </si>
  <si>
    <t>Crinia insignifera</t>
  </si>
  <si>
    <t>Perth</t>
  </si>
  <si>
    <t>aged tapwater</t>
  </si>
  <si>
    <t>&gt;400</t>
  </si>
  <si>
    <t>&gt;373</t>
  </si>
  <si>
    <t>wos2172_g</t>
  </si>
  <si>
    <t>wos2172_6</t>
  </si>
  <si>
    <t>Heleioporus eyrei</t>
  </si>
  <si>
    <t>wos2172_h</t>
  </si>
  <si>
    <t>&gt;466</t>
  </si>
  <si>
    <t>wos2172_i</t>
  </si>
  <si>
    <t>wos2172_7</t>
  </si>
  <si>
    <t>wos2172_j</t>
  </si>
  <si>
    <t>wos2172_k</t>
  </si>
  <si>
    <t>wos2172_8</t>
  </si>
  <si>
    <t>wos2172_9</t>
  </si>
  <si>
    <t>Lymnodynastes dorsalis</t>
  </si>
  <si>
    <t>soft water. Explanation for wos2172. Where possible gly-IPA was matched with roundup and roundup biactive. If gly-ipa was not available, gly-tech was used instead. For touchdown, the ai was not gly-ipa but gly-trimesium. Therefore, gly-ipa vs touchdown comparisons were excluded. Some effect sizes were excluded as both ai and formulation had no effect but were tested over different concentration ranges.</t>
  </si>
  <si>
    <t>&gt;343</t>
  </si>
  <si>
    <t>wos2071</t>
  </si>
  <si>
    <t>10 replicates, 9 eggs each</t>
  </si>
  <si>
    <t>Roundup Biovert 360</t>
  </si>
  <si>
    <t>5 replicates, 9 eggs each</t>
  </si>
  <si>
    <t>Hill's model</t>
  </si>
  <si>
    <t>wos2071_a</t>
  </si>
  <si>
    <t>wos2071_1</t>
  </si>
  <si>
    <t>Helix aspersa</t>
  </si>
  <si>
    <t>Gastropoda</t>
  </si>
  <si>
    <t>University of Franche-Comté</t>
  </si>
  <si>
    <t>contact</t>
  </si>
  <si>
    <t>there was a difference in pH between the ai and formulation. The ai was more acidic but was still far less toxic. Also, in this paper snails were shown to be very tolerant to pH fluctuations between 2.3-6.9. Furthermore, the sample size for glyphosate was a sum of 3 tests. The third test used slightly different concentrations. They summed it together and analysed in the paper and I'm extracting the approach they took.</t>
  </si>
  <si>
    <t>wos1991</t>
  </si>
  <si>
    <t>32 individuals, housed separetely, but in 4 blocks</t>
  </si>
  <si>
    <t>wos1991_a</t>
  </si>
  <si>
    <t>wos1991_1</t>
  </si>
  <si>
    <t>house cricket</t>
  </si>
  <si>
    <t>Big Apple Herpetological</t>
  </si>
  <si>
    <t>naled</t>
  </si>
  <si>
    <t>Trumpet</t>
  </si>
  <si>
    <t>Permanone</t>
  </si>
  <si>
    <t>wos1991_b</t>
  </si>
  <si>
    <t>wos1991_2</t>
  </si>
  <si>
    <t>Acheta domesticus</t>
  </si>
  <si>
    <t>wos236</t>
  </si>
  <si>
    <t>sulcotrione</t>
  </si>
  <si>
    <t>3 runs, 5 replicates</t>
  </si>
  <si>
    <t>Mikado</t>
  </si>
  <si>
    <t>wos236_a</t>
  </si>
  <si>
    <t>wos236_1</t>
  </si>
  <si>
    <t>Carlsberg Foundation</t>
  </si>
  <si>
    <t>mesotrione</t>
  </si>
  <si>
    <t>Callisto</t>
  </si>
  <si>
    <t>wos236_b</t>
  </si>
  <si>
    <t>wos236_2</t>
  </si>
  <si>
    <t>wos236_c</t>
  </si>
  <si>
    <t>wos236_3</t>
  </si>
  <si>
    <t>unaltered</t>
  </si>
  <si>
    <t>pH unaltered.</t>
  </si>
  <si>
    <t>wos236_d</t>
  </si>
  <si>
    <t>wos236_4</t>
  </si>
  <si>
    <t>neutralised</t>
  </si>
  <si>
    <t>pH neutralised.</t>
  </si>
  <si>
    <t>wos236_e</t>
  </si>
  <si>
    <t>wos236_5</t>
  </si>
  <si>
    <t>wos236_f</t>
  </si>
  <si>
    <t>wos236_6</t>
  </si>
  <si>
    <t>wos214</t>
  </si>
  <si>
    <t>S-metolachlor + benoxacor</t>
  </si>
  <si>
    <t>Dual Gold Safeneur</t>
  </si>
  <si>
    <t>wos214_a</t>
  </si>
  <si>
    <t>wos214_1</t>
  </si>
  <si>
    <t>nicosulfuron</t>
  </si>
  <si>
    <t>Milagro</t>
  </si>
  <si>
    <t>wos214_b</t>
  </si>
  <si>
    <t>wos214_2</t>
  </si>
  <si>
    <t>scopus97</t>
  </si>
  <si>
    <t>20 fish, housing not detailed</t>
  </si>
  <si>
    <t>carbaryl commercial</t>
  </si>
  <si>
    <t>scopus97_a</t>
  </si>
  <si>
    <t>scopus97_1</t>
  </si>
  <si>
    <t>Clarias batrachus</t>
  </si>
  <si>
    <t>Varanasi, India</t>
  </si>
  <si>
    <t>scopus97_b</t>
  </si>
  <si>
    <t>scopus97_c</t>
  </si>
  <si>
    <t>scopus97_d</t>
  </si>
  <si>
    <t>wos67</t>
  </si>
  <si>
    <t>propanil</t>
  </si>
  <si>
    <t>&gt;2000</t>
  </si>
  <si>
    <t>Lannate</t>
  </si>
  <si>
    <t>Stam</t>
  </si>
  <si>
    <t>Spasor</t>
  </si>
  <si>
    <t>wos67_a</t>
  </si>
  <si>
    <t>wos67_1</t>
  </si>
  <si>
    <t>wos67_b</t>
  </si>
  <si>
    <t>wos67_2</t>
  </si>
  <si>
    <t>wos67_c</t>
  </si>
  <si>
    <t>wos67_3</t>
  </si>
  <si>
    <t>Clone A</t>
  </si>
  <si>
    <t>wos67_d</t>
  </si>
  <si>
    <t>wos67_4</t>
  </si>
  <si>
    <t>wos67_e</t>
  </si>
  <si>
    <t>wos67_f</t>
  </si>
  <si>
    <t>wos67_5</t>
  </si>
  <si>
    <t>wos67_6</t>
  </si>
  <si>
    <t>wos159</t>
  </si>
  <si>
    <t>&gt;10</t>
  </si>
  <si>
    <t>log-logistic</t>
  </si>
  <si>
    <t>wos159_a</t>
  </si>
  <si>
    <t>wos159_7</t>
  </si>
  <si>
    <t>University of Amsterdam</t>
  </si>
  <si>
    <t>acetamiprid</t>
  </si>
  <si>
    <t>Mospilan</t>
  </si>
  <si>
    <t>wos159_b</t>
  </si>
  <si>
    <t>wos159_1</t>
  </si>
  <si>
    <t>wos159_2</t>
  </si>
  <si>
    <t>wos159_c</t>
  </si>
  <si>
    <t>wos159_3</t>
  </si>
  <si>
    <t>no reliable CI could be generated.</t>
  </si>
  <si>
    <t>wos159_d</t>
  </si>
  <si>
    <t>wos159_4</t>
  </si>
  <si>
    <t>wos159_e</t>
  </si>
  <si>
    <t>wos159_5</t>
  </si>
  <si>
    <t>wos159_f</t>
  </si>
  <si>
    <t>wos159_6</t>
  </si>
  <si>
    <t>wos159_g</t>
  </si>
  <si>
    <t>wos159_h</t>
  </si>
  <si>
    <t>wos159_8</t>
  </si>
  <si>
    <t>scopus3651</t>
  </si>
  <si>
    <t>dinoseb</t>
  </si>
  <si>
    <t>Vertac General</t>
  </si>
  <si>
    <t>scopus3651_a</t>
  </si>
  <si>
    <t>scopus3651_1</t>
  </si>
  <si>
    <t>scopus3651_2</t>
  </si>
  <si>
    <t>scopus3651_3</t>
  </si>
  <si>
    <t>scopus3651_4</t>
  </si>
  <si>
    <t>Vertac Selective</t>
  </si>
  <si>
    <t>Gebutox</t>
  </si>
  <si>
    <t>Premerge 3</t>
  </si>
  <si>
    <t>scopus3651_b</t>
  </si>
  <si>
    <t>scopus3651_5</t>
  </si>
  <si>
    <t>scopus3651_6</t>
  </si>
  <si>
    <t>scopus3651_7</t>
  </si>
  <si>
    <t>scopus3651_8</t>
  </si>
  <si>
    <t>MSMA</t>
  </si>
  <si>
    <t>Bueno 6</t>
  </si>
  <si>
    <t>scopus3651_c</t>
  </si>
  <si>
    <t>scopus3651_9</t>
  </si>
  <si>
    <t>Daconate</t>
  </si>
  <si>
    <t>scopus3651_10</t>
  </si>
  <si>
    <t>scopus3651_11</t>
  </si>
  <si>
    <t>Daconate 6</t>
  </si>
  <si>
    <t>scopus3651_d</t>
  </si>
  <si>
    <t>scopus3651_12</t>
  </si>
  <si>
    <t>scopus3651_13</t>
  </si>
  <si>
    <t>scopus3651_14</t>
  </si>
  <si>
    <t>scopus2838</t>
  </si>
  <si>
    <t>fenamiphos</t>
  </si>
  <si>
    <t>Nemacur 15G</t>
  </si>
  <si>
    <t>10 birds, dosed separately</t>
  </si>
  <si>
    <t>8 birds, dosed separately</t>
  </si>
  <si>
    <t>9 birds, dosed separately</t>
  </si>
  <si>
    <t>Lorsban 15G</t>
  </si>
  <si>
    <t>Diazinon 14G</t>
  </si>
  <si>
    <t>Fensulfothion</t>
  </si>
  <si>
    <t>Dasanit 15G</t>
  </si>
  <si>
    <t>Isofenphos</t>
  </si>
  <si>
    <t>Amaze 15G</t>
  </si>
  <si>
    <t>parathion</t>
  </si>
  <si>
    <t>Parathion 10G</t>
  </si>
  <si>
    <t>Disulfoton</t>
  </si>
  <si>
    <t>Di-Syston 15G</t>
  </si>
  <si>
    <t>Fonofos</t>
  </si>
  <si>
    <t>Dyfonate 20G</t>
  </si>
  <si>
    <t>Phorate</t>
  </si>
  <si>
    <t>Thimet 15G</t>
  </si>
  <si>
    <t>Terbufos</t>
  </si>
  <si>
    <t>Counter 15G</t>
  </si>
  <si>
    <t>Bendiocarb</t>
  </si>
  <si>
    <t>Tattoo 10G</t>
  </si>
  <si>
    <t>Carbofuran</t>
  </si>
  <si>
    <t>12 birds, dosed separately</t>
  </si>
  <si>
    <t>Furadan 10G</t>
  </si>
  <si>
    <t>Aldicarb</t>
  </si>
  <si>
    <t>Temik 15G</t>
  </si>
  <si>
    <t>scopus2838_a</t>
  </si>
  <si>
    <t>scopus2838_1</t>
  </si>
  <si>
    <t>scopus2838_b</t>
  </si>
  <si>
    <t>scopus2838_c</t>
  </si>
  <si>
    <t>scopus2838_d</t>
  </si>
  <si>
    <t>scopus2838_e</t>
  </si>
  <si>
    <t>scopus2838_f</t>
  </si>
  <si>
    <t>scopus2838_g</t>
  </si>
  <si>
    <t>scopus2838_h</t>
  </si>
  <si>
    <t>scopus2838_i</t>
  </si>
  <si>
    <t>scopus2838_j</t>
  </si>
  <si>
    <t>scopus2838_k</t>
  </si>
  <si>
    <t>scopus2838_l</t>
  </si>
  <si>
    <t>scopus2838_m</t>
  </si>
  <si>
    <t>scopus2838_2</t>
  </si>
  <si>
    <t>scopus2838_3</t>
  </si>
  <si>
    <t>scopus2838_4</t>
  </si>
  <si>
    <t>scopus2838_5</t>
  </si>
  <si>
    <t>scopus2838_6</t>
  </si>
  <si>
    <t>scopus2838_7</t>
  </si>
  <si>
    <t>scopus2838_8</t>
  </si>
  <si>
    <t>scopus2838_9</t>
  </si>
  <si>
    <t>scopus2838_10</t>
  </si>
  <si>
    <t>scopus2838_11</t>
  </si>
  <si>
    <t>scopus2838_12</t>
  </si>
  <si>
    <t>scopus2838_13</t>
  </si>
  <si>
    <t>Colinus virginianus</t>
  </si>
  <si>
    <t>Northern bobwhites</t>
  </si>
  <si>
    <t>Charles C. Brown</t>
  </si>
  <si>
    <t>mixed</t>
  </si>
  <si>
    <t>oral-proventriculus</t>
  </si>
  <si>
    <t>wos2085</t>
  </si>
  <si>
    <t>chlorantraniliprole</t>
  </si>
  <si>
    <t>4 replicates, 10 individuals, repeated 3 times</t>
  </si>
  <si>
    <t>Altacor</t>
  </si>
  <si>
    <t>wos2085_a</t>
  </si>
  <si>
    <t>wos2085_1</t>
  </si>
  <si>
    <t>Washington State University</t>
  </si>
  <si>
    <t>wos937</t>
  </si>
  <si>
    <t>mancozeb</t>
  </si>
  <si>
    <t>Judo 40 EC</t>
  </si>
  <si>
    <t>Dithane M 45</t>
  </si>
  <si>
    <t>wos937_a</t>
  </si>
  <si>
    <t>wos937_1</t>
  </si>
  <si>
    <t>wos937_b</t>
  </si>
  <si>
    <t>wos937_c</t>
  </si>
  <si>
    <t>wos937_2</t>
  </si>
  <si>
    <t>wos937_3</t>
  </si>
  <si>
    <t>Perionyx excavatus</t>
  </si>
  <si>
    <t>University of Ruhuna</t>
  </si>
  <si>
    <t>wos848</t>
  </si>
  <si>
    <t>3 replicates, 20 individuals, repeated twice</t>
  </si>
  <si>
    <t>Rampa EC</t>
  </si>
  <si>
    <t>nonlinear logarithmic regression</t>
  </si>
  <si>
    <t>wos848_a</t>
  </si>
  <si>
    <t>wos848_1</t>
  </si>
  <si>
    <t>wos848_2</t>
  </si>
  <si>
    <t>GAT Cenit 36 CS</t>
  </si>
  <si>
    <t>University of Masaryk</t>
  </si>
  <si>
    <t>wos858</t>
  </si>
  <si>
    <t>Epoxiconazole</t>
  </si>
  <si>
    <t>triplicate, repeated 3 times</t>
  </si>
  <si>
    <t>Opus</t>
  </si>
  <si>
    <t>Regtox</t>
  </si>
  <si>
    <t>wos858_a</t>
  </si>
  <si>
    <t>wos858_1</t>
  </si>
  <si>
    <t>Chaetoceros calcitrans</t>
  </si>
  <si>
    <t>Mediophyceae</t>
  </si>
  <si>
    <t>Bacillariophyta</t>
  </si>
  <si>
    <t>Chromista</t>
  </si>
  <si>
    <t>Ifremer, France</t>
  </si>
  <si>
    <t>f/2 medium</t>
  </si>
  <si>
    <t>wos858_b</t>
  </si>
  <si>
    <t>wos858_2</t>
  </si>
  <si>
    <t>Gabes medium</t>
  </si>
  <si>
    <t>wos303</t>
  </si>
  <si>
    <t>azoxystrobin</t>
  </si>
  <si>
    <t>Quadris</t>
  </si>
  <si>
    <t>wos303_a</t>
  </si>
  <si>
    <t>wos303_1</t>
  </si>
  <si>
    <t>Enchytraeus albidus</t>
  </si>
  <si>
    <t>Complutense, University of Madrid</t>
  </si>
  <si>
    <t>wos303_b</t>
  </si>
  <si>
    <t>wos303_c</t>
  </si>
  <si>
    <t>note negative CI.</t>
  </si>
  <si>
    <t>wos303_d</t>
  </si>
  <si>
    <t>scopus1462</t>
  </si>
  <si>
    <t>&gt;17.9</t>
  </si>
  <si>
    <t>3 replicates, 20 individuals</t>
  </si>
  <si>
    <t>Glyfos AU</t>
  </si>
  <si>
    <t>scopus1462_a</t>
  </si>
  <si>
    <t>scopus1462_1</t>
  </si>
  <si>
    <t>Otonabee River</t>
  </si>
  <si>
    <t>glyphosate vs Roundup Biactive, Touchdown and Glyfos Bio were discounted as they were all &gt;17.9 and only 4 concentrations were tested. Impossible to know as concentrations tested weren't listed but assumed 3 orders of magnitude were not tested. No range finding performed.</t>
  </si>
  <si>
    <t>Roundup Transorb</t>
  </si>
  <si>
    <t>scopus1462_2</t>
  </si>
  <si>
    <t>scopus1462_b</t>
  </si>
  <si>
    <t>wos70</t>
  </si>
  <si>
    <t>guthion</t>
  </si>
  <si>
    <t>Guthion 2S</t>
  </si>
  <si>
    <t>wos70_a</t>
  </si>
  <si>
    <t>wos70_1</t>
  </si>
  <si>
    <t>Environmental Research Lab, Corvallis</t>
  </si>
  <si>
    <t xml:space="preserve">Extracted guthion test 4 because it had the same test volume as the formulation test and reached an endpoint due to an appropriately broad concentration range  (unlike test 1 and 2). Test 3 did not have a calculable CI. </t>
  </si>
  <si>
    <t>scopus65</t>
  </si>
  <si>
    <t>4 trays, 30 individuals</t>
  </si>
  <si>
    <t>Confidor 200 SC</t>
  </si>
  <si>
    <t>Compusyn</t>
  </si>
  <si>
    <t>scopus65_a</t>
  </si>
  <si>
    <t>scopus65_1</t>
  </si>
  <si>
    <t>Bombyx mori</t>
  </si>
  <si>
    <t>silk worm</t>
  </si>
  <si>
    <t>H1*KK*G2*V2</t>
  </si>
  <si>
    <t>2nd instar</t>
  </si>
  <si>
    <t>scopus65_b</t>
  </si>
  <si>
    <t>scopus65_2</t>
  </si>
  <si>
    <t>3rd instar</t>
  </si>
  <si>
    <t>scopus65_c</t>
  </si>
  <si>
    <t>scopus65_3</t>
  </si>
  <si>
    <t>scopus65_d</t>
  </si>
  <si>
    <t>scopus65_4</t>
  </si>
  <si>
    <t>5th instar</t>
  </si>
  <si>
    <t>scopus3664</t>
  </si>
  <si>
    <t>8 tanks, 2 larvae per tank</t>
  </si>
  <si>
    <t>Emulsified fenvalerate</t>
  </si>
  <si>
    <t>scopus3664_a</t>
  </si>
  <si>
    <t>scopus3664_1</t>
  </si>
  <si>
    <t>Melanotaenia fluviatilis</t>
  </si>
  <si>
    <t>crimson-spotted rainbow fish</t>
  </si>
  <si>
    <t>Murray river</t>
  </si>
  <si>
    <t xml:space="preserve">repeated experiment 4-5 times, calculated LC50 each time then reported average and a SE. This isn't the SE I want. Luckily reported 95% CI of each replicate. Selected the middle one (if 4 selected 2nd or replicate with a CI). </t>
  </si>
  <si>
    <t>Emulsified esfenvalerate</t>
  </si>
  <si>
    <t>scopus3664_b</t>
  </si>
  <si>
    <t>scopus3664_2</t>
  </si>
  <si>
    <t>scopus3713</t>
  </si>
  <si>
    <t>methyl parathion</t>
  </si>
  <si>
    <t>Penncap-M</t>
  </si>
  <si>
    <t>Dursban 10 CR</t>
  </si>
  <si>
    <t>Knox Out 2 FM</t>
  </si>
  <si>
    <t>moving average method</t>
  </si>
  <si>
    <t>scopus3713_a</t>
  </si>
  <si>
    <t>scopus3713_b</t>
  </si>
  <si>
    <t>scopus3713_c</t>
  </si>
  <si>
    <t>scopus3713_d</t>
  </si>
  <si>
    <t>scopus3713_e</t>
  </si>
  <si>
    <t>scopus3713_1</t>
  </si>
  <si>
    <t>scopus3713_2</t>
  </si>
  <si>
    <t>scopus3713_3</t>
  </si>
  <si>
    <t>scopus3713_4</t>
  </si>
  <si>
    <t>scopus3713_5</t>
  </si>
  <si>
    <t>Environmental Research Laboratory-Duluth Fish Culture Unit</t>
  </si>
  <si>
    <t>water age changed. 5 weeks old. Static. Renewal values were ignored as both were available.</t>
  </si>
  <si>
    <t>water age changed. 10 weeks old. Static.  Renewal values were ignored as both were available.</t>
  </si>
  <si>
    <t>water age changed. 10 weeks old. Static. Renewal values were ignored as both were available.</t>
  </si>
  <si>
    <t>water age changed. 1 week old. Static. Renewal values were ignored as both were available.</t>
  </si>
  <si>
    <t>water age changed. 11 weeks old. Static. Renewal values were ignored as both were available.</t>
  </si>
  <si>
    <t>2 replicates, 15 individuals each</t>
  </si>
  <si>
    <t>scopus3713_f</t>
  </si>
  <si>
    <t>scopus3713_6</t>
  </si>
  <si>
    <t>chlorpyrifos chronic was excluded as no effect for either and very narrow concentration range tested. Calculated LC50 and SE myself for chronic data.</t>
  </si>
  <si>
    <t>&gt;0.490</t>
  </si>
  <si>
    <t>scopus3713_g</t>
  </si>
  <si>
    <t>scopus3713_7</t>
  </si>
  <si>
    <t>scopus1069</t>
  </si>
  <si>
    <t>1 container, 10 individuals</t>
  </si>
  <si>
    <t>scopus1069_a</t>
  </si>
  <si>
    <t>scopus1069_1</t>
  </si>
  <si>
    <t>scopus1069_b</t>
  </si>
  <si>
    <t>scopus1069_c</t>
  </si>
  <si>
    <t>scopus1069_d</t>
  </si>
  <si>
    <t>scopus1069_e</t>
  </si>
  <si>
    <t>scopus1069_f</t>
  </si>
  <si>
    <t>scopus1069_g</t>
  </si>
  <si>
    <t>scopus1069_h</t>
  </si>
  <si>
    <t>scopus1069_i</t>
  </si>
  <si>
    <t>scopus1069_2</t>
  </si>
  <si>
    <t>scopus1069_3</t>
  </si>
  <si>
    <t>scopus1069_4</t>
  </si>
  <si>
    <t>scopus1069_5</t>
  </si>
  <si>
    <t>sample sizes extracted from Methods for acute toxicity tests with fish, macroinvertebrates and amphibians.1975, which was followed for acute toxicity tests.</t>
  </si>
  <si>
    <t>nagyrefs30</t>
  </si>
  <si>
    <t>resmethrin</t>
  </si>
  <si>
    <t>&gt;2</t>
  </si>
  <si>
    <t>Scourge</t>
  </si>
  <si>
    <t>scopus1069_j</t>
  </si>
  <si>
    <t>scopus1069_k</t>
  </si>
  <si>
    <t>scopus1069_l</t>
  </si>
  <si>
    <t>scopus1069_m</t>
  </si>
  <si>
    <t>scopus1069_n</t>
  </si>
  <si>
    <t>scopus1069_o</t>
  </si>
  <si>
    <t>scopus1069_p</t>
  </si>
  <si>
    <t>scopus1069_q</t>
  </si>
  <si>
    <t>scopus1069_6</t>
  </si>
  <si>
    <t>scopus1069_7</t>
  </si>
  <si>
    <t>scopus1069_8</t>
  </si>
  <si>
    <t>scopus1069_9</t>
  </si>
  <si>
    <t>nagyrefs30_a</t>
  </si>
  <si>
    <t>nagyrefs30_1</t>
  </si>
  <si>
    <t>nagyrefs30_b</t>
  </si>
  <si>
    <t>nagyrefs30_c</t>
  </si>
  <si>
    <t>nagyrefs30_d</t>
  </si>
  <si>
    <t>nagyrefs30_e</t>
  </si>
  <si>
    <t>nagyrefs30_f</t>
  </si>
  <si>
    <t>nagyrefs30_2</t>
  </si>
  <si>
    <t>nagyrefs30_3</t>
  </si>
  <si>
    <t>nagyrefs30_4</t>
  </si>
  <si>
    <t>Palaemonetes pugio</t>
  </si>
  <si>
    <t>North Edisto River</t>
  </si>
  <si>
    <t>butachlor</t>
  </si>
  <si>
    <t>Machete 50% EC</t>
  </si>
  <si>
    <t>wos85</t>
  </si>
  <si>
    <t>wos85_1</t>
  </si>
  <si>
    <t>wos85_b</t>
  </si>
  <si>
    <t>wos85_a</t>
  </si>
  <si>
    <t>Krishna River</t>
  </si>
  <si>
    <t>reported the CIs oddly. I think they reported the arm lengths. Also, they reported ppb not ppb ai so had to adjust formulation values (I think! Was unclear).</t>
  </si>
  <si>
    <t>imazethapyr</t>
  </si>
  <si>
    <t>wos103</t>
  </si>
  <si>
    <t>4 runs of 3 replicates</t>
  </si>
  <si>
    <t>Verosil</t>
  </si>
  <si>
    <t>wos103_a</t>
  </si>
  <si>
    <t>wos103_1</t>
  </si>
  <si>
    <t>Scenedesmus vacuolatus</t>
  </si>
  <si>
    <t>BAFC CA4</t>
  </si>
  <si>
    <t>coxref2</t>
  </si>
  <si>
    <t>Ectomort Centenary</t>
  </si>
  <si>
    <t>coxref2_a</t>
  </si>
  <si>
    <t xml:space="preserve">extremely similar to wos1413 and from same authors. Formulation has a different value though. </t>
  </si>
  <si>
    <t>wos43</t>
  </si>
  <si>
    <t>wos43_a</t>
  </si>
  <si>
    <t>coxref2_1</t>
  </si>
  <si>
    <t>wos43_1</t>
  </si>
  <si>
    <t>Lumbriculus variegatus</t>
  </si>
  <si>
    <t>PM-Aquaristik, Berlin</t>
  </si>
  <si>
    <t>wos248</t>
  </si>
  <si>
    <t>logistic regression</t>
  </si>
  <si>
    <t>wos248_a</t>
  </si>
  <si>
    <t>wos248_1</t>
  </si>
  <si>
    <t>wos248_b</t>
  </si>
  <si>
    <t>wos248_2</t>
  </si>
  <si>
    <t>scopus144</t>
  </si>
  <si>
    <t>scopus144_a</t>
  </si>
  <si>
    <t>scopus144_1</t>
  </si>
  <si>
    <t>scopus144_b</t>
  </si>
  <si>
    <t>scopus144_2</t>
  </si>
  <si>
    <t>scopus144_c</t>
  </si>
  <si>
    <t>scopus144_3</t>
  </si>
  <si>
    <t>&gt;1200</t>
  </si>
  <si>
    <t>scopus144_d</t>
  </si>
  <si>
    <t>scopus144_4</t>
  </si>
  <si>
    <t>FORMULATION_TYPE</t>
  </si>
  <si>
    <t>FORMULATION_EXPRESSED_IN_AI_CONC</t>
  </si>
  <si>
    <t>soluble concentrate</t>
  </si>
  <si>
    <t>liquid formulation</t>
  </si>
  <si>
    <t>Emulsifiable concentrate</t>
  </si>
  <si>
    <t>pump spray</t>
  </si>
  <si>
    <t>wettable powder</t>
  </si>
  <si>
    <t>UNSURE</t>
  </si>
  <si>
    <t>suspension concentrate</t>
  </si>
  <si>
    <t>Water-dispersible granules</t>
  </si>
  <si>
    <t>nanoparticles</t>
  </si>
  <si>
    <t>FORMULATION_VALUE_ADJUSTED</t>
  </si>
  <si>
    <t>Me‐Too‐Lachlor II</t>
  </si>
  <si>
    <t>ready to use</t>
  </si>
  <si>
    <t>granules</t>
  </si>
  <si>
    <t>Roundup Star</t>
  </si>
  <si>
    <t>Ultra-low-volume (ULV) liquids</t>
  </si>
  <si>
    <t>Roundup Full II</t>
  </si>
  <si>
    <t>oil dispersion</t>
  </si>
  <si>
    <t>spray</t>
  </si>
  <si>
    <t>sheep dip</t>
  </si>
  <si>
    <t>Aqueous capsule suspensions</t>
  </si>
  <si>
    <t>Aqueous suspension concentrates</t>
  </si>
  <si>
    <t>dustable powder</t>
  </si>
  <si>
    <t>Formula 40</t>
  </si>
  <si>
    <t>Water-soluble powders</t>
  </si>
  <si>
    <t>Water-soluble granules</t>
  </si>
  <si>
    <t>Soluble concentrates</t>
  </si>
  <si>
    <t>&gt;118</t>
  </si>
  <si>
    <t>Pydrin 2.4 EC</t>
  </si>
  <si>
    <t>11 individuals, housed separately</t>
  </si>
  <si>
    <t>wos2_a</t>
  </si>
  <si>
    <t>wos2_1</t>
  </si>
  <si>
    <t>house mouse</t>
  </si>
  <si>
    <t>Swiss mice</t>
  </si>
  <si>
    <t>intraperitoneal</t>
  </si>
  <si>
    <t xml:space="preserve">72h values were extracted where possible. For permetrin 72h all concentrations &gt;50% lethality so a LD50 could not be calculated. </t>
  </si>
  <si>
    <t>&gt;2321</t>
  </si>
  <si>
    <t>Ambush</t>
  </si>
  <si>
    <t>9 individuals, housed separately</t>
  </si>
  <si>
    <t>wos2_c</t>
  </si>
  <si>
    <t>wos2_3</t>
  </si>
  <si>
    <t>wos2_b</t>
  </si>
  <si>
    <t>wos2_2</t>
  </si>
  <si>
    <t>there were only two doses for the ai. So the LD50 is simply the geometric mean of the two dose values. The model fitted is too complex and therefore overfitting. It does show that the one of the ai formulation is more toxic than the other though. Unsure whether to include.</t>
  </si>
  <si>
    <t>No sample size. Requested. Used USEPA, “Methods for Measuring the Acute Toxicity of Effluents and Receiving Waters to Freshwater and Marine Organisms”. In here it says 2*10. However, they didn’t explicitly state that they used this document for the the LD50 work. Assume they did but ask for clarification.  They replied. 5*10.</t>
  </si>
  <si>
    <t>No sample size. Requested. Used USEPA, “Methods for Measuring the Acute Toxicity of Effluents and Receiving Waters to Freshwater and Marine Organisms”. In here it says 2*10. However, they didn’t explicitly state that they used this document for the the LD50 work. Assume they did but ask for clarification. They replied. 5*10.</t>
  </si>
  <si>
    <t>3 tanks, 5 individuals per tank</t>
  </si>
  <si>
    <t xml:space="preserve">sample size was unclear. For the 96h LC50 values all I says was fish were housed in groups of 5. For the 7day work they said 3x5 though. I assumed they used this for the 96h LC50 experiment as well. </t>
  </si>
  <si>
    <t>duplicate x 2 occasions</t>
  </si>
  <si>
    <t>used M so could compare between either AI and formulation or AI mixture and formulation. Could not extract some effect sizes because mixture of AIs included an additive too. Pyrethrum effect sizes could not be extracted because household product M values is sum of pyrethrum and PBO. Have to read reference cited on blt-screen method to realise that there is a duplicate on the plate (figure 1 of A sensitive and high throughput bacterial luminescence assay for assessing aquatic toxicity – the BLT-Screen). Then in the method text it says the assay was repeated on two occasion. This appears to be 2x2 then.</t>
  </si>
  <si>
    <t>used M so could compare between either AI and formulation or AI mixture and formulation. Could not extract some effect sizes because mixture of AIs included an additive too. Have to read reference cited on blt-screen method to realise that there is a duplicate on the plate (figure 1 of A sensitive and high throughput bacterial luminescence assay for assessing aquatic toxicity – the BLT-Screen). Then in the method text it says the assay was repeated on two occasion. This appears to be 2x2 then.</t>
  </si>
  <si>
    <t>used M so could compare between either AI and formulation or AI mixture and formulation. Could not extract some effect sizes because mixture of AIs included an additive too. The sample size is hard to intepret. It states, "All samples were run independently two to three times". However, I that is referring to the plate level. Replicates on the plate are not mentioned but I imagine they existed. I think the most likely structure is 2x2. Input.</t>
  </si>
  <si>
    <t>Dursban 20% EC</t>
  </si>
  <si>
    <t>Koruma 25% WP</t>
  </si>
  <si>
    <t>Karate® with Zeon Technology</t>
  </si>
  <si>
    <t>Ortho Orthene® Fire Ant Killer</t>
  </si>
  <si>
    <t>Curator</t>
  </si>
  <si>
    <t>Confidor SL200</t>
  </si>
  <si>
    <t>Dustable powders</t>
  </si>
  <si>
    <t>Cnidaria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</si>
</sst>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color rgb="FF000000"/>
      <name val="Calibri"/>
      <family val="2"/>
      <scheme val="minor"/>
    </font>
    <font>
      <sz val="8"/>
      <name val="Calibri"/>
      <family val="2"/>
      <scheme val="minor"/>
    </font>
    <font>
      <sz val="12"/>
      <name val="Calibri (Body)"/>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00000"/>
        <bgColor indexed="64"/>
      </patternFill>
    </fill>
    <fill>
      <patternFill patternType="solid">
        <fgColor theme="5"/>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0">
    <xf numFmtId="0" fontId="0" fillId="0" borderId="0" xfId="0"/>
    <xf numFmtId="0" fontId="0" fillId="33" borderId="0" xfId="0" applyFill="1"/>
    <xf numFmtId="0" fontId="0" fillId="0" borderId="0" xfId="0" applyProtection="1">
      <protection locked="0"/>
    </xf>
    <xf numFmtId="0" fontId="18" fillId="0" borderId="0" xfId="0" applyFont="1"/>
    <xf numFmtId="0" fontId="20" fillId="0" borderId="0" xfId="0" applyFont="1"/>
    <xf numFmtId="0" fontId="0" fillId="0" borderId="0" xfId="0" applyAlignment="1">
      <alignment wrapText="1"/>
    </xf>
    <xf numFmtId="2" fontId="0" fillId="0" borderId="0" xfId="0" applyNumberFormat="1"/>
    <xf numFmtId="0" fontId="0" fillId="34" borderId="0" xfId="0" applyFill="1"/>
    <xf numFmtId="0" fontId="18" fillId="34" borderId="0" xfId="0" applyFont="1" applyFill="1"/>
    <xf numFmtId="0" fontId="0" fillId="34" borderId="0" xfId="0" applyFill="1" applyProtection="1">
      <protection locked="0"/>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ymercer/projects/meta-analysis/data_extraction/wos278/blastula_onwards/blastula_onwar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uymercer/projects/meta-analysis/data_extraction/wos278/24h_different_embryonic_stages/24h_different_life_stag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uymercer/projects/meta-analysis/data_extraction/wos278/S.25_onwards/S.25_onwar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E2">
            <v>9.56989247311828</v>
          </cell>
          <cell r="F2">
            <v>11.2903225806451</v>
          </cell>
        </row>
        <row r="3">
          <cell r="E3">
            <v>9.2688172043010706</v>
          </cell>
          <cell r="F3">
            <v>10.967741935483801</v>
          </cell>
        </row>
        <row r="4">
          <cell r="E4">
            <v>8.43010752688172</v>
          </cell>
          <cell r="F4">
            <v>10.1505376344086</v>
          </cell>
        </row>
        <row r="5">
          <cell r="E5">
            <v>8.2795698924731091</v>
          </cell>
          <cell r="F5">
            <v>9.7634408602150504</v>
          </cell>
        </row>
        <row r="6">
          <cell r="E6">
            <v>7.8064516129032198</v>
          </cell>
          <cell r="F6">
            <v>9.0322580645161192</v>
          </cell>
        </row>
        <row r="7">
          <cell r="E7">
            <v>7.5053763440860202</v>
          </cell>
          <cell r="F7">
            <v>8.7096774193548292</v>
          </cell>
        </row>
        <row r="8">
          <cell r="E8">
            <v>7.0107526881720403</v>
          </cell>
          <cell r="F8">
            <v>8.3870967741935392</v>
          </cell>
        </row>
        <row r="9">
          <cell r="E9">
            <v>3.7849462365591302</v>
          </cell>
          <cell r="F9">
            <v>4.10752688172043</v>
          </cell>
        </row>
        <row r="10">
          <cell r="E10">
            <v>3.7849462365591302</v>
          </cell>
          <cell r="F10">
            <v>4.10752688172043</v>
          </cell>
        </row>
        <row r="11">
          <cell r="E11">
            <v>3.2903225806451601</v>
          </cell>
          <cell r="F11">
            <v>3.84946236559139</v>
          </cell>
        </row>
        <row r="12">
          <cell r="E12">
            <v>3.2473118279569801</v>
          </cell>
          <cell r="F12">
            <v>3.7204301075268802</v>
          </cell>
        </row>
        <row r="13">
          <cell r="E13">
            <v>2.7741935483870899</v>
          </cell>
          <cell r="F13">
            <v>3.2903225806451601</v>
          </cell>
        </row>
        <row r="14">
          <cell r="E14">
            <v>2.6666666666666599</v>
          </cell>
          <cell r="F14">
            <v>3.1397849462365501</v>
          </cell>
        </row>
        <row r="15">
          <cell r="E15">
            <v>2.6666666666666599</v>
          </cell>
          <cell r="F15">
            <v>3.0967741935483799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E3">
            <v>13.3282442748091</v>
          </cell>
          <cell r="F3">
            <v>15.526717557251899</v>
          </cell>
        </row>
        <row r="4">
          <cell r="E4">
            <v>14.1526717557251</v>
          </cell>
          <cell r="F4">
            <v>14.9770992366412</v>
          </cell>
        </row>
        <row r="5">
          <cell r="E5">
            <v>12.8473282442748</v>
          </cell>
          <cell r="F5">
            <v>13.465648854961801</v>
          </cell>
        </row>
        <row r="6">
          <cell r="E6">
            <v>13.3282442748091</v>
          </cell>
          <cell r="F6">
            <v>15.458015267175499</v>
          </cell>
        </row>
        <row r="7">
          <cell r="E7">
            <v>13.7404580152671</v>
          </cell>
          <cell r="F7">
            <v>14.496183206106799</v>
          </cell>
        </row>
        <row r="8">
          <cell r="E8">
            <v>13.1221374045801</v>
          </cell>
          <cell r="F8">
            <v>13.671755725190801</v>
          </cell>
        </row>
        <row r="11">
          <cell r="E11">
            <v>4.5343511450381602</v>
          </cell>
          <cell r="F11">
            <v>5.7022900763358697</v>
          </cell>
        </row>
        <row r="12">
          <cell r="E12">
            <v>4.4656488549618301</v>
          </cell>
          <cell r="F12">
            <v>6.3206106870229002</v>
          </cell>
        </row>
        <row r="13">
          <cell r="E13">
            <v>1.9923664122137399</v>
          </cell>
          <cell r="F13">
            <v>2.33587786259542</v>
          </cell>
        </row>
        <row r="14">
          <cell r="E14">
            <v>2.8854961832060999</v>
          </cell>
          <cell r="F14">
            <v>3.4351145038167901</v>
          </cell>
        </row>
        <row r="15">
          <cell r="E15">
            <v>1.2366412213740401</v>
          </cell>
          <cell r="F15">
            <v>1.7175572519083899</v>
          </cell>
        </row>
        <row r="16">
          <cell r="E16">
            <v>2.1984732824427402</v>
          </cell>
          <cell r="F16">
            <v>2.4732824427480899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E2">
            <v>15.7158351409978</v>
          </cell>
          <cell r="F2">
            <v>16.167028199566101</v>
          </cell>
        </row>
        <row r="3">
          <cell r="E3">
            <v>13.459869848156099</v>
          </cell>
          <cell r="F3">
            <v>14.1193058568329</v>
          </cell>
        </row>
        <row r="4">
          <cell r="E4">
            <v>13.182212581344899</v>
          </cell>
          <cell r="F4">
            <v>13.7722342733188</v>
          </cell>
        </row>
        <row r="5">
          <cell r="E5">
            <v>12.939262472885</v>
          </cell>
          <cell r="F5">
            <v>13.876355748373101</v>
          </cell>
        </row>
        <row r="6">
          <cell r="E6">
            <v>12.8004338394793</v>
          </cell>
          <cell r="F6">
            <v>13.737527114967399</v>
          </cell>
        </row>
        <row r="7">
          <cell r="E7">
            <v>12.8004338394793</v>
          </cell>
          <cell r="F7">
            <v>13.737527114967399</v>
          </cell>
        </row>
        <row r="8">
          <cell r="E8">
            <v>12.8004338394793</v>
          </cell>
          <cell r="F8">
            <v>13.737527114967399</v>
          </cell>
        </row>
        <row r="9">
          <cell r="E9">
            <v>3.4642082429501002</v>
          </cell>
          <cell r="F9">
            <v>4.2624728850325297</v>
          </cell>
        </row>
        <row r="10">
          <cell r="E10">
            <v>2.9783080260303598</v>
          </cell>
          <cell r="F10">
            <v>3.8806941431670201</v>
          </cell>
        </row>
        <row r="11">
          <cell r="E11">
            <v>2.66594360086768</v>
          </cell>
          <cell r="F11">
            <v>3.42950108459869</v>
          </cell>
        </row>
        <row r="12">
          <cell r="E12">
            <v>2.66594360086768</v>
          </cell>
          <cell r="F12">
            <v>3.4642082429501002</v>
          </cell>
        </row>
        <row r="13">
          <cell r="E13">
            <v>2.66594360086768</v>
          </cell>
          <cell r="F13">
            <v>3.4642082429501002</v>
          </cell>
        </row>
        <row r="14">
          <cell r="E14">
            <v>2.66594360086768</v>
          </cell>
          <cell r="F14">
            <v>3.4642082429501002</v>
          </cell>
        </row>
        <row r="15">
          <cell r="E15">
            <v>2.2494577006507499</v>
          </cell>
          <cell r="F15">
            <v>2.90889370932755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67"/>
  <sheetViews>
    <sheetView tabSelected="1" topLeftCell="V1" zoomScale="88" zoomScaleNormal="100" workbookViewId="0">
      <pane ySplit="1" topLeftCell="A243" activePane="bottomLeft" state="frozen"/>
      <selection pane="bottomLeft" activeCell="AB247" sqref="AB247:AB249"/>
    </sheetView>
  </sheetViews>
  <sheetFormatPr baseColWidth="10" defaultRowHeight="16" x14ac:dyDescent="0.2"/>
  <cols>
    <col min="1" max="1" width="8.33203125" bestFit="1" customWidth="1"/>
    <col min="2" max="2" width="10.6640625" bestFit="1" customWidth="1"/>
    <col min="3" max="3" width="26.83203125" bestFit="1" customWidth="1"/>
    <col min="4" max="4" width="12.1640625" bestFit="1" customWidth="1"/>
    <col min="6" max="6" width="17" bestFit="1" customWidth="1"/>
    <col min="7" max="7" width="17.1640625" bestFit="1" customWidth="1"/>
    <col min="8" max="8" width="14.6640625" bestFit="1" customWidth="1"/>
    <col min="9" max="9" width="16" bestFit="1" customWidth="1"/>
    <col min="10" max="10" width="32.5" bestFit="1" customWidth="1"/>
    <col min="11" max="11" width="54.5" bestFit="1" customWidth="1"/>
    <col min="12" max="12" width="39" bestFit="1" customWidth="1"/>
    <col min="13" max="13" width="12.1640625" bestFit="1" customWidth="1"/>
    <col min="14" max="14" width="14.33203125" bestFit="1" customWidth="1"/>
    <col min="15" max="15" width="20.5" bestFit="1" customWidth="1"/>
    <col min="16" max="16" width="20.6640625" bestFit="1" customWidth="1"/>
    <col min="17" max="17" width="18.33203125" bestFit="1" customWidth="1"/>
    <col min="18" max="18" width="19.6640625" bestFit="1" customWidth="1"/>
    <col min="19" max="19" width="36" bestFit="1" customWidth="1"/>
    <col min="20" max="20" width="54.5" bestFit="1" customWidth="1"/>
    <col min="21" max="21" width="35" bestFit="1" customWidth="1"/>
    <col min="22" max="22" width="18.6640625" bestFit="1" customWidth="1"/>
    <col min="23" max="23" width="24" bestFit="1" customWidth="1"/>
    <col min="24" max="24" width="24.5" bestFit="1" customWidth="1"/>
    <col min="25" max="25" width="25.5" bestFit="1" customWidth="1"/>
    <col min="26" max="26" width="77" bestFit="1" customWidth="1"/>
    <col min="27" max="27" width="20" bestFit="1" customWidth="1"/>
    <col min="28" max="28" width="15.6640625" bestFit="1" customWidth="1"/>
    <col min="29" max="29" width="17.1640625" bestFit="1" customWidth="1"/>
    <col min="30" max="30" width="16.83203125" bestFit="1" customWidth="1"/>
    <col min="31" max="31" width="11.6640625" bestFit="1" customWidth="1"/>
    <col min="32" max="32" width="27.5" bestFit="1" customWidth="1"/>
    <col min="33" max="33" width="18.6640625" bestFit="1" customWidth="1"/>
    <col min="34" max="34" width="20.1640625" bestFit="1" customWidth="1"/>
    <col min="35" max="35" width="13.33203125" bestFit="1" customWidth="1"/>
    <col min="36" max="36" width="17" bestFit="1" customWidth="1"/>
    <col min="37" max="37" width="23.83203125" bestFit="1" customWidth="1"/>
    <col min="38" max="38" width="16.33203125" bestFit="1" customWidth="1"/>
    <col min="39" max="39" width="10.33203125" bestFit="1" customWidth="1"/>
    <col min="40" max="40" width="14.6640625" bestFit="1" customWidth="1"/>
    <col min="41" max="41" width="27.6640625" bestFit="1" customWidth="1"/>
    <col min="42" max="42" width="48.83203125" bestFit="1" customWidth="1"/>
    <col min="43" max="43" width="30.6640625" bestFit="1" customWidth="1"/>
    <col min="44" max="44" width="24.83203125" bestFit="1" customWidth="1"/>
    <col min="45" max="45" width="29.1640625" bestFit="1" customWidth="1"/>
    <col min="46" max="46" width="36" bestFit="1" customWidth="1"/>
    <col min="47" max="47" width="36" customWidth="1"/>
    <col min="48" max="48" width="15.6640625" bestFit="1" customWidth="1"/>
    <col min="49" max="49" width="255.83203125" bestFit="1" customWidth="1"/>
  </cols>
  <sheetData>
    <row r="1" spans="1:49" x14ac:dyDescent="0.2">
      <c r="A1" t="s">
        <v>1</v>
      </c>
      <c r="B1" t="s">
        <v>0</v>
      </c>
      <c r="C1" t="s">
        <v>3</v>
      </c>
      <c r="D1" t="s">
        <v>4</v>
      </c>
      <c r="E1" t="s">
        <v>5</v>
      </c>
      <c r="F1" t="s">
        <v>7</v>
      </c>
      <c r="G1" t="s">
        <v>8</v>
      </c>
      <c r="H1" t="s">
        <v>6</v>
      </c>
      <c r="I1" t="s">
        <v>382</v>
      </c>
      <c r="J1" t="s">
        <v>383</v>
      </c>
      <c r="K1" t="s">
        <v>9</v>
      </c>
      <c r="L1" t="s">
        <v>10</v>
      </c>
      <c r="M1" t="s">
        <v>11</v>
      </c>
      <c r="N1" t="s">
        <v>12</v>
      </c>
      <c r="O1" t="s">
        <v>13</v>
      </c>
      <c r="P1" t="s">
        <v>14</v>
      </c>
      <c r="Q1" t="s">
        <v>15</v>
      </c>
      <c r="R1" t="s">
        <v>384</v>
      </c>
      <c r="S1" t="s">
        <v>385</v>
      </c>
      <c r="T1" t="s">
        <v>16</v>
      </c>
      <c r="U1" t="s">
        <v>155</v>
      </c>
      <c r="V1" t="s">
        <v>101</v>
      </c>
      <c r="W1" t="s">
        <v>102</v>
      </c>
      <c r="X1" t="s">
        <v>31</v>
      </c>
      <c r="Y1" t="s">
        <v>17</v>
      </c>
      <c r="Z1" t="s">
        <v>484</v>
      </c>
      <c r="AA1" t="s">
        <v>18</v>
      </c>
      <c r="AB1" t="s">
        <v>19</v>
      </c>
      <c r="AC1" t="s">
        <v>20</v>
      </c>
      <c r="AD1" t="s">
        <v>21</v>
      </c>
      <c r="AE1" t="s">
        <v>22</v>
      </c>
      <c r="AF1" t="s">
        <v>23</v>
      </c>
      <c r="AG1" t="s">
        <v>24</v>
      </c>
      <c r="AH1" t="s">
        <v>25</v>
      </c>
      <c r="AI1" t="s">
        <v>26</v>
      </c>
      <c r="AJ1" t="s">
        <v>27</v>
      </c>
      <c r="AK1" t="s">
        <v>28</v>
      </c>
      <c r="AL1" t="s">
        <v>62</v>
      </c>
      <c r="AM1" t="s">
        <v>29</v>
      </c>
      <c r="AN1" t="s">
        <v>30</v>
      </c>
      <c r="AO1" t="s">
        <v>49</v>
      </c>
      <c r="AP1" t="s">
        <v>153</v>
      </c>
      <c r="AQ1" t="s">
        <v>223</v>
      </c>
      <c r="AR1" t="s">
        <v>64</v>
      </c>
      <c r="AS1" t="s">
        <v>1627</v>
      </c>
      <c r="AT1" t="s">
        <v>1628</v>
      </c>
      <c r="AU1" t="s">
        <v>1638</v>
      </c>
      <c r="AV1" t="s">
        <v>2</v>
      </c>
      <c r="AW1" t="s">
        <v>81</v>
      </c>
    </row>
    <row r="2" spans="1:49" x14ac:dyDescent="0.2">
      <c r="A2">
        <v>1</v>
      </c>
      <c r="B2" t="s">
        <v>32</v>
      </c>
      <c r="C2" t="s">
        <v>33</v>
      </c>
      <c r="D2">
        <v>4.1181359999999998</v>
      </c>
      <c r="E2" t="s">
        <v>42</v>
      </c>
      <c r="F2">
        <v>7.1066000000000004E-2</v>
      </c>
      <c r="G2">
        <v>7.1066000000000004E-2</v>
      </c>
      <c r="H2" t="s">
        <v>43</v>
      </c>
      <c r="I2">
        <v>8</v>
      </c>
      <c r="J2">
        <v>60</v>
      </c>
      <c r="K2" t="s">
        <v>44</v>
      </c>
      <c r="L2" t="s">
        <v>41</v>
      </c>
      <c r="M2">
        <v>7.1875400000000003</v>
      </c>
      <c r="N2" t="s">
        <v>42</v>
      </c>
      <c r="O2">
        <v>0.50988</v>
      </c>
      <c r="P2">
        <v>0.50988</v>
      </c>
      <c r="Q2" t="s">
        <v>43</v>
      </c>
      <c r="R2">
        <v>8</v>
      </c>
      <c r="S2">
        <v>60</v>
      </c>
      <c r="T2" t="s">
        <v>44</v>
      </c>
      <c r="U2" t="s">
        <v>158</v>
      </c>
      <c r="V2" t="s">
        <v>123</v>
      </c>
      <c r="W2" t="s">
        <v>103</v>
      </c>
      <c r="X2" t="s">
        <v>34</v>
      </c>
      <c r="Y2" t="s">
        <v>35</v>
      </c>
      <c r="Z2" t="s">
        <v>481</v>
      </c>
      <c r="AA2" t="s">
        <v>36</v>
      </c>
      <c r="AB2" t="s">
        <v>37</v>
      </c>
      <c r="AC2" t="s">
        <v>38</v>
      </c>
      <c r="AD2" t="s">
        <v>39</v>
      </c>
      <c r="AE2" t="s">
        <v>45</v>
      </c>
      <c r="AF2">
        <v>504</v>
      </c>
      <c r="AG2" t="s">
        <v>40</v>
      </c>
      <c r="AH2" t="s">
        <v>50</v>
      </c>
      <c r="AI2" t="s">
        <v>46</v>
      </c>
      <c r="AJ2" t="s">
        <v>47</v>
      </c>
      <c r="AK2" t="s">
        <v>48</v>
      </c>
      <c r="AL2">
        <v>28</v>
      </c>
      <c r="AM2">
        <v>7.1</v>
      </c>
      <c r="AN2" t="s">
        <v>46</v>
      </c>
      <c r="AO2">
        <v>4</v>
      </c>
      <c r="AP2" t="s">
        <v>50</v>
      </c>
      <c r="AQ2" t="s">
        <v>46</v>
      </c>
      <c r="AR2" t="s">
        <v>50</v>
      </c>
      <c r="AS2" t="s">
        <v>1630</v>
      </c>
      <c r="AT2" t="s">
        <v>63</v>
      </c>
      <c r="AU2" t="s">
        <v>46</v>
      </c>
      <c r="AV2">
        <v>2019</v>
      </c>
      <c r="AW2" t="s">
        <v>46</v>
      </c>
    </row>
    <row r="3" spans="1:49" s="2" customFormat="1" x14ac:dyDescent="0.2">
      <c r="A3">
        <v>2</v>
      </c>
      <c r="B3" s="3" t="s">
        <v>53</v>
      </c>
      <c r="C3" t="s">
        <v>713</v>
      </c>
      <c r="D3" t="s">
        <v>1655</v>
      </c>
      <c r="E3" t="s">
        <v>162</v>
      </c>
      <c r="F3" t="s">
        <v>46</v>
      </c>
      <c r="G3" t="s">
        <v>46</v>
      </c>
      <c r="H3" t="s">
        <v>46</v>
      </c>
      <c r="I3">
        <v>11</v>
      </c>
      <c r="J3">
        <v>1</v>
      </c>
      <c r="K3" t="s">
        <v>972</v>
      </c>
      <c r="L3" t="s">
        <v>1656</v>
      </c>
      <c r="M3">
        <v>62</v>
      </c>
      <c r="N3" t="s">
        <v>162</v>
      </c>
      <c r="O3">
        <f>M3-57</f>
        <v>5</v>
      </c>
      <c r="P3">
        <f>67-M3</f>
        <v>5</v>
      </c>
      <c r="Q3" t="s">
        <v>69</v>
      </c>
      <c r="R3">
        <v>11</v>
      </c>
      <c r="S3">
        <v>1</v>
      </c>
      <c r="T3" t="s">
        <v>1657</v>
      </c>
      <c r="U3" t="s">
        <v>156</v>
      </c>
      <c r="V3" s="3" t="s">
        <v>1658</v>
      </c>
      <c r="W3" s="3" t="s">
        <v>1659</v>
      </c>
      <c r="X3" t="s">
        <v>978</v>
      </c>
      <c r="Y3" t="s">
        <v>1660</v>
      </c>
      <c r="Z3" t="s">
        <v>1661</v>
      </c>
      <c r="AA3" t="s">
        <v>168</v>
      </c>
      <c r="AB3" t="s">
        <v>37</v>
      </c>
      <c r="AC3" t="s">
        <v>38</v>
      </c>
      <c r="AD3" t="s">
        <v>169</v>
      </c>
      <c r="AE3" t="s">
        <v>75</v>
      </c>
      <c r="AF3">
        <v>72</v>
      </c>
      <c r="AG3" t="s">
        <v>77</v>
      </c>
      <c r="AH3" t="s">
        <v>50</v>
      </c>
      <c r="AI3" t="s">
        <v>170</v>
      </c>
      <c r="AJ3" t="s">
        <v>1662</v>
      </c>
      <c r="AK3" t="s">
        <v>61</v>
      </c>
      <c r="AL3">
        <v>21</v>
      </c>
      <c r="AM3" t="s">
        <v>46</v>
      </c>
      <c r="AN3" t="s">
        <v>152</v>
      </c>
      <c r="AO3" t="s">
        <v>46</v>
      </c>
      <c r="AP3" t="s">
        <v>50</v>
      </c>
      <c r="AQ3" t="s">
        <v>46</v>
      </c>
      <c r="AR3" t="s">
        <v>63</v>
      </c>
      <c r="AS3" t="s">
        <v>1631</v>
      </c>
      <c r="AT3" s="3" t="s">
        <v>63</v>
      </c>
      <c r="AU3" s="3" t="s">
        <v>46</v>
      </c>
      <c r="AV3">
        <v>1989</v>
      </c>
      <c r="AW3" t="s">
        <v>1663</v>
      </c>
    </row>
    <row r="4" spans="1:49" s="9" customFormat="1" x14ac:dyDescent="0.2">
      <c r="A4" s="7">
        <v>3</v>
      </c>
      <c r="B4" s="8" t="s">
        <v>53</v>
      </c>
      <c r="C4" s="7" t="s">
        <v>713</v>
      </c>
      <c r="D4" s="7">
        <v>163.56</v>
      </c>
      <c r="E4" s="7" t="s">
        <v>162</v>
      </c>
      <c r="F4" s="7">
        <v>13.076000000000001</v>
      </c>
      <c r="G4" s="7">
        <v>13.076000000000001</v>
      </c>
      <c r="H4" s="7" t="s">
        <v>43</v>
      </c>
      <c r="I4" s="7">
        <v>11</v>
      </c>
      <c r="J4" s="7">
        <v>1</v>
      </c>
      <c r="K4" s="7" t="s">
        <v>972</v>
      </c>
      <c r="L4" t="s">
        <v>1656</v>
      </c>
      <c r="M4" s="7">
        <v>72</v>
      </c>
      <c r="N4" s="7" t="s">
        <v>162</v>
      </c>
      <c r="O4" s="7">
        <f>M4-61</f>
        <v>11</v>
      </c>
      <c r="P4" s="7">
        <f>82-M4</f>
        <v>10</v>
      </c>
      <c r="Q4" s="7" t="s">
        <v>69</v>
      </c>
      <c r="R4" s="7">
        <v>11</v>
      </c>
      <c r="S4" s="7">
        <v>1</v>
      </c>
      <c r="T4" s="7" t="s">
        <v>1657</v>
      </c>
      <c r="U4" s="7" t="s">
        <v>156</v>
      </c>
      <c r="V4" s="8" t="s">
        <v>1669</v>
      </c>
      <c r="W4" s="8" t="s">
        <v>1670</v>
      </c>
      <c r="X4" s="7" t="s">
        <v>978</v>
      </c>
      <c r="Y4" s="7" t="s">
        <v>1660</v>
      </c>
      <c r="Z4" s="7" t="s">
        <v>1661</v>
      </c>
      <c r="AA4" s="7" t="s">
        <v>168</v>
      </c>
      <c r="AB4" s="7" t="s">
        <v>37</v>
      </c>
      <c r="AC4" s="7" t="s">
        <v>38</v>
      </c>
      <c r="AD4" s="7" t="s">
        <v>169</v>
      </c>
      <c r="AE4" s="7" t="s">
        <v>75</v>
      </c>
      <c r="AF4" s="7">
        <v>72</v>
      </c>
      <c r="AG4" s="7" t="s">
        <v>77</v>
      </c>
      <c r="AH4" s="7" t="s">
        <v>50</v>
      </c>
      <c r="AI4" s="7" t="s">
        <v>170</v>
      </c>
      <c r="AJ4" s="7" t="s">
        <v>171</v>
      </c>
      <c r="AK4" s="7" t="s">
        <v>61</v>
      </c>
      <c r="AL4" s="7">
        <v>21</v>
      </c>
      <c r="AM4" s="7" t="s">
        <v>46</v>
      </c>
      <c r="AN4" s="7" t="s">
        <v>152</v>
      </c>
      <c r="AO4" s="7" t="s">
        <v>46</v>
      </c>
      <c r="AP4" s="7" t="s">
        <v>50</v>
      </c>
      <c r="AQ4" s="7" t="s">
        <v>46</v>
      </c>
      <c r="AR4" s="7" t="s">
        <v>50</v>
      </c>
      <c r="AS4" t="s">
        <v>1631</v>
      </c>
      <c r="AT4" s="8" t="s">
        <v>63</v>
      </c>
      <c r="AU4" s="8" t="s">
        <v>46</v>
      </c>
      <c r="AV4" s="7">
        <v>1989</v>
      </c>
      <c r="AW4" s="7" t="s">
        <v>1671</v>
      </c>
    </row>
    <row r="5" spans="1:49" s="2" customFormat="1" x14ac:dyDescent="0.2">
      <c r="A5">
        <v>4</v>
      </c>
      <c r="B5" s="3" t="s">
        <v>53</v>
      </c>
      <c r="C5" t="s">
        <v>120</v>
      </c>
      <c r="D5" t="s">
        <v>1664</v>
      </c>
      <c r="E5" t="s">
        <v>162</v>
      </c>
      <c r="F5" t="s">
        <v>46</v>
      </c>
      <c r="G5" t="s">
        <v>46</v>
      </c>
      <c r="H5" t="s">
        <v>46</v>
      </c>
      <c r="I5">
        <v>11</v>
      </c>
      <c r="J5">
        <v>1</v>
      </c>
      <c r="K5" t="s">
        <v>972</v>
      </c>
      <c r="L5" t="s">
        <v>1665</v>
      </c>
      <c r="M5">
        <v>429</v>
      </c>
      <c r="N5" t="s">
        <v>162</v>
      </c>
      <c r="O5">
        <f>M5-381</f>
        <v>48</v>
      </c>
      <c r="P5">
        <f>594-M5</f>
        <v>165</v>
      </c>
      <c r="Q5" t="s">
        <v>69</v>
      </c>
      <c r="R5">
        <v>9</v>
      </c>
      <c r="S5">
        <v>1</v>
      </c>
      <c r="T5" t="s">
        <v>1666</v>
      </c>
      <c r="U5" t="s">
        <v>156</v>
      </c>
      <c r="V5" s="3" t="s">
        <v>1667</v>
      </c>
      <c r="W5" s="3" t="s">
        <v>1668</v>
      </c>
      <c r="X5" t="s">
        <v>978</v>
      </c>
      <c r="Y5" t="s">
        <v>1660</v>
      </c>
      <c r="Z5" t="s">
        <v>1661</v>
      </c>
      <c r="AA5" t="s">
        <v>168</v>
      </c>
      <c r="AB5" t="s">
        <v>37</v>
      </c>
      <c r="AC5" t="s">
        <v>38</v>
      </c>
      <c r="AD5" t="s">
        <v>169</v>
      </c>
      <c r="AE5" t="s">
        <v>75</v>
      </c>
      <c r="AF5">
        <v>72</v>
      </c>
      <c r="AG5" t="s">
        <v>77</v>
      </c>
      <c r="AH5" t="s">
        <v>50</v>
      </c>
      <c r="AI5" t="s">
        <v>170</v>
      </c>
      <c r="AJ5" t="s">
        <v>1662</v>
      </c>
      <c r="AK5" t="s">
        <v>61</v>
      </c>
      <c r="AL5">
        <v>21</v>
      </c>
      <c r="AM5" t="s">
        <v>46</v>
      </c>
      <c r="AN5" t="s">
        <v>152</v>
      </c>
      <c r="AO5" t="s">
        <v>46</v>
      </c>
      <c r="AP5" t="s">
        <v>50</v>
      </c>
      <c r="AQ5" t="s">
        <v>46</v>
      </c>
      <c r="AR5" t="s">
        <v>63</v>
      </c>
      <c r="AS5" t="s">
        <v>1631</v>
      </c>
      <c r="AT5" s="3" t="s">
        <v>63</v>
      </c>
      <c r="AU5" s="3" t="s">
        <v>46</v>
      </c>
      <c r="AV5">
        <v>1989</v>
      </c>
      <c r="AW5" t="s">
        <v>1663</v>
      </c>
    </row>
    <row r="6" spans="1:49" x14ac:dyDescent="0.2">
      <c r="A6">
        <v>5</v>
      </c>
      <c r="B6" t="s">
        <v>32</v>
      </c>
      <c r="C6" t="s">
        <v>33</v>
      </c>
      <c r="D6">
        <v>4.2770000000000001</v>
      </c>
      <c r="E6" t="s">
        <v>42</v>
      </c>
      <c r="F6">
        <v>0.14899999999999999</v>
      </c>
      <c r="G6">
        <v>0.14899999999999999</v>
      </c>
      <c r="H6" t="s">
        <v>43</v>
      </c>
      <c r="I6">
        <v>16</v>
      </c>
      <c r="J6">
        <v>60</v>
      </c>
      <c r="K6" t="s">
        <v>51</v>
      </c>
      <c r="L6" t="s">
        <v>41</v>
      </c>
      <c r="M6">
        <v>14.4147</v>
      </c>
      <c r="N6" t="s">
        <v>42</v>
      </c>
      <c r="O6">
        <v>0.22209999999999999</v>
      </c>
      <c r="P6">
        <v>0.22209999999999999</v>
      </c>
      <c r="Q6" t="s">
        <v>43</v>
      </c>
      <c r="R6">
        <v>12</v>
      </c>
      <c r="S6">
        <v>60</v>
      </c>
      <c r="T6" t="s">
        <v>52</v>
      </c>
      <c r="U6" t="s">
        <v>158</v>
      </c>
      <c r="V6" t="s">
        <v>124</v>
      </c>
      <c r="W6" t="s">
        <v>104</v>
      </c>
      <c r="X6" t="s">
        <v>34</v>
      </c>
      <c r="Y6" t="s">
        <v>35</v>
      </c>
      <c r="Z6" t="s">
        <v>481</v>
      </c>
      <c r="AA6" t="s">
        <v>36</v>
      </c>
      <c r="AB6" t="s">
        <v>37</v>
      </c>
      <c r="AC6" t="s">
        <v>38</v>
      </c>
      <c r="AD6" t="s">
        <v>39</v>
      </c>
      <c r="AE6" t="s">
        <v>45</v>
      </c>
      <c r="AF6">
        <v>144</v>
      </c>
      <c r="AG6" t="s">
        <v>40</v>
      </c>
      <c r="AH6" t="s">
        <v>50</v>
      </c>
      <c r="AI6" t="s">
        <v>46</v>
      </c>
      <c r="AJ6" t="s">
        <v>47</v>
      </c>
      <c r="AK6" t="s">
        <v>48</v>
      </c>
      <c r="AL6">
        <v>28</v>
      </c>
      <c r="AM6">
        <v>7.1</v>
      </c>
      <c r="AN6" t="s">
        <v>46</v>
      </c>
      <c r="AO6">
        <v>4</v>
      </c>
      <c r="AP6" t="s">
        <v>50</v>
      </c>
      <c r="AQ6" t="s">
        <v>46</v>
      </c>
      <c r="AR6" t="s">
        <v>50</v>
      </c>
      <c r="AS6" t="s">
        <v>1630</v>
      </c>
      <c r="AT6" t="s">
        <v>63</v>
      </c>
      <c r="AU6" t="s">
        <v>46</v>
      </c>
      <c r="AV6">
        <v>2019</v>
      </c>
      <c r="AW6" t="s">
        <v>46</v>
      </c>
    </row>
    <row r="7" spans="1:49" x14ac:dyDescent="0.2">
      <c r="A7">
        <v>6</v>
      </c>
      <c r="B7" t="s">
        <v>54</v>
      </c>
      <c r="C7" t="s">
        <v>55</v>
      </c>
      <c r="D7" t="s">
        <v>56</v>
      </c>
      <c r="E7" t="s">
        <v>42</v>
      </c>
      <c r="F7" t="s">
        <v>46</v>
      </c>
      <c r="G7" t="s">
        <v>46</v>
      </c>
      <c r="H7" t="s">
        <v>46</v>
      </c>
      <c r="I7">
        <v>3</v>
      </c>
      <c r="J7">
        <v>50</v>
      </c>
      <c r="K7" t="s">
        <v>57</v>
      </c>
      <c r="L7" t="s">
        <v>58</v>
      </c>
      <c r="M7">
        <v>24.78</v>
      </c>
      <c r="N7" t="s">
        <v>42</v>
      </c>
      <c r="O7">
        <f>M7-24.54</f>
        <v>0.24000000000000199</v>
      </c>
      <c r="P7">
        <f>25.04-M7</f>
        <v>0.25999999999999801</v>
      </c>
      <c r="Q7" t="s">
        <v>69</v>
      </c>
      <c r="R7">
        <v>3</v>
      </c>
      <c r="S7">
        <v>50</v>
      </c>
      <c r="T7" t="s">
        <v>57</v>
      </c>
      <c r="U7" t="s">
        <v>156</v>
      </c>
      <c r="V7" t="s">
        <v>125</v>
      </c>
      <c r="W7" t="s">
        <v>105</v>
      </c>
      <c r="X7" t="s">
        <v>59</v>
      </c>
      <c r="Y7" t="s">
        <v>83</v>
      </c>
      <c r="Z7" t="s">
        <v>483</v>
      </c>
      <c r="AA7" t="s">
        <v>60</v>
      </c>
      <c r="AB7" t="s">
        <v>37</v>
      </c>
      <c r="AC7" t="s">
        <v>38</v>
      </c>
      <c r="AD7" t="s">
        <v>39</v>
      </c>
      <c r="AE7" t="s">
        <v>45</v>
      </c>
      <c r="AF7">
        <v>96</v>
      </c>
      <c r="AG7" t="s">
        <v>40</v>
      </c>
      <c r="AH7" t="s">
        <v>50</v>
      </c>
      <c r="AI7" t="s">
        <v>46</v>
      </c>
      <c r="AJ7" t="s">
        <v>47</v>
      </c>
      <c r="AK7" t="s">
        <v>61</v>
      </c>
      <c r="AL7">
        <v>23</v>
      </c>
      <c r="AM7">
        <v>7</v>
      </c>
      <c r="AN7" t="s">
        <v>46</v>
      </c>
      <c r="AO7">
        <v>5</v>
      </c>
      <c r="AP7" t="s">
        <v>63</v>
      </c>
      <c r="AQ7" t="s">
        <v>46</v>
      </c>
      <c r="AR7" t="s">
        <v>63</v>
      </c>
      <c r="AS7" t="s">
        <v>1629</v>
      </c>
      <c r="AT7" t="s">
        <v>63</v>
      </c>
      <c r="AU7" s="3" t="s">
        <v>46</v>
      </c>
      <c r="AV7">
        <v>2018</v>
      </c>
      <c r="AW7" t="s">
        <v>46</v>
      </c>
    </row>
    <row r="8" spans="1:49" x14ac:dyDescent="0.2">
      <c r="A8">
        <v>7</v>
      </c>
      <c r="B8" t="s">
        <v>65</v>
      </c>
      <c r="C8" t="s">
        <v>66</v>
      </c>
      <c r="D8">
        <v>7436.4</v>
      </c>
      <c r="E8" t="s">
        <v>68</v>
      </c>
      <c r="F8">
        <f>D8-6738.8</f>
        <v>697.59999999999945</v>
      </c>
      <c r="G8">
        <f>8133.9-D8</f>
        <v>697.5</v>
      </c>
      <c r="H8" t="s">
        <v>69</v>
      </c>
      <c r="I8">
        <v>10</v>
      </c>
      <c r="J8">
        <v>4</v>
      </c>
      <c r="K8" t="s">
        <v>70</v>
      </c>
      <c r="L8" t="s">
        <v>71</v>
      </c>
      <c r="M8">
        <v>1029.8</v>
      </c>
      <c r="N8" t="s">
        <v>68</v>
      </c>
      <c r="O8">
        <f>M8-965.1</f>
        <v>64.699999999999932</v>
      </c>
      <c r="P8">
        <f>1094.4-M8</f>
        <v>64.600000000000136</v>
      </c>
      <c r="Q8" t="s">
        <v>69</v>
      </c>
      <c r="R8">
        <v>10</v>
      </c>
      <c r="S8">
        <v>4</v>
      </c>
      <c r="T8" t="s">
        <v>70</v>
      </c>
      <c r="U8" t="s">
        <v>158</v>
      </c>
      <c r="V8" t="s">
        <v>126</v>
      </c>
      <c r="W8" t="s">
        <v>106</v>
      </c>
      <c r="X8" t="s">
        <v>72</v>
      </c>
      <c r="Y8" t="s">
        <v>46</v>
      </c>
      <c r="Z8" t="s">
        <v>482</v>
      </c>
      <c r="AA8" t="s">
        <v>73</v>
      </c>
      <c r="AB8" t="s">
        <v>74</v>
      </c>
      <c r="AC8" t="s">
        <v>38</v>
      </c>
      <c r="AD8" t="s">
        <v>39</v>
      </c>
      <c r="AE8" t="s">
        <v>465</v>
      </c>
      <c r="AF8">
        <v>4</v>
      </c>
      <c r="AG8" t="s">
        <v>40</v>
      </c>
      <c r="AH8" t="s">
        <v>50</v>
      </c>
      <c r="AI8" t="s">
        <v>46</v>
      </c>
      <c r="AJ8" t="s">
        <v>47</v>
      </c>
      <c r="AK8" t="s">
        <v>61</v>
      </c>
      <c r="AL8">
        <v>25</v>
      </c>
      <c r="AM8">
        <v>7.3</v>
      </c>
      <c r="AN8" t="s">
        <v>76</v>
      </c>
      <c r="AO8">
        <v>15</v>
      </c>
      <c r="AP8" t="s">
        <v>63</v>
      </c>
      <c r="AQ8">
        <v>44</v>
      </c>
      <c r="AR8" t="s">
        <v>50</v>
      </c>
      <c r="AS8" t="s">
        <v>1649</v>
      </c>
      <c r="AT8" t="s">
        <v>63</v>
      </c>
      <c r="AU8" s="3" t="s">
        <v>46</v>
      </c>
      <c r="AV8">
        <v>2018</v>
      </c>
      <c r="AW8" t="s">
        <v>46</v>
      </c>
    </row>
    <row r="9" spans="1:49" x14ac:dyDescent="0.2">
      <c r="A9">
        <v>8</v>
      </c>
      <c r="B9" t="s">
        <v>65</v>
      </c>
      <c r="C9" t="s">
        <v>67</v>
      </c>
      <c r="D9">
        <v>0.86</v>
      </c>
      <c r="E9" t="s">
        <v>68</v>
      </c>
      <c r="F9">
        <f>D9-0.76</f>
        <v>9.9999999999999978E-2</v>
      </c>
      <c r="G9">
        <f>0.95-D9</f>
        <v>8.9999999999999969E-2</v>
      </c>
      <c r="H9" t="s">
        <v>69</v>
      </c>
      <c r="I9">
        <v>10</v>
      </c>
      <c r="J9">
        <v>4</v>
      </c>
      <c r="K9" t="s">
        <v>70</v>
      </c>
      <c r="L9" t="s">
        <v>78</v>
      </c>
      <c r="M9">
        <v>1.31</v>
      </c>
      <c r="N9" t="s">
        <v>68</v>
      </c>
      <c r="O9">
        <f>M9-1.19</f>
        <v>0.12000000000000011</v>
      </c>
      <c r="P9">
        <f>1.43-M9</f>
        <v>0.11999999999999988</v>
      </c>
      <c r="Q9" t="s">
        <v>69</v>
      </c>
      <c r="R9">
        <v>10</v>
      </c>
      <c r="S9">
        <v>4</v>
      </c>
      <c r="T9" t="s">
        <v>70</v>
      </c>
      <c r="U9" t="s">
        <v>158</v>
      </c>
      <c r="V9" t="s">
        <v>127</v>
      </c>
      <c r="W9" t="s">
        <v>107</v>
      </c>
      <c r="X9" t="s">
        <v>72</v>
      </c>
      <c r="Y9" t="s">
        <v>46</v>
      </c>
      <c r="Z9" t="s">
        <v>482</v>
      </c>
      <c r="AA9" t="s">
        <v>73</v>
      </c>
      <c r="AB9" t="s">
        <v>74</v>
      </c>
      <c r="AC9" t="s">
        <v>38</v>
      </c>
      <c r="AD9" t="s">
        <v>39</v>
      </c>
      <c r="AE9" t="s">
        <v>465</v>
      </c>
      <c r="AF9">
        <v>4</v>
      </c>
      <c r="AG9" t="s">
        <v>77</v>
      </c>
      <c r="AH9" t="s">
        <v>50</v>
      </c>
      <c r="AI9" t="s">
        <v>46</v>
      </c>
      <c r="AJ9" t="s">
        <v>47</v>
      </c>
      <c r="AK9" t="s">
        <v>61</v>
      </c>
      <c r="AL9">
        <v>25</v>
      </c>
      <c r="AM9">
        <v>7.3</v>
      </c>
      <c r="AN9" t="s">
        <v>76</v>
      </c>
      <c r="AO9">
        <v>15</v>
      </c>
      <c r="AP9" t="s">
        <v>63</v>
      </c>
      <c r="AQ9">
        <v>44</v>
      </c>
      <c r="AR9" t="s">
        <v>50</v>
      </c>
      <c r="AS9" t="s">
        <v>1649</v>
      </c>
      <c r="AT9" t="s">
        <v>63</v>
      </c>
      <c r="AU9" s="3" t="s">
        <v>46</v>
      </c>
      <c r="AV9">
        <v>2018</v>
      </c>
      <c r="AW9" t="s">
        <v>46</v>
      </c>
    </row>
    <row r="10" spans="1:49" x14ac:dyDescent="0.2">
      <c r="A10">
        <v>9</v>
      </c>
      <c r="B10" t="s">
        <v>79</v>
      </c>
      <c r="C10" t="s">
        <v>80</v>
      </c>
      <c r="D10">
        <v>5.9</v>
      </c>
      <c r="E10" t="s">
        <v>68</v>
      </c>
      <c r="F10">
        <f>D10-4</f>
        <v>1.9000000000000004</v>
      </c>
      <c r="G10">
        <f>8.6-D10</f>
        <v>2.6999999999999993</v>
      </c>
      <c r="H10" t="s">
        <v>69</v>
      </c>
      <c r="I10">
        <v>3</v>
      </c>
      <c r="J10">
        <v>50</v>
      </c>
      <c r="K10" t="s">
        <v>267</v>
      </c>
      <c r="L10" t="s">
        <v>87</v>
      </c>
      <c r="M10">
        <v>3</v>
      </c>
      <c r="N10" t="s">
        <v>68</v>
      </c>
      <c r="O10">
        <f>M10-2.2</f>
        <v>0.79999999999999982</v>
      </c>
      <c r="P10">
        <f>4.3-M10</f>
        <v>1.2999999999999998</v>
      </c>
      <c r="Q10" t="s">
        <v>69</v>
      </c>
      <c r="R10">
        <v>3</v>
      </c>
      <c r="S10">
        <v>50</v>
      </c>
      <c r="T10" t="s">
        <v>267</v>
      </c>
      <c r="U10" t="s">
        <v>157</v>
      </c>
      <c r="V10" t="s">
        <v>128</v>
      </c>
      <c r="W10" t="s">
        <v>108</v>
      </c>
      <c r="X10" t="s">
        <v>82</v>
      </c>
      <c r="Y10" t="s">
        <v>84</v>
      </c>
      <c r="Z10" t="s">
        <v>485</v>
      </c>
      <c r="AA10" t="s">
        <v>85</v>
      </c>
      <c r="AB10" t="s">
        <v>86</v>
      </c>
      <c r="AC10" t="s">
        <v>38</v>
      </c>
      <c r="AD10" t="s">
        <v>39</v>
      </c>
      <c r="AE10" t="s">
        <v>89</v>
      </c>
      <c r="AF10">
        <v>24</v>
      </c>
      <c r="AG10" t="s">
        <v>40</v>
      </c>
      <c r="AH10" t="s">
        <v>50</v>
      </c>
      <c r="AI10" t="s">
        <v>46</v>
      </c>
      <c r="AJ10" t="s">
        <v>47</v>
      </c>
      <c r="AK10" t="s">
        <v>61</v>
      </c>
      <c r="AL10">
        <v>21.45</v>
      </c>
      <c r="AM10">
        <v>8.49</v>
      </c>
      <c r="AN10" t="s">
        <v>46</v>
      </c>
      <c r="AO10" t="s">
        <v>46</v>
      </c>
      <c r="AP10" t="s">
        <v>63</v>
      </c>
      <c r="AQ10">
        <v>164</v>
      </c>
      <c r="AR10" t="s">
        <v>50</v>
      </c>
      <c r="AS10" t="s">
        <v>1629</v>
      </c>
      <c r="AT10" t="s">
        <v>63</v>
      </c>
      <c r="AU10" s="3" t="s">
        <v>46</v>
      </c>
      <c r="AV10">
        <v>2007</v>
      </c>
      <c r="AW10" t="s">
        <v>116</v>
      </c>
    </row>
    <row r="11" spans="1:49" x14ac:dyDescent="0.2">
      <c r="A11">
        <v>10</v>
      </c>
      <c r="B11" t="s">
        <v>79</v>
      </c>
      <c r="C11" t="s">
        <v>80</v>
      </c>
      <c r="D11">
        <v>5</v>
      </c>
      <c r="E11" t="s">
        <v>68</v>
      </c>
      <c r="F11">
        <f>D11-3.3</f>
        <v>1.7000000000000002</v>
      </c>
      <c r="G11">
        <f>7.6-D11</f>
        <v>2.5999999999999996</v>
      </c>
      <c r="H11" t="s">
        <v>69</v>
      </c>
      <c r="I11">
        <v>3</v>
      </c>
      <c r="J11">
        <v>50</v>
      </c>
      <c r="K11" t="s">
        <v>267</v>
      </c>
      <c r="L11" t="s">
        <v>87</v>
      </c>
      <c r="M11">
        <v>2.9</v>
      </c>
      <c r="N11" t="s">
        <v>68</v>
      </c>
      <c r="O11">
        <f>M11-2.1</f>
        <v>0.79999999999999982</v>
      </c>
      <c r="P11">
        <f>3.9-M11</f>
        <v>1</v>
      </c>
      <c r="Q11" t="s">
        <v>69</v>
      </c>
      <c r="R11">
        <v>3</v>
      </c>
      <c r="S11">
        <v>50</v>
      </c>
      <c r="T11" t="s">
        <v>267</v>
      </c>
      <c r="U11" t="s">
        <v>157</v>
      </c>
      <c r="V11" t="s">
        <v>129</v>
      </c>
      <c r="W11" t="s">
        <v>108</v>
      </c>
      <c r="X11" t="s">
        <v>82</v>
      </c>
      <c r="Y11" t="s">
        <v>84</v>
      </c>
      <c r="Z11" t="s">
        <v>485</v>
      </c>
      <c r="AA11" t="s">
        <v>85</v>
      </c>
      <c r="AB11" t="s">
        <v>86</v>
      </c>
      <c r="AC11" t="s">
        <v>38</v>
      </c>
      <c r="AD11" t="s">
        <v>39</v>
      </c>
      <c r="AE11" t="s">
        <v>89</v>
      </c>
      <c r="AF11">
        <v>48</v>
      </c>
      <c r="AG11" t="s">
        <v>40</v>
      </c>
      <c r="AH11" t="s">
        <v>50</v>
      </c>
      <c r="AI11" t="s">
        <v>46</v>
      </c>
      <c r="AJ11" t="s">
        <v>47</v>
      </c>
      <c r="AK11" t="s">
        <v>61</v>
      </c>
      <c r="AL11">
        <v>21.45</v>
      </c>
      <c r="AM11">
        <v>8.49</v>
      </c>
      <c r="AN11" t="s">
        <v>46</v>
      </c>
      <c r="AO11" t="s">
        <v>46</v>
      </c>
      <c r="AP11" t="s">
        <v>63</v>
      </c>
      <c r="AQ11">
        <v>164</v>
      </c>
      <c r="AR11" t="s">
        <v>50</v>
      </c>
      <c r="AS11" t="s">
        <v>1629</v>
      </c>
      <c r="AT11" t="s">
        <v>63</v>
      </c>
      <c r="AU11" s="3" t="s">
        <v>46</v>
      </c>
      <c r="AV11">
        <v>2007</v>
      </c>
      <c r="AW11" t="s">
        <v>46</v>
      </c>
    </row>
    <row r="12" spans="1:49" x14ac:dyDescent="0.2">
      <c r="A12">
        <v>11</v>
      </c>
      <c r="B12" t="s">
        <v>79</v>
      </c>
      <c r="C12" t="s">
        <v>80</v>
      </c>
      <c r="D12">
        <v>8.3000000000000007</v>
      </c>
      <c r="E12" t="s">
        <v>68</v>
      </c>
      <c r="F12">
        <f>D12-5.4</f>
        <v>2.9000000000000004</v>
      </c>
      <c r="G12">
        <f>9.6-D12</f>
        <v>1.2999999999999989</v>
      </c>
      <c r="H12" t="s">
        <v>69</v>
      </c>
      <c r="I12">
        <v>3</v>
      </c>
      <c r="J12">
        <v>7</v>
      </c>
      <c r="K12" t="s">
        <v>266</v>
      </c>
      <c r="L12" t="s">
        <v>87</v>
      </c>
      <c r="M12">
        <v>5.9</v>
      </c>
      <c r="N12" t="s">
        <v>68</v>
      </c>
      <c r="O12">
        <f>M12-4</f>
        <v>1.9000000000000004</v>
      </c>
      <c r="P12">
        <f>8.5-M12</f>
        <v>2.5999999999999996</v>
      </c>
      <c r="Q12" t="s">
        <v>69</v>
      </c>
      <c r="R12">
        <v>3</v>
      </c>
      <c r="S12">
        <v>7</v>
      </c>
      <c r="T12" t="s">
        <v>266</v>
      </c>
      <c r="U12" t="s">
        <v>157</v>
      </c>
      <c r="V12" t="s">
        <v>130</v>
      </c>
      <c r="W12" t="s">
        <v>109</v>
      </c>
      <c r="X12" t="s">
        <v>82</v>
      </c>
      <c r="Y12" t="s">
        <v>84</v>
      </c>
      <c r="Z12" t="s">
        <v>485</v>
      </c>
      <c r="AA12" t="s">
        <v>85</v>
      </c>
      <c r="AB12" t="s">
        <v>86</v>
      </c>
      <c r="AC12" t="s">
        <v>38</v>
      </c>
      <c r="AD12" t="s">
        <v>39</v>
      </c>
      <c r="AE12" t="s">
        <v>90</v>
      </c>
      <c r="AF12">
        <v>48</v>
      </c>
      <c r="AG12" t="s">
        <v>40</v>
      </c>
      <c r="AH12" t="s">
        <v>50</v>
      </c>
      <c r="AI12" t="s">
        <v>46</v>
      </c>
      <c r="AJ12" t="s">
        <v>47</v>
      </c>
      <c r="AK12" t="s">
        <v>61</v>
      </c>
      <c r="AL12">
        <v>21.45</v>
      </c>
      <c r="AM12">
        <v>8.49</v>
      </c>
      <c r="AN12" t="s">
        <v>46</v>
      </c>
      <c r="AO12" t="s">
        <v>91</v>
      </c>
      <c r="AP12" t="s">
        <v>63</v>
      </c>
      <c r="AQ12">
        <v>164</v>
      </c>
      <c r="AR12" t="s">
        <v>50</v>
      </c>
      <c r="AS12" t="s">
        <v>1629</v>
      </c>
      <c r="AT12" t="s">
        <v>63</v>
      </c>
      <c r="AU12" s="3" t="s">
        <v>46</v>
      </c>
      <c r="AV12">
        <v>2007</v>
      </c>
      <c r="AW12" t="s">
        <v>95</v>
      </c>
    </row>
    <row r="13" spans="1:49" x14ac:dyDescent="0.2">
      <c r="A13">
        <v>12</v>
      </c>
      <c r="B13" t="s">
        <v>79</v>
      </c>
      <c r="C13" t="s">
        <v>80</v>
      </c>
      <c r="D13">
        <v>7.2</v>
      </c>
      <c r="E13" t="s">
        <v>68</v>
      </c>
      <c r="F13">
        <f>D13-5.5</f>
        <v>1.7000000000000002</v>
      </c>
      <c r="G13">
        <f>9.6-D13</f>
        <v>2.3999999999999995</v>
      </c>
      <c r="H13" t="s">
        <v>69</v>
      </c>
      <c r="I13">
        <v>3</v>
      </c>
      <c r="J13">
        <v>7</v>
      </c>
      <c r="K13" t="s">
        <v>266</v>
      </c>
      <c r="L13" t="s">
        <v>87</v>
      </c>
      <c r="M13">
        <v>5.9</v>
      </c>
      <c r="N13" t="s">
        <v>68</v>
      </c>
      <c r="O13">
        <f>M13-4</f>
        <v>1.9000000000000004</v>
      </c>
      <c r="P13">
        <f>8.5-M13</f>
        <v>2.5999999999999996</v>
      </c>
      <c r="Q13" t="s">
        <v>69</v>
      </c>
      <c r="R13">
        <v>3</v>
      </c>
      <c r="S13">
        <v>7</v>
      </c>
      <c r="T13" t="s">
        <v>266</v>
      </c>
      <c r="U13" t="s">
        <v>157</v>
      </c>
      <c r="V13" t="s">
        <v>131</v>
      </c>
      <c r="W13" t="s">
        <v>109</v>
      </c>
      <c r="X13" t="s">
        <v>82</v>
      </c>
      <c r="Y13" t="s">
        <v>84</v>
      </c>
      <c r="Z13" t="s">
        <v>485</v>
      </c>
      <c r="AA13" t="s">
        <v>85</v>
      </c>
      <c r="AB13" t="s">
        <v>86</v>
      </c>
      <c r="AC13" t="s">
        <v>38</v>
      </c>
      <c r="AD13" t="s">
        <v>39</v>
      </c>
      <c r="AE13" t="s">
        <v>90</v>
      </c>
      <c r="AF13">
        <v>96</v>
      </c>
      <c r="AG13" t="s">
        <v>40</v>
      </c>
      <c r="AH13" t="s">
        <v>50</v>
      </c>
      <c r="AI13" t="s">
        <v>46</v>
      </c>
      <c r="AJ13" t="s">
        <v>47</v>
      </c>
      <c r="AK13" t="s">
        <v>61</v>
      </c>
      <c r="AL13">
        <v>21.45</v>
      </c>
      <c r="AM13">
        <v>8.49</v>
      </c>
      <c r="AN13" t="s">
        <v>46</v>
      </c>
      <c r="AO13" t="s">
        <v>91</v>
      </c>
      <c r="AP13" t="s">
        <v>63</v>
      </c>
      <c r="AQ13">
        <v>164</v>
      </c>
      <c r="AR13" t="s">
        <v>50</v>
      </c>
      <c r="AS13" t="s">
        <v>1629</v>
      </c>
      <c r="AT13" t="s">
        <v>63</v>
      </c>
      <c r="AU13" s="3" t="s">
        <v>46</v>
      </c>
      <c r="AV13">
        <v>2007</v>
      </c>
      <c r="AW13" t="s">
        <v>95</v>
      </c>
    </row>
    <row r="14" spans="1:49" x14ac:dyDescent="0.2">
      <c r="A14">
        <v>13</v>
      </c>
      <c r="B14" t="s">
        <v>79</v>
      </c>
      <c r="C14" t="s">
        <v>80</v>
      </c>
      <c r="D14">
        <v>5.9</v>
      </c>
      <c r="E14" t="s">
        <v>68</v>
      </c>
      <c r="F14">
        <f>D14-4</f>
        <v>1.9000000000000004</v>
      </c>
      <c r="G14">
        <f>8.6-D14</f>
        <v>2.6999999999999993</v>
      </c>
      <c r="H14" t="s">
        <v>69</v>
      </c>
      <c r="I14">
        <v>3</v>
      </c>
      <c r="J14">
        <v>50</v>
      </c>
      <c r="K14" t="s">
        <v>267</v>
      </c>
      <c r="L14" t="s">
        <v>88</v>
      </c>
      <c r="M14" t="s">
        <v>92</v>
      </c>
      <c r="N14" t="s">
        <v>68</v>
      </c>
      <c r="O14" t="s">
        <v>46</v>
      </c>
      <c r="P14" t="s">
        <v>46</v>
      </c>
      <c r="Q14" t="s">
        <v>46</v>
      </c>
      <c r="R14">
        <v>3</v>
      </c>
      <c r="S14">
        <v>50</v>
      </c>
      <c r="T14" t="s">
        <v>267</v>
      </c>
      <c r="U14" t="s">
        <v>157</v>
      </c>
      <c r="V14" t="s">
        <v>128</v>
      </c>
      <c r="W14" t="s">
        <v>110</v>
      </c>
      <c r="X14" t="s">
        <v>82</v>
      </c>
      <c r="Y14" t="s">
        <v>84</v>
      </c>
      <c r="Z14" t="s">
        <v>485</v>
      </c>
      <c r="AA14" t="s">
        <v>85</v>
      </c>
      <c r="AB14" t="s">
        <v>86</v>
      </c>
      <c r="AC14" t="s">
        <v>38</v>
      </c>
      <c r="AD14" t="s">
        <v>39</v>
      </c>
      <c r="AE14" t="s">
        <v>89</v>
      </c>
      <c r="AF14">
        <v>24</v>
      </c>
      <c r="AG14" t="s">
        <v>40</v>
      </c>
      <c r="AH14" t="s">
        <v>50</v>
      </c>
      <c r="AI14" t="s">
        <v>46</v>
      </c>
      <c r="AJ14" t="s">
        <v>47</v>
      </c>
      <c r="AK14" t="s">
        <v>61</v>
      </c>
      <c r="AL14">
        <v>21.45</v>
      </c>
      <c r="AM14">
        <v>8.49</v>
      </c>
      <c r="AN14" t="s">
        <v>46</v>
      </c>
      <c r="AO14" t="s">
        <v>46</v>
      </c>
      <c r="AP14" t="s">
        <v>63</v>
      </c>
      <c r="AQ14">
        <v>164</v>
      </c>
      <c r="AR14" t="s">
        <v>63</v>
      </c>
      <c r="AS14" t="s">
        <v>1629</v>
      </c>
      <c r="AT14" t="s">
        <v>63</v>
      </c>
      <c r="AU14" s="3" t="s">
        <v>46</v>
      </c>
      <c r="AV14">
        <v>2007</v>
      </c>
      <c r="AW14" t="s">
        <v>46</v>
      </c>
    </row>
    <row r="15" spans="1:49" x14ac:dyDescent="0.2">
      <c r="A15">
        <v>14</v>
      </c>
      <c r="B15" t="s">
        <v>79</v>
      </c>
      <c r="C15" t="s">
        <v>80</v>
      </c>
      <c r="D15">
        <v>5</v>
      </c>
      <c r="E15" t="s">
        <v>68</v>
      </c>
      <c r="F15">
        <f>D15-3.3</f>
        <v>1.7000000000000002</v>
      </c>
      <c r="G15">
        <f>7.6-D15</f>
        <v>2.5999999999999996</v>
      </c>
      <c r="H15" t="s">
        <v>69</v>
      </c>
      <c r="I15">
        <v>3</v>
      </c>
      <c r="J15">
        <v>50</v>
      </c>
      <c r="K15" t="s">
        <v>267</v>
      </c>
      <c r="L15" t="s">
        <v>88</v>
      </c>
      <c r="M15" t="s">
        <v>92</v>
      </c>
      <c r="N15" t="s">
        <v>68</v>
      </c>
      <c r="O15" t="s">
        <v>46</v>
      </c>
      <c r="P15" t="s">
        <v>46</v>
      </c>
      <c r="Q15" t="s">
        <v>46</v>
      </c>
      <c r="R15">
        <v>3</v>
      </c>
      <c r="S15">
        <v>50</v>
      </c>
      <c r="T15" t="s">
        <v>267</v>
      </c>
      <c r="U15" t="s">
        <v>157</v>
      </c>
      <c r="V15" t="s">
        <v>129</v>
      </c>
      <c r="W15" t="s">
        <v>110</v>
      </c>
      <c r="X15" t="s">
        <v>82</v>
      </c>
      <c r="Y15" t="s">
        <v>84</v>
      </c>
      <c r="Z15" t="s">
        <v>485</v>
      </c>
      <c r="AA15" t="s">
        <v>85</v>
      </c>
      <c r="AB15" t="s">
        <v>86</v>
      </c>
      <c r="AC15" t="s">
        <v>38</v>
      </c>
      <c r="AD15" t="s">
        <v>39</v>
      </c>
      <c r="AE15" t="s">
        <v>89</v>
      </c>
      <c r="AF15">
        <v>48</v>
      </c>
      <c r="AG15" t="s">
        <v>40</v>
      </c>
      <c r="AH15" t="s">
        <v>50</v>
      </c>
      <c r="AI15" t="s">
        <v>46</v>
      </c>
      <c r="AJ15" t="s">
        <v>47</v>
      </c>
      <c r="AK15" t="s">
        <v>61</v>
      </c>
      <c r="AL15">
        <v>21.45</v>
      </c>
      <c r="AM15">
        <v>8.49</v>
      </c>
      <c r="AN15" t="s">
        <v>46</v>
      </c>
      <c r="AO15" t="s">
        <v>46</v>
      </c>
      <c r="AP15" t="s">
        <v>63</v>
      </c>
      <c r="AQ15">
        <v>164</v>
      </c>
      <c r="AR15" t="s">
        <v>63</v>
      </c>
      <c r="AS15" t="s">
        <v>1629</v>
      </c>
      <c r="AT15" t="s">
        <v>63</v>
      </c>
      <c r="AU15" s="3" t="s">
        <v>46</v>
      </c>
      <c r="AV15">
        <v>2007</v>
      </c>
      <c r="AW15" t="s">
        <v>46</v>
      </c>
    </row>
    <row r="16" spans="1:49" x14ac:dyDescent="0.2">
      <c r="A16">
        <v>15</v>
      </c>
      <c r="B16" t="s">
        <v>79</v>
      </c>
      <c r="C16" t="s">
        <v>80</v>
      </c>
      <c r="D16">
        <v>7.6</v>
      </c>
      <c r="E16" t="s">
        <v>68</v>
      </c>
      <c r="F16">
        <f>D16-3.8</f>
        <v>3.8</v>
      </c>
      <c r="G16">
        <f>15.3-D16</f>
        <v>7.7000000000000011</v>
      </c>
      <c r="H16" t="s">
        <v>69</v>
      </c>
      <c r="I16">
        <v>3</v>
      </c>
      <c r="J16">
        <v>7</v>
      </c>
      <c r="K16" t="s">
        <v>266</v>
      </c>
      <c r="L16" t="s">
        <v>88</v>
      </c>
      <c r="M16" t="s">
        <v>92</v>
      </c>
      <c r="N16" t="s">
        <v>68</v>
      </c>
      <c r="O16" t="s">
        <v>46</v>
      </c>
      <c r="P16" t="s">
        <v>46</v>
      </c>
      <c r="Q16" t="s">
        <v>46</v>
      </c>
      <c r="R16">
        <v>3</v>
      </c>
      <c r="S16">
        <v>7</v>
      </c>
      <c r="T16" t="s">
        <v>266</v>
      </c>
      <c r="U16" t="s">
        <v>157</v>
      </c>
      <c r="V16" t="s">
        <v>132</v>
      </c>
      <c r="W16" t="s">
        <v>111</v>
      </c>
      <c r="X16" t="s">
        <v>82</v>
      </c>
      <c r="Y16" t="s">
        <v>84</v>
      </c>
      <c r="Z16" t="s">
        <v>485</v>
      </c>
      <c r="AA16" t="s">
        <v>85</v>
      </c>
      <c r="AB16" t="s">
        <v>86</v>
      </c>
      <c r="AC16" t="s">
        <v>38</v>
      </c>
      <c r="AD16" t="s">
        <v>39</v>
      </c>
      <c r="AE16" t="s">
        <v>90</v>
      </c>
      <c r="AF16">
        <v>168</v>
      </c>
      <c r="AG16" t="s">
        <v>40</v>
      </c>
      <c r="AH16" t="s">
        <v>50</v>
      </c>
      <c r="AI16" t="s">
        <v>46</v>
      </c>
      <c r="AJ16" t="s">
        <v>47</v>
      </c>
      <c r="AK16" t="s">
        <v>48</v>
      </c>
      <c r="AL16">
        <v>21.45</v>
      </c>
      <c r="AM16">
        <v>8.49</v>
      </c>
      <c r="AN16" t="s">
        <v>76</v>
      </c>
      <c r="AO16" t="s">
        <v>93</v>
      </c>
      <c r="AP16" t="s">
        <v>63</v>
      </c>
      <c r="AQ16">
        <v>164</v>
      </c>
      <c r="AR16" t="s">
        <v>63</v>
      </c>
      <c r="AS16" t="s">
        <v>1629</v>
      </c>
      <c r="AT16" t="s">
        <v>63</v>
      </c>
      <c r="AU16" s="3" t="s">
        <v>46</v>
      </c>
      <c r="AV16">
        <v>2007</v>
      </c>
      <c r="AW16" t="s">
        <v>94</v>
      </c>
    </row>
    <row r="17" spans="1:49" x14ac:dyDescent="0.2">
      <c r="A17">
        <v>16</v>
      </c>
      <c r="B17" t="s">
        <v>79</v>
      </c>
      <c r="C17" t="s">
        <v>80</v>
      </c>
      <c r="D17">
        <v>6.9</v>
      </c>
      <c r="E17" t="s">
        <v>68</v>
      </c>
      <c r="F17">
        <f>6.9-2.6</f>
        <v>4.3000000000000007</v>
      </c>
      <c r="G17">
        <f>18.5-D17</f>
        <v>11.6</v>
      </c>
      <c r="H17" t="s">
        <v>69</v>
      </c>
      <c r="I17">
        <v>3</v>
      </c>
      <c r="J17">
        <v>7</v>
      </c>
      <c r="K17" t="s">
        <v>266</v>
      </c>
      <c r="L17" t="s">
        <v>88</v>
      </c>
      <c r="M17" t="s">
        <v>92</v>
      </c>
      <c r="N17" t="s">
        <v>68</v>
      </c>
      <c r="O17" t="s">
        <v>46</v>
      </c>
      <c r="P17" t="s">
        <v>46</v>
      </c>
      <c r="Q17" t="s">
        <v>46</v>
      </c>
      <c r="R17">
        <v>3</v>
      </c>
      <c r="S17">
        <v>7</v>
      </c>
      <c r="T17" t="s">
        <v>266</v>
      </c>
      <c r="U17" t="s">
        <v>157</v>
      </c>
      <c r="V17" t="s">
        <v>133</v>
      </c>
      <c r="W17" t="s">
        <v>111</v>
      </c>
      <c r="X17" t="s">
        <v>82</v>
      </c>
      <c r="Y17" t="s">
        <v>84</v>
      </c>
      <c r="Z17" t="s">
        <v>485</v>
      </c>
      <c r="AA17" t="s">
        <v>85</v>
      </c>
      <c r="AB17" t="s">
        <v>86</v>
      </c>
      <c r="AC17" t="s">
        <v>38</v>
      </c>
      <c r="AD17" t="s">
        <v>39</v>
      </c>
      <c r="AE17" t="s">
        <v>90</v>
      </c>
      <c r="AF17">
        <v>336</v>
      </c>
      <c r="AG17" t="s">
        <v>40</v>
      </c>
      <c r="AH17" t="s">
        <v>50</v>
      </c>
      <c r="AI17" t="s">
        <v>46</v>
      </c>
      <c r="AJ17" t="s">
        <v>47</v>
      </c>
      <c r="AK17" t="s">
        <v>48</v>
      </c>
      <c r="AL17">
        <v>21.45</v>
      </c>
      <c r="AM17">
        <v>8.49</v>
      </c>
      <c r="AN17" t="s">
        <v>76</v>
      </c>
      <c r="AO17" t="s">
        <v>93</v>
      </c>
      <c r="AP17" t="s">
        <v>63</v>
      </c>
      <c r="AQ17">
        <v>164</v>
      </c>
      <c r="AR17" t="s">
        <v>63</v>
      </c>
      <c r="AS17" t="s">
        <v>1629</v>
      </c>
      <c r="AT17" t="s">
        <v>63</v>
      </c>
      <c r="AU17" s="3" t="s">
        <v>46</v>
      </c>
      <c r="AV17">
        <v>2007</v>
      </c>
      <c r="AW17" t="s">
        <v>94</v>
      </c>
    </row>
    <row r="18" spans="1:49" x14ac:dyDescent="0.2">
      <c r="A18">
        <v>17</v>
      </c>
      <c r="B18" t="s">
        <v>79</v>
      </c>
      <c r="C18" t="s">
        <v>80</v>
      </c>
      <c r="D18">
        <v>5.4</v>
      </c>
      <c r="E18" t="s">
        <v>68</v>
      </c>
      <c r="F18">
        <f>D18-3.5</f>
        <v>1.9000000000000004</v>
      </c>
      <c r="G18">
        <f>8.3-5.4</f>
        <v>2.9000000000000004</v>
      </c>
      <c r="H18" t="s">
        <v>69</v>
      </c>
      <c r="I18">
        <v>3</v>
      </c>
      <c r="J18">
        <v>7</v>
      </c>
      <c r="K18" t="s">
        <v>266</v>
      </c>
      <c r="L18" t="s">
        <v>88</v>
      </c>
      <c r="M18">
        <v>57.3</v>
      </c>
      <c r="N18" t="s">
        <v>68</v>
      </c>
      <c r="O18">
        <f>M18-37.3</f>
        <v>20</v>
      </c>
      <c r="P18">
        <f>88-M18</f>
        <v>30.700000000000003</v>
      </c>
      <c r="Q18" t="s">
        <v>69</v>
      </c>
      <c r="R18">
        <v>3</v>
      </c>
      <c r="S18">
        <v>7</v>
      </c>
      <c r="T18" t="s">
        <v>266</v>
      </c>
      <c r="U18" t="s">
        <v>157</v>
      </c>
      <c r="V18" t="s">
        <v>134</v>
      </c>
      <c r="W18" t="s">
        <v>111</v>
      </c>
      <c r="X18" t="s">
        <v>82</v>
      </c>
      <c r="Y18" t="s">
        <v>84</v>
      </c>
      <c r="Z18" t="s">
        <v>485</v>
      </c>
      <c r="AA18" t="s">
        <v>85</v>
      </c>
      <c r="AB18" t="s">
        <v>86</v>
      </c>
      <c r="AC18" t="s">
        <v>38</v>
      </c>
      <c r="AD18" t="s">
        <v>39</v>
      </c>
      <c r="AE18" t="s">
        <v>90</v>
      </c>
      <c r="AF18">
        <v>504</v>
      </c>
      <c r="AG18" t="s">
        <v>40</v>
      </c>
      <c r="AH18" t="s">
        <v>50</v>
      </c>
      <c r="AI18" t="s">
        <v>46</v>
      </c>
      <c r="AJ18" t="s">
        <v>47</v>
      </c>
      <c r="AK18" t="s">
        <v>48</v>
      </c>
      <c r="AL18">
        <v>21.45</v>
      </c>
      <c r="AM18">
        <v>8.49</v>
      </c>
      <c r="AN18" t="s">
        <v>76</v>
      </c>
      <c r="AO18" t="s">
        <v>93</v>
      </c>
      <c r="AP18" t="s">
        <v>63</v>
      </c>
      <c r="AQ18">
        <v>164</v>
      </c>
      <c r="AR18" t="s">
        <v>50</v>
      </c>
      <c r="AS18" t="s">
        <v>1629</v>
      </c>
      <c r="AT18" t="s">
        <v>63</v>
      </c>
      <c r="AU18" s="3" t="s">
        <v>46</v>
      </c>
      <c r="AV18">
        <v>2007</v>
      </c>
      <c r="AW18" t="s">
        <v>94</v>
      </c>
    </row>
    <row r="19" spans="1:49" x14ac:dyDescent="0.2">
      <c r="A19">
        <v>18</v>
      </c>
      <c r="B19" t="s">
        <v>79</v>
      </c>
      <c r="C19" t="s">
        <v>80</v>
      </c>
      <c r="D19">
        <v>4.8</v>
      </c>
      <c r="E19" t="s">
        <v>68</v>
      </c>
      <c r="F19">
        <f>D19-3</f>
        <v>1.7999999999999998</v>
      </c>
      <c r="G19">
        <f>7.6-D19</f>
        <v>2.8</v>
      </c>
      <c r="H19" t="s">
        <v>69</v>
      </c>
      <c r="I19">
        <v>3</v>
      </c>
      <c r="J19">
        <v>7</v>
      </c>
      <c r="K19" t="s">
        <v>266</v>
      </c>
      <c r="L19" t="s">
        <v>88</v>
      </c>
      <c r="M19">
        <v>43.8</v>
      </c>
      <c r="N19" t="s">
        <v>68</v>
      </c>
      <c r="O19">
        <f>M19-28.2</f>
        <v>15.599999999999998</v>
      </c>
      <c r="P19">
        <f>68.1-M19</f>
        <v>24.299999999999997</v>
      </c>
      <c r="Q19" t="s">
        <v>69</v>
      </c>
      <c r="R19">
        <v>3</v>
      </c>
      <c r="S19">
        <v>7</v>
      </c>
      <c r="T19" t="s">
        <v>266</v>
      </c>
      <c r="U19" t="s">
        <v>157</v>
      </c>
      <c r="V19" t="s">
        <v>135</v>
      </c>
      <c r="W19" t="s">
        <v>111</v>
      </c>
      <c r="X19" t="s">
        <v>82</v>
      </c>
      <c r="Y19" t="s">
        <v>84</v>
      </c>
      <c r="Z19" t="s">
        <v>485</v>
      </c>
      <c r="AA19" t="s">
        <v>85</v>
      </c>
      <c r="AB19" t="s">
        <v>86</v>
      </c>
      <c r="AC19" t="s">
        <v>38</v>
      </c>
      <c r="AD19" t="s">
        <v>39</v>
      </c>
      <c r="AE19" t="s">
        <v>90</v>
      </c>
      <c r="AF19">
        <v>672</v>
      </c>
      <c r="AG19" t="s">
        <v>40</v>
      </c>
      <c r="AH19" t="s">
        <v>50</v>
      </c>
      <c r="AI19" t="s">
        <v>46</v>
      </c>
      <c r="AJ19" t="s">
        <v>47</v>
      </c>
      <c r="AK19" t="s">
        <v>48</v>
      </c>
      <c r="AL19">
        <v>21.45</v>
      </c>
      <c r="AM19">
        <v>8.49</v>
      </c>
      <c r="AN19" t="s">
        <v>76</v>
      </c>
      <c r="AO19" t="s">
        <v>93</v>
      </c>
      <c r="AP19" t="s">
        <v>63</v>
      </c>
      <c r="AQ19">
        <v>164</v>
      </c>
      <c r="AR19" t="s">
        <v>50</v>
      </c>
      <c r="AS19" t="s">
        <v>1629</v>
      </c>
      <c r="AT19" t="s">
        <v>63</v>
      </c>
      <c r="AU19" s="3" t="s">
        <v>46</v>
      </c>
      <c r="AV19">
        <v>2007</v>
      </c>
      <c r="AW19" t="s">
        <v>94</v>
      </c>
    </row>
    <row r="20" spans="1:49" x14ac:dyDescent="0.2">
      <c r="A20">
        <v>19</v>
      </c>
      <c r="B20" t="s">
        <v>96</v>
      </c>
      <c r="C20" t="s">
        <v>97</v>
      </c>
      <c r="D20">
        <v>0.5</v>
      </c>
      <c r="E20" t="s">
        <v>68</v>
      </c>
      <c r="F20">
        <f>D20-0.32</f>
        <v>0.18</v>
      </c>
      <c r="G20">
        <f>0.78-D20</f>
        <v>0.28000000000000003</v>
      </c>
      <c r="H20" t="s">
        <v>69</v>
      </c>
      <c r="I20">
        <v>3</v>
      </c>
      <c r="J20">
        <v>50</v>
      </c>
      <c r="K20" t="s">
        <v>265</v>
      </c>
      <c r="L20" t="s">
        <v>98</v>
      </c>
      <c r="M20">
        <v>0.73</v>
      </c>
      <c r="N20" t="s">
        <v>68</v>
      </c>
      <c r="O20">
        <f>M20-0.49</f>
        <v>0.24</v>
      </c>
      <c r="P20">
        <f>1.1-M20</f>
        <v>0.37000000000000011</v>
      </c>
      <c r="Q20" t="s">
        <v>69</v>
      </c>
      <c r="R20">
        <v>3</v>
      </c>
      <c r="S20">
        <v>50</v>
      </c>
      <c r="T20" t="s">
        <v>265</v>
      </c>
      <c r="U20" t="s">
        <v>157</v>
      </c>
      <c r="V20" t="s">
        <v>136</v>
      </c>
      <c r="W20" t="s">
        <v>112</v>
      </c>
      <c r="X20" t="s">
        <v>82</v>
      </c>
      <c r="Y20" t="s">
        <v>84</v>
      </c>
      <c r="Z20" t="s">
        <v>485</v>
      </c>
      <c r="AA20" t="s">
        <v>85</v>
      </c>
      <c r="AB20" t="s">
        <v>86</v>
      </c>
      <c r="AC20" t="s">
        <v>38</v>
      </c>
      <c r="AD20" t="s">
        <v>39</v>
      </c>
      <c r="AE20" t="s">
        <v>89</v>
      </c>
      <c r="AF20">
        <v>24</v>
      </c>
      <c r="AG20" t="s">
        <v>77</v>
      </c>
      <c r="AH20" t="s">
        <v>50</v>
      </c>
      <c r="AI20" t="s">
        <v>46</v>
      </c>
      <c r="AJ20" t="s">
        <v>47</v>
      </c>
      <c r="AK20" t="s">
        <v>61</v>
      </c>
      <c r="AL20">
        <v>21.2</v>
      </c>
      <c r="AM20">
        <v>8.58</v>
      </c>
      <c r="AN20" t="s">
        <v>46</v>
      </c>
      <c r="AO20" t="s">
        <v>46</v>
      </c>
      <c r="AP20" t="s">
        <v>63</v>
      </c>
      <c r="AQ20">
        <v>172</v>
      </c>
      <c r="AR20" t="s">
        <v>50</v>
      </c>
      <c r="AS20" t="s">
        <v>1631</v>
      </c>
      <c r="AT20" t="s">
        <v>63</v>
      </c>
      <c r="AU20" s="3" t="s">
        <v>46</v>
      </c>
      <c r="AV20">
        <v>2007</v>
      </c>
      <c r="AW20" t="s">
        <v>99</v>
      </c>
    </row>
    <row r="21" spans="1:49" x14ac:dyDescent="0.2">
      <c r="A21">
        <v>20</v>
      </c>
      <c r="B21" t="s">
        <v>96</v>
      </c>
      <c r="C21" t="s">
        <v>97</v>
      </c>
      <c r="D21">
        <v>0.43</v>
      </c>
      <c r="E21" t="s">
        <v>68</v>
      </c>
      <c r="F21">
        <f>D21-0.29</f>
        <v>0.14000000000000001</v>
      </c>
      <c r="G21">
        <f>0.63-D21</f>
        <v>0.2</v>
      </c>
      <c r="H21" t="s">
        <v>69</v>
      </c>
      <c r="I21">
        <v>3</v>
      </c>
      <c r="J21">
        <v>50</v>
      </c>
      <c r="K21" t="s">
        <v>265</v>
      </c>
      <c r="L21" t="s">
        <v>98</v>
      </c>
      <c r="M21">
        <v>0.6</v>
      </c>
      <c r="N21" t="s">
        <v>68</v>
      </c>
      <c r="O21">
        <f>M21-0.4</f>
        <v>0.19999999999999996</v>
      </c>
      <c r="P21">
        <f>0.9-M21</f>
        <v>0.30000000000000004</v>
      </c>
      <c r="Q21" t="s">
        <v>69</v>
      </c>
      <c r="R21">
        <v>3</v>
      </c>
      <c r="S21">
        <v>50</v>
      </c>
      <c r="T21" t="s">
        <v>265</v>
      </c>
      <c r="U21" t="s">
        <v>157</v>
      </c>
      <c r="V21" t="s">
        <v>137</v>
      </c>
      <c r="W21" t="s">
        <v>112</v>
      </c>
      <c r="X21" t="s">
        <v>82</v>
      </c>
      <c r="Y21" t="s">
        <v>84</v>
      </c>
      <c r="Z21" t="s">
        <v>485</v>
      </c>
      <c r="AA21" t="s">
        <v>85</v>
      </c>
      <c r="AB21" t="s">
        <v>86</v>
      </c>
      <c r="AC21" t="s">
        <v>38</v>
      </c>
      <c r="AD21" t="s">
        <v>39</v>
      </c>
      <c r="AE21" t="s">
        <v>89</v>
      </c>
      <c r="AF21">
        <v>48</v>
      </c>
      <c r="AG21" t="s">
        <v>77</v>
      </c>
      <c r="AH21" t="s">
        <v>50</v>
      </c>
      <c r="AI21" t="s">
        <v>46</v>
      </c>
      <c r="AJ21" t="s">
        <v>47</v>
      </c>
      <c r="AK21" t="s">
        <v>61</v>
      </c>
      <c r="AL21">
        <v>21.2</v>
      </c>
      <c r="AM21">
        <v>8.58</v>
      </c>
      <c r="AN21" t="s">
        <v>46</v>
      </c>
      <c r="AO21" t="s">
        <v>46</v>
      </c>
      <c r="AP21" t="s">
        <v>63</v>
      </c>
      <c r="AQ21">
        <v>172</v>
      </c>
      <c r="AR21" t="s">
        <v>50</v>
      </c>
      <c r="AS21" t="s">
        <v>1631</v>
      </c>
      <c r="AT21" t="s">
        <v>63</v>
      </c>
      <c r="AU21" s="3" t="s">
        <v>46</v>
      </c>
      <c r="AV21">
        <v>2007</v>
      </c>
      <c r="AW21" t="s">
        <v>115</v>
      </c>
    </row>
    <row r="22" spans="1:49" x14ac:dyDescent="0.2">
      <c r="A22">
        <v>21</v>
      </c>
      <c r="B22" t="s">
        <v>96</v>
      </c>
      <c r="C22" t="s">
        <v>97</v>
      </c>
      <c r="D22">
        <v>0.25</v>
      </c>
      <c r="E22" t="s">
        <v>68</v>
      </c>
      <c r="F22">
        <f>D22-0.17</f>
        <v>7.9999999999999988E-2</v>
      </c>
      <c r="G22">
        <f>0.37-D22</f>
        <v>0.12</v>
      </c>
      <c r="H22" t="s">
        <v>69</v>
      </c>
      <c r="I22">
        <v>3</v>
      </c>
      <c r="J22">
        <v>7</v>
      </c>
      <c r="K22" s="3" t="s">
        <v>264</v>
      </c>
      <c r="L22" t="s">
        <v>98</v>
      </c>
      <c r="M22">
        <v>0.33</v>
      </c>
      <c r="N22" t="s">
        <v>68</v>
      </c>
      <c r="O22">
        <f>M22-0.26</f>
        <v>7.0000000000000007E-2</v>
      </c>
      <c r="P22">
        <f>0.42-M22</f>
        <v>8.9999999999999969E-2</v>
      </c>
      <c r="Q22" t="s">
        <v>69</v>
      </c>
      <c r="R22">
        <v>3</v>
      </c>
      <c r="S22">
        <v>7</v>
      </c>
      <c r="T22" s="3" t="s">
        <v>264</v>
      </c>
      <c r="U22" t="s">
        <v>157</v>
      </c>
      <c r="V22" t="s">
        <v>138</v>
      </c>
      <c r="W22" t="s">
        <v>113</v>
      </c>
      <c r="X22" t="s">
        <v>82</v>
      </c>
      <c r="Y22" t="s">
        <v>84</v>
      </c>
      <c r="Z22" t="s">
        <v>485</v>
      </c>
      <c r="AA22" t="s">
        <v>85</v>
      </c>
      <c r="AB22" t="s">
        <v>86</v>
      </c>
      <c r="AC22" t="s">
        <v>38</v>
      </c>
      <c r="AD22" t="s">
        <v>39</v>
      </c>
      <c r="AE22" t="s">
        <v>90</v>
      </c>
      <c r="AF22">
        <v>96</v>
      </c>
      <c r="AG22" t="s">
        <v>77</v>
      </c>
      <c r="AH22" t="s">
        <v>50</v>
      </c>
      <c r="AI22" t="s">
        <v>46</v>
      </c>
      <c r="AJ22" t="s">
        <v>47</v>
      </c>
      <c r="AK22" t="s">
        <v>61</v>
      </c>
      <c r="AL22">
        <v>21.2</v>
      </c>
      <c r="AM22">
        <v>8.58</v>
      </c>
      <c r="AN22" t="s">
        <v>46</v>
      </c>
      <c r="AO22" t="s">
        <v>100</v>
      </c>
      <c r="AP22" t="s">
        <v>63</v>
      </c>
      <c r="AQ22">
        <v>172</v>
      </c>
      <c r="AR22" t="s">
        <v>50</v>
      </c>
      <c r="AS22" t="s">
        <v>1631</v>
      </c>
      <c r="AT22" t="s">
        <v>63</v>
      </c>
      <c r="AU22" s="3" t="s">
        <v>46</v>
      </c>
      <c r="AV22">
        <v>2007</v>
      </c>
      <c r="AW22" t="s">
        <v>46</v>
      </c>
    </row>
    <row r="23" spans="1:49" x14ac:dyDescent="0.2">
      <c r="A23">
        <v>22</v>
      </c>
      <c r="B23" t="s">
        <v>96</v>
      </c>
      <c r="C23" t="s">
        <v>97</v>
      </c>
      <c r="D23">
        <v>0.21</v>
      </c>
      <c r="E23" t="s">
        <v>68</v>
      </c>
      <c r="F23">
        <f>D23-0.11</f>
        <v>9.9999999999999992E-2</v>
      </c>
      <c r="G23">
        <f>0.4-D23</f>
        <v>0.19000000000000003</v>
      </c>
      <c r="H23" t="s">
        <v>69</v>
      </c>
      <c r="I23">
        <v>3</v>
      </c>
      <c r="J23">
        <v>7</v>
      </c>
      <c r="K23" s="3" t="s">
        <v>264</v>
      </c>
      <c r="L23" t="s">
        <v>98</v>
      </c>
      <c r="M23">
        <v>0.19</v>
      </c>
      <c r="N23" t="s">
        <v>68</v>
      </c>
      <c r="O23">
        <f>M23-0.15</f>
        <v>4.0000000000000008E-2</v>
      </c>
      <c r="P23">
        <f>0.25-M23</f>
        <v>0.06</v>
      </c>
      <c r="Q23" t="s">
        <v>69</v>
      </c>
      <c r="R23">
        <v>3</v>
      </c>
      <c r="S23">
        <v>7</v>
      </c>
      <c r="T23" s="3" t="s">
        <v>264</v>
      </c>
      <c r="U23" t="s">
        <v>157</v>
      </c>
      <c r="V23" t="s">
        <v>139</v>
      </c>
      <c r="W23" t="s">
        <v>114</v>
      </c>
      <c r="X23" t="s">
        <v>82</v>
      </c>
      <c r="Y23" t="s">
        <v>84</v>
      </c>
      <c r="Z23" t="s">
        <v>485</v>
      </c>
      <c r="AA23" t="s">
        <v>85</v>
      </c>
      <c r="AB23" t="s">
        <v>86</v>
      </c>
      <c r="AC23" t="s">
        <v>38</v>
      </c>
      <c r="AD23" t="s">
        <v>39</v>
      </c>
      <c r="AE23" t="s">
        <v>90</v>
      </c>
      <c r="AF23">
        <v>168</v>
      </c>
      <c r="AG23" t="s">
        <v>77</v>
      </c>
      <c r="AH23" t="s">
        <v>50</v>
      </c>
      <c r="AI23" t="s">
        <v>46</v>
      </c>
      <c r="AJ23" t="s">
        <v>47</v>
      </c>
      <c r="AK23" t="s">
        <v>48</v>
      </c>
      <c r="AL23">
        <v>21.2</v>
      </c>
      <c r="AM23">
        <v>8.58</v>
      </c>
      <c r="AN23" t="s">
        <v>76</v>
      </c>
      <c r="AO23" t="s">
        <v>100</v>
      </c>
      <c r="AP23" t="s">
        <v>63</v>
      </c>
      <c r="AQ23">
        <v>172</v>
      </c>
      <c r="AR23" t="s">
        <v>50</v>
      </c>
      <c r="AS23" t="s">
        <v>1631</v>
      </c>
      <c r="AT23" t="s">
        <v>63</v>
      </c>
      <c r="AU23" s="3" t="s">
        <v>46</v>
      </c>
      <c r="AV23">
        <v>2007</v>
      </c>
      <c r="AW23" t="s">
        <v>46</v>
      </c>
    </row>
    <row r="24" spans="1:49" x14ac:dyDescent="0.2">
      <c r="A24">
        <v>23</v>
      </c>
      <c r="B24" t="s">
        <v>96</v>
      </c>
      <c r="C24" t="s">
        <v>97</v>
      </c>
      <c r="D24">
        <v>0.08</v>
      </c>
      <c r="E24" t="s">
        <v>68</v>
      </c>
      <c r="F24">
        <f>D24-0.04</f>
        <v>0.04</v>
      </c>
      <c r="G24">
        <f>0.15-D24</f>
        <v>6.9999999999999993E-2</v>
      </c>
      <c r="H24" t="s">
        <v>69</v>
      </c>
      <c r="I24">
        <v>3</v>
      </c>
      <c r="J24">
        <v>7</v>
      </c>
      <c r="K24" s="3" t="s">
        <v>264</v>
      </c>
      <c r="L24" t="s">
        <v>98</v>
      </c>
      <c r="M24">
        <v>0.05</v>
      </c>
      <c r="N24" t="s">
        <v>68</v>
      </c>
      <c r="O24">
        <f>M24-0.03</f>
        <v>2.0000000000000004E-2</v>
      </c>
      <c r="P24">
        <f>0.11-M24</f>
        <v>0.06</v>
      </c>
      <c r="Q24" t="s">
        <v>69</v>
      </c>
      <c r="R24">
        <v>3</v>
      </c>
      <c r="S24">
        <v>7</v>
      </c>
      <c r="T24" s="3" t="s">
        <v>264</v>
      </c>
      <c r="U24" t="s">
        <v>157</v>
      </c>
      <c r="V24" t="s">
        <v>140</v>
      </c>
      <c r="W24" t="s">
        <v>114</v>
      </c>
      <c r="X24" t="s">
        <v>82</v>
      </c>
      <c r="Y24" t="s">
        <v>84</v>
      </c>
      <c r="Z24" t="s">
        <v>485</v>
      </c>
      <c r="AA24" t="s">
        <v>85</v>
      </c>
      <c r="AB24" t="s">
        <v>86</v>
      </c>
      <c r="AC24" t="s">
        <v>38</v>
      </c>
      <c r="AD24" t="s">
        <v>39</v>
      </c>
      <c r="AE24" t="s">
        <v>90</v>
      </c>
      <c r="AF24">
        <v>336</v>
      </c>
      <c r="AG24" t="s">
        <v>77</v>
      </c>
      <c r="AH24" t="s">
        <v>50</v>
      </c>
      <c r="AI24" t="s">
        <v>46</v>
      </c>
      <c r="AJ24" t="s">
        <v>47</v>
      </c>
      <c r="AK24" t="s">
        <v>48</v>
      </c>
      <c r="AL24">
        <v>21.2</v>
      </c>
      <c r="AM24">
        <v>8.58</v>
      </c>
      <c r="AN24" t="s">
        <v>76</v>
      </c>
      <c r="AO24" t="s">
        <v>100</v>
      </c>
      <c r="AP24" t="s">
        <v>63</v>
      </c>
      <c r="AQ24">
        <v>172</v>
      </c>
      <c r="AR24" t="s">
        <v>50</v>
      </c>
      <c r="AS24" t="s">
        <v>1631</v>
      </c>
      <c r="AT24" t="s">
        <v>63</v>
      </c>
      <c r="AU24" s="3" t="s">
        <v>46</v>
      </c>
      <c r="AV24">
        <v>2007</v>
      </c>
      <c r="AW24" t="s">
        <v>46</v>
      </c>
    </row>
    <row r="25" spans="1:49" x14ac:dyDescent="0.2">
      <c r="A25">
        <v>24</v>
      </c>
      <c r="B25" t="s">
        <v>96</v>
      </c>
      <c r="C25" t="s">
        <v>97</v>
      </c>
      <c r="D25">
        <v>0.06</v>
      </c>
      <c r="E25" t="s">
        <v>68</v>
      </c>
      <c r="F25">
        <f>D25-0.03</f>
        <v>0.03</v>
      </c>
      <c r="G25">
        <f>0.14-D25</f>
        <v>8.0000000000000016E-2</v>
      </c>
      <c r="H25" t="s">
        <v>69</v>
      </c>
      <c r="I25">
        <v>3</v>
      </c>
      <c r="J25">
        <v>7</v>
      </c>
      <c r="K25" s="3" t="s">
        <v>264</v>
      </c>
      <c r="L25" t="s">
        <v>98</v>
      </c>
      <c r="M25">
        <v>0.05</v>
      </c>
      <c r="N25" t="s">
        <v>68</v>
      </c>
      <c r="O25">
        <f>M25-0.03</f>
        <v>2.0000000000000004E-2</v>
      </c>
      <c r="P25">
        <f>0.08-M25</f>
        <v>0.03</v>
      </c>
      <c r="Q25" t="s">
        <v>69</v>
      </c>
      <c r="R25">
        <v>3</v>
      </c>
      <c r="S25">
        <v>7</v>
      </c>
      <c r="T25" s="3" t="s">
        <v>264</v>
      </c>
      <c r="U25" t="s">
        <v>157</v>
      </c>
      <c r="V25" t="s">
        <v>141</v>
      </c>
      <c r="W25" t="s">
        <v>114</v>
      </c>
      <c r="X25" t="s">
        <v>82</v>
      </c>
      <c r="Y25" t="s">
        <v>84</v>
      </c>
      <c r="Z25" t="s">
        <v>485</v>
      </c>
      <c r="AA25" t="s">
        <v>85</v>
      </c>
      <c r="AB25" t="s">
        <v>86</v>
      </c>
      <c r="AC25" t="s">
        <v>38</v>
      </c>
      <c r="AD25" t="s">
        <v>39</v>
      </c>
      <c r="AE25" t="s">
        <v>90</v>
      </c>
      <c r="AF25">
        <v>504</v>
      </c>
      <c r="AG25" t="s">
        <v>77</v>
      </c>
      <c r="AH25" t="s">
        <v>50</v>
      </c>
      <c r="AI25" t="s">
        <v>46</v>
      </c>
      <c r="AJ25" t="s">
        <v>47</v>
      </c>
      <c r="AK25" t="s">
        <v>48</v>
      </c>
      <c r="AL25">
        <v>21.2</v>
      </c>
      <c r="AM25">
        <v>8.58</v>
      </c>
      <c r="AN25" t="s">
        <v>76</v>
      </c>
      <c r="AO25" t="s">
        <v>100</v>
      </c>
      <c r="AP25" t="s">
        <v>63</v>
      </c>
      <c r="AQ25">
        <v>172</v>
      </c>
      <c r="AR25" t="s">
        <v>50</v>
      </c>
      <c r="AS25" t="s">
        <v>1631</v>
      </c>
      <c r="AT25" t="s">
        <v>63</v>
      </c>
      <c r="AU25" s="3" t="s">
        <v>46</v>
      </c>
      <c r="AV25">
        <v>2007</v>
      </c>
      <c r="AW25" t="s">
        <v>46</v>
      </c>
    </row>
    <row r="26" spans="1:49" x14ac:dyDescent="0.2">
      <c r="A26">
        <v>25</v>
      </c>
      <c r="B26" t="s">
        <v>96</v>
      </c>
      <c r="C26" t="s">
        <v>117</v>
      </c>
      <c r="D26">
        <v>17.100000000000001</v>
      </c>
      <c r="E26" t="s">
        <v>68</v>
      </c>
      <c r="F26">
        <f>D26-9.1</f>
        <v>8.0000000000000018</v>
      </c>
      <c r="G26">
        <f>32-D26</f>
        <v>14.899999999999999</v>
      </c>
      <c r="H26" t="s">
        <v>69</v>
      </c>
      <c r="I26">
        <v>3</v>
      </c>
      <c r="J26">
        <v>7</v>
      </c>
      <c r="K26" t="s">
        <v>264</v>
      </c>
      <c r="L26" t="s">
        <v>118</v>
      </c>
      <c r="M26">
        <v>4.4000000000000004</v>
      </c>
      <c r="N26" t="s">
        <v>68</v>
      </c>
      <c r="O26">
        <f>M26-1.9</f>
        <v>2.5000000000000004</v>
      </c>
      <c r="P26">
        <f>10.3-M26</f>
        <v>5.9</v>
      </c>
      <c r="Q26" t="s">
        <v>69</v>
      </c>
      <c r="R26">
        <v>3</v>
      </c>
      <c r="S26">
        <v>7</v>
      </c>
      <c r="T26" t="s">
        <v>264</v>
      </c>
      <c r="U26" t="s">
        <v>157</v>
      </c>
      <c r="V26" t="s">
        <v>142</v>
      </c>
      <c r="W26" t="s">
        <v>119</v>
      </c>
      <c r="X26" t="s">
        <v>82</v>
      </c>
      <c r="Y26" t="s">
        <v>84</v>
      </c>
      <c r="Z26" t="s">
        <v>485</v>
      </c>
      <c r="AA26" t="s">
        <v>85</v>
      </c>
      <c r="AB26" t="s">
        <v>86</v>
      </c>
      <c r="AC26" t="s">
        <v>38</v>
      </c>
      <c r="AD26" t="s">
        <v>39</v>
      </c>
      <c r="AE26" t="s">
        <v>90</v>
      </c>
      <c r="AF26">
        <v>336</v>
      </c>
      <c r="AG26" t="s">
        <v>40</v>
      </c>
      <c r="AH26" t="s">
        <v>50</v>
      </c>
      <c r="AI26" t="s">
        <v>46</v>
      </c>
      <c r="AJ26" t="s">
        <v>47</v>
      </c>
      <c r="AK26" t="s">
        <v>48</v>
      </c>
      <c r="AL26">
        <v>21.2</v>
      </c>
      <c r="AM26">
        <v>8.58</v>
      </c>
      <c r="AN26" t="s">
        <v>76</v>
      </c>
      <c r="AO26" t="s">
        <v>100</v>
      </c>
      <c r="AP26" t="s">
        <v>63</v>
      </c>
      <c r="AQ26">
        <v>172</v>
      </c>
      <c r="AR26" t="s">
        <v>50</v>
      </c>
      <c r="AS26" t="s">
        <v>1630</v>
      </c>
      <c r="AT26" t="s">
        <v>63</v>
      </c>
      <c r="AU26" s="3" t="s">
        <v>46</v>
      </c>
      <c r="AV26">
        <v>2007</v>
      </c>
      <c r="AW26" t="s">
        <v>46</v>
      </c>
    </row>
    <row r="27" spans="1:49" x14ac:dyDescent="0.2">
      <c r="A27">
        <v>26</v>
      </c>
      <c r="B27" t="s">
        <v>96</v>
      </c>
      <c r="C27" t="s">
        <v>117</v>
      </c>
      <c r="D27">
        <v>10.1</v>
      </c>
      <c r="E27" t="s">
        <v>68</v>
      </c>
      <c r="F27">
        <f>D27-4.8</f>
        <v>5.3</v>
      </c>
      <c r="G27">
        <f>21.2-D27</f>
        <v>11.1</v>
      </c>
      <c r="H27" t="s">
        <v>69</v>
      </c>
      <c r="I27">
        <v>3</v>
      </c>
      <c r="J27">
        <v>7</v>
      </c>
      <c r="K27" t="s">
        <v>264</v>
      </c>
      <c r="L27" t="s">
        <v>118</v>
      </c>
      <c r="M27">
        <v>3.1</v>
      </c>
      <c r="N27" t="s">
        <v>68</v>
      </c>
      <c r="O27">
        <f>M27-2.2</f>
        <v>0.89999999999999991</v>
      </c>
      <c r="P27">
        <f>4.4-M27</f>
        <v>1.3000000000000003</v>
      </c>
      <c r="Q27" t="s">
        <v>69</v>
      </c>
      <c r="R27">
        <v>3</v>
      </c>
      <c r="S27">
        <v>7</v>
      </c>
      <c r="T27" t="s">
        <v>264</v>
      </c>
      <c r="U27" t="s">
        <v>157</v>
      </c>
      <c r="V27" t="s">
        <v>143</v>
      </c>
      <c r="W27" t="s">
        <v>119</v>
      </c>
      <c r="X27" t="s">
        <v>82</v>
      </c>
      <c r="Y27" t="s">
        <v>84</v>
      </c>
      <c r="Z27" t="s">
        <v>485</v>
      </c>
      <c r="AA27" t="s">
        <v>85</v>
      </c>
      <c r="AB27" t="s">
        <v>86</v>
      </c>
      <c r="AC27" t="s">
        <v>38</v>
      </c>
      <c r="AD27" t="s">
        <v>39</v>
      </c>
      <c r="AE27" t="s">
        <v>90</v>
      </c>
      <c r="AF27">
        <v>504</v>
      </c>
      <c r="AG27" t="s">
        <v>40</v>
      </c>
      <c r="AH27" t="s">
        <v>50</v>
      </c>
      <c r="AI27" t="s">
        <v>46</v>
      </c>
      <c r="AJ27" t="s">
        <v>47</v>
      </c>
      <c r="AK27" t="s">
        <v>48</v>
      </c>
      <c r="AL27">
        <v>21.2</v>
      </c>
      <c r="AM27">
        <v>8.58</v>
      </c>
      <c r="AN27" t="s">
        <v>76</v>
      </c>
      <c r="AO27" t="s">
        <v>100</v>
      </c>
      <c r="AP27" t="s">
        <v>63</v>
      </c>
      <c r="AQ27">
        <v>172</v>
      </c>
      <c r="AR27" t="s">
        <v>50</v>
      </c>
      <c r="AS27" t="s">
        <v>1630</v>
      </c>
      <c r="AT27" t="s">
        <v>63</v>
      </c>
      <c r="AU27" s="3" t="s">
        <v>46</v>
      </c>
      <c r="AV27">
        <v>2007</v>
      </c>
      <c r="AW27" t="s">
        <v>46</v>
      </c>
    </row>
    <row r="28" spans="1:49" x14ac:dyDescent="0.2">
      <c r="A28">
        <v>27</v>
      </c>
      <c r="B28" t="s">
        <v>96</v>
      </c>
      <c r="C28" t="s">
        <v>120</v>
      </c>
      <c r="D28">
        <v>0.11</v>
      </c>
      <c r="E28" t="s">
        <v>68</v>
      </c>
      <c r="F28">
        <f>D28-0.06</f>
        <v>0.05</v>
      </c>
      <c r="G28">
        <f>0.21-D28</f>
        <v>9.9999999999999992E-2</v>
      </c>
      <c r="H28" t="s">
        <v>69</v>
      </c>
      <c r="I28">
        <v>3</v>
      </c>
      <c r="J28">
        <v>7</v>
      </c>
      <c r="K28" t="s">
        <v>264</v>
      </c>
      <c r="L28" t="s">
        <v>121</v>
      </c>
      <c r="M28">
        <v>0.05</v>
      </c>
      <c r="N28" t="s">
        <v>68</v>
      </c>
      <c r="O28">
        <f>M28-0.02</f>
        <v>3.0000000000000002E-2</v>
      </c>
      <c r="P28">
        <f>0.09-M28</f>
        <v>3.9999999999999994E-2</v>
      </c>
      <c r="Q28" t="s">
        <v>69</v>
      </c>
      <c r="R28">
        <v>3</v>
      </c>
      <c r="S28">
        <v>7</v>
      </c>
      <c r="T28" t="s">
        <v>264</v>
      </c>
      <c r="U28" t="s">
        <v>157</v>
      </c>
      <c r="V28" t="s">
        <v>144</v>
      </c>
      <c r="W28" t="s">
        <v>122</v>
      </c>
      <c r="X28" t="s">
        <v>82</v>
      </c>
      <c r="Y28" t="s">
        <v>84</v>
      </c>
      <c r="Z28" t="s">
        <v>485</v>
      </c>
      <c r="AA28" t="s">
        <v>85</v>
      </c>
      <c r="AB28" t="s">
        <v>86</v>
      </c>
      <c r="AC28" t="s">
        <v>38</v>
      </c>
      <c r="AD28" t="s">
        <v>39</v>
      </c>
      <c r="AE28" t="s">
        <v>90</v>
      </c>
      <c r="AF28">
        <v>336</v>
      </c>
      <c r="AG28" t="s">
        <v>77</v>
      </c>
      <c r="AH28" t="s">
        <v>50</v>
      </c>
      <c r="AI28" t="s">
        <v>46</v>
      </c>
      <c r="AJ28" t="s">
        <v>47</v>
      </c>
      <c r="AK28" t="s">
        <v>48</v>
      </c>
      <c r="AL28">
        <v>21.2</v>
      </c>
      <c r="AM28">
        <v>8.58</v>
      </c>
      <c r="AN28" t="s">
        <v>76</v>
      </c>
      <c r="AO28" t="s">
        <v>100</v>
      </c>
      <c r="AP28" t="s">
        <v>63</v>
      </c>
      <c r="AQ28">
        <v>172</v>
      </c>
      <c r="AR28" t="s">
        <v>50</v>
      </c>
      <c r="AS28" t="s">
        <v>1632</v>
      </c>
      <c r="AT28" t="s">
        <v>63</v>
      </c>
      <c r="AU28" s="3" t="s">
        <v>46</v>
      </c>
      <c r="AV28">
        <v>2007</v>
      </c>
      <c r="AW28" t="s">
        <v>46</v>
      </c>
    </row>
    <row r="29" spans="1:49" x14ac:dyDescent="0.2">
      <c r="A29">
        <v>28</v>
      </c>
      <c r="B29" t="s">
        <v>96</v>
      </c>
      <c r="C29" t="s">
        <v>120</v>
      </c>
      <c r="D29">
        <v>0.03</v>
      </c>
      <c r="E29" t="s">
        <v>68</v>
      </c>
      <c r="F29">
        <f>D29-0.005</f>
        <v>2.4999999999999998E-2</v>
      </c>
      <c r="G29">
        <f>0.2-D29</f>
        <v>0.17</v>
      </c>
      <c r="H29" t="s">
        <v>69</v>
      </c>
      <c r="I29">
        <v>3</v>
      </c>
      <c r="J29">
        <v>7</v>
      </c>
      <c r="K29" t="s">
        <v>264</v>
      </c>
      <c r="L29" t="s">
        <v>121</v>
      </c>
      <c r="M29">
        <v>0.03</v>
      </c>
      <c r="N29" t="s">
        <v>68</v>
      </c>
      <c r="O29">
        <f>M29-0.02</f>
        <v>9.9999999999999985E-3</v>
      </c>
      <c r="P29">
        <f>0.04-M29</f>
        <v>1.0000000000000002E-2</v>
      </c>
      <c r="Q29" t="s">
        <v>69</v>
      </c>
      <c r="R29">
        <v>3</v>
      </c>
      <c r="S29">
        <v>7</v>
      </c>
      <c r="T29" t="s">
        <v>264</v>
      </c>
      <c r="U29" t="s">
        <v>157</v>
      </c>
      <c r="V29" t="s">
        <v>145</v>
      </c>
      <c r="W29" t="s">
        <v>122</v>
      </c>
      <c r="X29" t="s">
        <v>82</v>
      </c>
      <c r="Y29" t="s">
        <v>84</v>
      </c>
      <c r="Z29" t="s">
        <v>485</v>
      </c>
      <c r="AA29" t="s">
        <v>85</v>
      </c>
      <c r="AB29" t="s">
        <v>86</v>
      </c>
      <c r="AC29" t="s">
        <v>38</v>
      </c>
      <c r="AD29" t="s">
        <v>39</v>
      </c>
      <c r="AE29" t="s">
        <v>90</v>
      </c>
      <c r="AF29">
        <v>504</v>
      </c>
      <c r="AG29" t="s">
        <v>77</v>
      </c>
      <c r="AH29" t="s">
        <v>50</v>
      </c>
      <c r="AI29" t="s">
        <v>46</v>
      </c>
      <c r="AJ29" t="s">
        <v>47</v>
      </c>
      <c r="AK29" t="s">
        <v>48</v>
      </c>
      <c r="AL29">
        <v>21.2</v>
      </c>
      <c r="AM29">
        <v>8.58</v>
      </c>
      <c r="AN29" t="s">
        <v>76</v>
      </c>
      <c r="AO29" t="s">
        <v>100</v>
      </c>
      <c r="AP29" t="s">
        <v>63</v>
      </c>
      <c r="AQ29">
        <v>172</v>
      </c>
      <c r="AR29" t="s">
        <v>50</v>
      </c>
      <c r="AS29" t="s">
        <v>1632</v>
      </c>
      <c r="AT29" t="s">
        <v>63</v>
      </c>
      <c r="AU29" s="3" t="s">
        <v>46</v>
      </c>
      <c r="AV29">
        <v>2007</v>
      </c>
      <c r="AW29" t="s">
        <v>160</v>
      </c>
    </row>
    <row r="30" spans="1:49" x14ac:dyDescent="0.2">
      <c r="A30">
        <v>29</v>
      </c>
      <c r="B30" t="s">
        <v>146</v>
      </c>
      <c r="C30" t="s">
        <v>97</v>
      </c>
      <c r="D30">
        <v>90</v>
      </c>
      <c r="E30" t="s">
        <v>42</v>
      </c>
      <c r="F30">
        <f>D30-75</f>
        <v>15</v>
      </c>
      <c r="G30">
        <f>107-D30</f>
        <v>17</v>
      </c>
      <c r="H30" t="s">
        <v>69</v>
      </c>
      <c r="I30">
        <v>3</v>
      </c>
      <c r="J30">
        <v>5</v>
      </c>
      <c r="K30" t="s">
        <v>263</v>
      </c>
      <c r="L30" t="s">
        <v>1680</v>
      </c>
      <c r="M30">
        <v>42</v>
      </c>
      <c r="N30" t="s">
        <v>42</v>
      </c>
      <c r="O30">
        <f>M30-30</f>
        <v>12</v>
      </c>
      <c r="P30">
        <f>57-M30</f>
        <v>15</v>
      </c>
      <c r="Q30" t="s">
        <v>69</v>
      </c>
      <c r="R30">
        <v>3</v>
      </c>
      <c r="S30">
        <v>5</v>
      </c>
      <c r="T30" t="s">
        <v>263</v>
      </c>
      <c r="U30" t="s">
        <v>156</v>
      </c>
      <c r="V30" t="s">
        <v>147</v>
      </c>
      <c r="W30" t="s">
        <v>148</v>
      </c>
      <c r="X30" t="s">
        <v>149</v>
      </c>
      <c r="Y30" t="s">
        <v>150</v>
      </c>
      <c r="Z30" t="s">
        <v>486</v>
      </c>
      <c r="AA30" t="s">
        <v>151</v>
      </c>
      <c r="AB30" t="s">
        <v>37</v>
      </c>
      <c r="AC30" t="s">
        <v>38</v>
      </c>
      <c r="AD30" t="s">
        <v>39</v>
      </c>
      <c r="AE30" t="s">
        <v>75</v>
      </c>
      <c r="AF30">
        <v>96</v>
      </c>
      <c r="AG30" t="s">
        <v>77</v>
      </c>
      <c r="AH30" t="s">
        <v>50</v>
      </c>
      <c r="AI30" t="s">
        <v>46</v>
      </c>
      <c r="AJ30" t="s">
        <v>47</v>
      </c>
      <c r="AK30" t="s">
        <v>61</v>
      </c>
      <c r="AL30">
        <v>32</v>
      </c>
      <c r="AM30">
        <v>7.2</v>
      </c>
      <c r="AN30" t="s">
        <v>152</v>
      </c>
      <c r="AO30" t="s">
        <v>46</v>
      </c>
      <c r="AP30" t="s">
        <v>63</v>
      </c>
      <c r="AQ30">
        <v>139.22999999999999</v>
      </c>
      <c r="AR30" t="s">
        <v>50</v>
      </c>
      <c r="AS30" t="s">
        <v>1631</v>
      </c>
      <c r="AT30" t="s">
        <v>63</v>
      </c>
      <c r="AU30" s="3" t="s">
        <v>46</v>
      </c>
      <c r="AV30">
        <v>2019</v>
      </c>
      <c r="AW30" t="s">
        <v>160</v>
      </c>
    </row>
    <row r="31" spans="1:49" x14ac:dyDescent="0.2">
      <c r="A31">
        <v>30</v>
      </c>
      <c r="B31" t="s">
        <v>154</v>
      </c>
      <c r="C31" t="s">
        <v>161</v>
      </c>
      <c r="D31">
        <v>560</v>
      </c>
      <c r="E31" t="s">
        <v>162</v>
      </c>
      <c r="F31">
        <f>D31-530</f>
        <v>30</v>
      </c>
      <c r="G31">
        <f>600-D31</f>
        <v>40</v>
      </c>
      <c r="H31" t="s">
        <v>69</v>
      </c>
      <c r="I31">
        <v>120</v>
      </c>
      <c r="J31">
        <v>1</v>
      </c>
      <c r="K31" t="s">
        <v>269</v>
      </c>
      <c r="L31" t="s">
        <v>163</v>
      </c>
      <c r="M31">
        <v>415</v>
      </c>
      <c r="N31" t="s">
        <v>162</v>
      </c>
      <c r="O31">
        <f>M31-385</f>
        <v>30</v>
      </c>
      <c r="P31">
        <f>445-M31</f>
        <v>30</v>
      </c>
      <c r="Q31" t="s">
        <v>69</v>
      </c>
      <c r="R31">
        <v>120</v>
      </c>
      <c r="S31">
        <v>1</v>
      </c>
      <c r="T31" t="s">
        <v>269</v>
      </c>
      <c r="U31" t="s">
        <v>156</v>
      </c>
      <c r="V31" t="s">
        <v>164</v>
      </c>
      <c r="W31" t="s">
        <v>165</v>
      </c>
      <c r="X31" t="s">
        <v>166</v>
      </c>
      <c r="Y31" t="s">
        <v>167</v>
      </c>
      <c r="Z31" t="s">
        <v>487</v>
      </c>
      <c r="AA31" t="s">
        <v>168</v>
      </c>
      <c r="AB31" t="s">
        <v>37</v>
      </c>
      <c r="AC31" t="s">
        <v>38</v>
      </c>
      <c r="AD31" t="s">
        <v>169</v>
      </c>
      <c r="AE31" t="s">
        <v>75</v>
      </c>
      <c r="AF31">
        <v>48</v>
      </c>
      <c r="AG31" t="s">
        <v>77</v>
      </c>
      <c r="AH31" t="s">
        <v>50</v>
      </c>
      <c r="AI31" t="s">
        <v>170</v>
      </c>
      <c r="AJ31" t="s">
        <v>171</v>
      </c>
      <c r="AK31" t="s">
        <v>61</v>
      </c>
      <c r="AL31">
        <v>22</v>
      </c>
      <c r="AM31" t="s">
        <v>46</v>
      </c>
      <c r="AN31" t="s">
        <v>152</v>
      </c>
      <c r="AO31" t="s">
        <v>46</v>
      </c>
      <c r="AP31" t="s">
        <v>50</v>
      </c>
      <c r="AQ31" t="s">
        <v>46</v>
      </c>
      <c r="AR31" t="s">
        <v>50</v>
      </c>
      <c r="AS31" t="s">
        <v>1633</v>
      </c>
      <c r="AT31" t="s">
        <v>63</v>
      </c>
      <c r="AU31" s="3" t="s">
        <v>46</v>
      </c>
      <c r="AV31">
        <v>1965</v>
      </c>
      <c r="AW31" t="s">
        <v>159</v>
      </c>
    </row>
    <row r="32" spans="1:49" x14ac:dyDescent="0.2">
      <c r="A32">
        <v>31</v>
      </c>
      <c r="B32" t="s">
        <v>154</v>
      </c>
      <c r="C32" t="s">
        <v>161</v>
      </c>
      <c r="D32">
        <v>560</v>
      </c>
      <c r="E32" t="s">
        <v>162</v>
      </c>
      <c r="F32">
        <f>D32-530</f>
        <v>30</v>
      </c>
      <c r="G32">
        <f>600-D32</f>
        <v>40</v>
      </c>
      <c r="H32" t="s">
        <v>69</v>
      </c>
      <c r="I32">
        <v>120</v>
      </c>
      <c r="J32">
        <v>1</v>
      </c>
      <c r="K32" t="s">
        <v>269</v>
      </c>
      <c r="L32" t="s">
        <v>172</v>
      </c>
      <c r="M32">
        <v>340</v>
      </c>
      <c r="N32" t="s">
        <v>162</v>
      </c>
      <c r="O32">
        <f>M32-305</f>
        <v>35</v>
      </c>
      <c r="P32">
        <f>365-M32</f>
        <v>25</v>
      </c>
      <c r="Q32" t="s">
        <v>69</v>
      </c>
      <c r="R32">
        <v>120</v>
      </c>
      <c r="S32">
        <v>1</v>
      </c>
      <c r="T32" t="s">
        <v>269</v>
      </c>
      <c r="U32" t="s">
        <v>156</v>
      </c>
      <c r="V32" t="s">
        <v>164</v>
      </c>
      <c r="W32" t="s">
        <v>173</v>
      </c>
      <c r="X32" t="s">
        <v>166</v>
      </c>
      <c r="Y32" t="s">
        <v>167</v>
      </c>
      <c r="Z32" t="s">
        <v>487</v>
      </c>
      <c r="AA32" t="s">
        <v>168</v>
      </c>
      <c r="AB32" t="s">
        <v>37</v>
      </c>
      <c r="AC32" t="s">
        <v>38</v>
      </c>
      <c r="AD32" t="s">
        <v>169</v>
      </c>
      <c r="AE32" t="s">
        <v>75</v>
      </c>
      <c r="AF32">
        <v>48</v>
      </c>
      <c r="AG32" t="s">
        <v>77</v>
      </c>
      <c r="AH32" t="s">
        <v>50</v>
      </c>
      <c r="AI32" t="s">
        <v>170</v>
      </c>
      <c r="AJ32" t="s">
        <v>171</v>
      </c>
      <c r="AK32" t="s">
        <v>61</v>
      </c>
      <c r="AL32">
        <v>22</v>
      </c>
      <c r="AM32" t="s">
        <v>46</v>
      </c>
      <c r="AN32" t="s">
        <v>152</v>
      </c>
      <c r="AO32" t="s">
        <v>46</v>
      </c>
      <c r="AP32" t="s">
        <v>50</v>
      </c>
      <c r="AQ32" t="s">
        <v>46</v>
      </c>
      <c r="AR32" t="s">
        <v>50</v>
      </c>
      <c r="AS32" t="s">
        <v>1631</v>
      </c>
      <c r="AT32" t="s">
        <v>63</v>
      </c>
      <c r="AU32" s="3" t="s">
        <v>46</v>
      </c>
      <c r="AV32">
        <v>1965</v>
      </c>
      <c r="AW32" t="s">
        <v>159</v>
      </c>
    </row>
    <row r="33" spans="1:49" x14ac:dyDescent="0.2">
      <c r="A33">
        <v>32</v>
      </c>
      <c r="B33" t="s">
        <v>174</v>
      </c>
      <c r="C33" t="s">
        <v>175</v>
      </c>
      <c r="D33">
        <v>38</v>
      </c>
      <c r="E33" t="s">
        <v>42</v>
      </c>
      <c r="F33">
        <f>D33-35.11</f>
        <v>2.8900000000000006</v>
      </c>
      <c r="G33">
        <f>48.25-D33</f>
        <v>10.25</v>
      </c>
      <c r="H33" t="s">
        <v>69</v>
      </c>
      <c r="I33">
        <v>3</v>
      </c>
      <c r="J33">
        <v>10</v>
      </c>
      <c r="K33" t="s">
        <v>261</v>
      </c>
      <c r="L33" t="s">
        <v>1681</v>
      </c>
      <c r="M33">
        <v>29</v>
      </c>
      <c r="N33" t="s">
        <v>42</v>
      </c>
      <c r="O33">
        <f>M33-27.62</f>
        <v>1.379999999999999</v>
      </c>
      <c r="P33">
        <f>30.82-M33</f>
        <v>1.8200000000000003</v>
      </c>
      <c r="Q33" t="s">
        <v>69</v>
      </c>
      <c r="R33">
        <v>3</v>
      </c>
      <c r="S33">
        <v>10</v>
      </c>
      <c r="T33" t="s">
        <v>261</v>
      </c>
      <c r="U33" t="s">
        <v>156</v>
      </c>
      <c r="V33" t="s">
        <v>176</v>
      </c>
      <c r="W33" t="s">
        <v>186</v>
      </c>
      <c r="X33" t="s">
        <v>177</v>
      </c>
      <c r="Y33" t="s">
        <v>178</v>
      </c>
      <c r="Z33" t="s">
        <v>488</v>
      </c>
      <c r="AA33" t="s">
        <v>60</v>
      </c>
      <c r="AB33" t="s">
        <v>37</v>
      </c>
      <c r="AC33" t="s">
        <v>38</v>
      </c>
      <c r="AD33" t="s">
        <v>179</v>
      </c>
      <c r="AE33" t="s">
        <v>180</v>
      </c>
      <c r="AF33">
        <v>96</v>
      </c>
      <c r="AG33" t="s">
        <v>77</v>
      </c>
      <c r="AH33" t="s">
        <v>50</v>
      </c>
      <c r="AI33" t="s">
        <v>46</v>
      </c>
      <c r="AJ33" t="s">
        <v>47</v>
      </c>
      <c r="AK33" t="s">
        <v>61</v>
      </c>
      <c r="AL33" t="s">
        <v>46</v>
      </c>
      <c r="AM33" t="s">
        <v>46</v>
      </c>
      <c r="AN33" t="s">
        <v>46</v>
      </c>
      <c r="AO33" t="s">
        <v>181</v>
      </c>
      <c r="AP33" t="s">
        <v>50</v>
      </c>
      <c r="AQ33" t="s">
        <v>46</v>
      </c>
      <c r="AR33" t="s">
        <v>50</v>
      </c>
      <c r="AS33" t="s">
        <v>1633</v>
      </c>
      <c r="AT33" t="s">
        <v>63</v>
      </c>
      <c r="AU33" s="3" t="s">
        <v>46</v>
      </c>
      <c r="AV33">
        <v>2008</v>
      </c>
      <c r="AW33" t="s">
        <v>46</v>
      </c>
    </row>
    <row r="34" spans="1:49" x14ac:dyDescent="0.2">
      <c r="A34">
        <v>33</v>
      </c>
      <c r="B34" t="s">
        <v>182</v>
      </c>
      <c r="C34" t="s">
        <v>183</v>
      </c>
      <c r="D34" t="s">
        <v>56</v>
      </c>
      <c r="E34" t="s">
        <v>42</v>
      </c>
      <c r="F34" t="s">
        <v>46</v>
      </c>
      <c r="G34" t="s">
        <v>46</v>
      </c>
      <c r="H34" t="s">
        <v>46</v>
      </c>
      <c r="I34">
        <v>2</v>
      </c>
      <c r="J34">
        <v>25</v>
      </c>
      <c r="K34" t="s">
        <v>262</v>
      </c>
      <c r="L34" t="s">
        <v>184</v>
      </c>
      <c r="M34">
        <v>0.6</v>
      </c>
      <c r="N34" t="s">
        <v>42</v>
      </c>
      <c r="O34">
        <f>M34-0.5</f>
        <v>9.9999999999999978E-2</v>
      </c>
      <c r="P34">
        <f>0.7-M34</f>
        <v>9.9999999999999978E-2</v>
      </c>
      <c r="Q34" t="s">
        <v>69</v>
      </c>
      <c r="R34">
        <v>2</v>
      </c>
      <c r="S34">
        <v>25</v>
      </c>
      <c r="T34" t="s">
        <v>262</v>
      </c>
      <c r="U34" t="s">
        <v>156</v>
      </c>
      <c r="V34" t="s">
        <v>185</v>
      </c>
      <c r="W34" t="s">
        <v>187</v>
      </c>
      <c r="X34" t="s">
        <v>59</v>
      </c>
      <c r="Y34" t="s">
        <v>83</v>
      </c>
      <c r="Z34" t="s">
        <v>46</v>
      </c>
      <c r="AA34" t="s">
        <v>60</v>
      </c>
      <c r="AB34" t="s">
        <v>37</v>
      </c>
      <c r="AC34" t="s">
        <v>38</v>
      </c>
      <c r="AD34" t="s">
        <v>39</v>
      </c>
      <c r="AE34" t="s">
        <v>45</v>
      </c>
      <c r="AF34">
        <v>96</v>
      </c>
      <c r="AG34" t="s">
        <v>40</v>
      </c>
      <c r="AH34" t="s">
        <v>50</v>
      </c>
      <c r="AI34" t="s">
        <v>46</v>
      </c>
      <c r="AJ34" t="s">
        <v>47</v>
      </c>
      <c r="AK34" t="s">
        <v>61</v>
      </c>
      <c r="AL34">
        <v>23</v>
      </c>
      <c r="AM34">
        <v>6.85</v>
      </c>
      <c r="AN34" t="s">
        <v>46</v>
      </c>
      <c r="AO34" t="s">
        <v>191</v>
      </c>
      <c r="AP34" t="s">
        <v>63</v>
      </c>
      <c r="AQ34" t="s">
        <v>46</v>
      </c>
      <c r="AR34" t="s">
        <v>63</v>
      </c>
      <c r="AS34" t="s">
        <v>1631</v>
      </c>
      <c r="AT34" t="s">
        <v>63</v>
      </c>
      <c r="AU34" s="3" t="s">
        <v>46</v>
      </c>
      <c r="AV34">
        <v>2015</v>
      </c>
      <c r="AW34" t="s">
        <v>251</v>
      </c>
    </row>
    <row r="35" spans="1:49" x14ac:dyDescent="0.2">
      <c r="A35">
        <v>34</v>
      </c>
      <c r="B35" t="s">
        <v>182</v>
      </c>
      <c r="C35" t="s">
        <v>183</v>
      </c>
      <c r="D35">
        <v>4</v>
      </c>
      <c r="E35" t="s">
        <v>42</v>
      </c>
      <c r="F35">
        <f>D35-3.1</f>
        <v>0.89999999999999991</v>
      </c>
      <c r="G35">
        <f>4.8-D35</f>
        <v>0.79999999999999982</v>
      </c>
      <c r="H35" t="s">
        <v>69</v>
      </c>
      <c r="I35">
        <v>3</v>
      </c>
      <c r="J35">
        <v>10</v>
      </c>
      <c r="K35" t="s">
        <v>261</v>
      </c>
      <c r="L35" t="s">
        <v>184</v>
      </c>
      <c r="M35">
        <v>0.1</v>
      </c>
      <c r="N35" t="s">
        <v>42</v>
      </c>
      <c r="O35">
        <f>M35-0.07</f>
        <v>0.03</v>
      </c>
      <c r="P35">
        <f>0.11-M35</f>
        <v>9.999999999999995E-3</v>
      </c>
      <c r="Q35" t="s">
        <v>69</v>
      </c>
      <c r="R35">
        <v>3</v>
      </c>
      <c r="S35">
        <v>10</v>
      </c>
      <c r="T35" t="s">
        <v>261</v>
      </c>
      <c r="U35" t="s">
        <v>156</v>
      </c>
      <c r="V35" t="s">
        <v>189</v>
      </c>
      <c r="W35" t="s">
        <v>190</v>
      </c>
      <c r="X35" t="s">
        <v>59</v>
      </c>
      <c r="Y35" t="s">
        <v>83</v>
      </c>
      <c r="Z35" t="s">
        <v>46</v>
      </c>
      <c r="AA35" t="s">
        <v>60</v>
      </c>
      <c r="AB35" t="s">
        <v>37</v>
      </c>
      <c r="AC35" t="s">
        <v>38</v>
      </c>
      <c r="AD35" t="s">
        <v>39</v>
      </c>
      <c r="AE35" t="s">
        <v>180</v>
      </c>
      <c r="AF35">
        <v>96</v>
      </c>
      <c r="AG35" t="s">
        <v>40</v>
      </c>
      <c r="AH35" t="s">
        <v>50</v>
      </c>
      <c r="AI35" t="s">
        <v>46</v>
      </c>
      <c r="AJ35" t="s">
        <v>47</v>
      </c>
      <c r="AK35" t="s">
        <v>61</v>
      </c>
      <c r="AL35">
        <v>23</v>
      </c>
      <c r="AM35">
        <v>6.85</v>
      </c>
      <c r="AN35" t="s">
        <v>152</v>
      </c>
      <c r="AO35" t="s">
        <v>188</v>
      </c>
      <c r="AP35" t="s">
        <v>63</v>
      </c>
      <c r="AQ35" t="s">
        <v>46</v>
      </c>
      <c r="AR35" t="s">
        <v>50</v>
      </c>
      <c r="AS35" t="s">
        <v>1631</v>
      </c>
      <c r="AT35" t="s">
        <v>63</v>
      </c>
      <c r="AU35" s="3" t="s">
        <v>46</v>
      </c>
      <c r="AV35">
        <v>2015</v>
      </c>
      <c r="AW35" t="s">
        <v>46</v>
      </c>
    </row>
    <row r="36" spans="1:49" x14ac:dyDescent="0.2">
      <c r="A36">
        <v>35</v>
      </c>
      <c r="B36" t="s">
        <v>192</v>
      </c>
      <c r="C36" t="s">
        <v>193</v>
      </c>
      <c r="D36">
        <v>0.2233</v>
      </c>
      <c r="E36" t="s">
        <v>42</v>
      </c>
      <c r="F36">
        <f>D36-0.1833</f>
        <v>4.0000000000000008E-2</v>
      </c>
      <c r="G36">
        <f>0.272-D36</f>
        <v>4.8700000000000021E-2</v>
      </c>
      <c r="H36" t="s">
        <v>69</v>
      </c>
      <c r="I36">
        <v>3</v>
      </c>
      <c r="J36">
        <v>5</v>
      </c>
      <c r="K36" t="s">
        <v>260</v>
      </c>
      <c r="L36" t="s">
        <v>1682</v>
      </c>
      <c r="M36">
        <v>0.52600000000000002</v>
      </c>
      <c r="N36" t="s">
        <v>42</v>
      </c>
      <c r="O36">
        <f>M36-0.351</f>
        <v>0.17500000000000004</v>
      </c>
      <c r="P36">
        <f>0.789-M36</f>
        <v>0.26300000000000001</v>
      </c>
      <c r="Q36" t="s">
        <v>69</v>
      </c>
      <c r="R36">
        <v>3</v>
      </c>
      <c r="S36">
        <v>5</v>
      </c>
      <c r="T36" t="s">
        <v>260</v>
      </c>
      <c r="U36" t="s">
        <v>194</v>
      </c>
      <c r="V36" t="s">
        <v>195</v>
      </c>
      <c r="W36" t="s">
        <v>196</v>
      </c>
      <c r="X36" t="s">
        <v>197</v>
      </c>
      <c r="Y36" t="s">
        <v>198</v>
      </c>
      <c r="Z36" t="s">
        <v>489</v>
      </c>
      <c r="AA36" t="s">
        <v>199</v>
      </c>
      <c r="AB36" t="s">
        <v>74</v>
      </c>
      <c r="AC36" t="s">
        <v>38</v>
      </c>
      <c r="AD36" t="s">
        <v>39</v>
      </c>
      <c r="AE36" t="s">
        <v>200</v>
      </c>
      <c r="AF36">
        <v>24</v>
      </c>
      <c r="AG36" t="s">
        <v>77</v>
      </c>
      <c r="AH36" t="s">
        <v>50</v>
      </c>
      <c r="AI36" t="s">
        <v>46</v>
      </c>
      <c r="AJ36" t="s">
        <v>47</v>
      </c>
      <c r="AK36" t="s">
        <v>61</v>
      </c>
      <c r="AL36">
        <v>25</v>
      </c>
      <c r="AM36" t="s">
        <v>46</v>
      </c>
      <c r="AN36" t="s">
        <v>46</v>
      </c>
      <c r="AO36" t="s">
        <v>46</v>
      </c>
      <c r="AP36" t="s">
        <v>50</v>
      </c>
      <c r="AQ36" t="s">
        <v>46</v>
      </c>
      <c r="AR36" t="s">
        <v>50</v>
      </c>
      <c r="AS36" t="s">
        <v>1648</v>
      </c>
      <c r="AT36" t="s">
        <v>63</v>
      </c>
      <c r="AU36" s="3" t="s">
        <v>46</v>
      </c>
      <c r="AV36">
        <v>2012</v>
      </c>
      <c r="AW36" t="s">
        <v>46</v>
      </c>
    </row>
    <row r="37" spans="1:49" x14ac:dyDescent="0.2">
      <c r="A37">
        <v>36</v>
      </c>
      <c r="B37" t="s">
        <v>192</v>
      </c>
      <c r="C37" t="s">
        <v>201</v>
      </c>
      <c r="D37">
        <v>10.039999999999999</v>
      </c>
      <c r="E37" t="s">
        <v>42</v>
      </c>
      <c r="F37">
        <f>D37-6.381</f>
        <v>3.6589999999999989</v>
      </c>
      <c r="G37">
        <f>15.79-D37</f>
        <v>5.75</v>
      </c>
      <c r="H37" t="s">
        <v>69</v>
      </c>
      <c r="I37">
        <v>3</v>
      </c>
      <c r="J37">
        <v>5</v>
      </c>
      <c r="K37" t="s">
        <v>260</v>
      </c>
      <c r="L37" t="s">
        <v>202</v>
      </c>
      <c r="M37">
        <v>312.7</v>
      </c>
      <c r="N37" t="s">
        <v>42</v>
      </c>
      <c r="O37">
        <f>M37-222.4</f>
        <v>90.299999999999983</v>
      </c>
      <c r="P37">
        <f>439.9-M37</f>
        <v>127.19999999999999</v>
      </c>
      <c r="Q37" t="s">
        <v>69</v>
      </c>
      <c r="R37">
        <v>3</v>
      </c>
      <c r="S37">
        <v>5</v>
      </c>
      <c r="T37" t="s">
        <v>260</v>
      </c>
      <c r="U37" t="s">
        <v>194</v>
      </c>
      <c r="V37" t="s">
        <v>203</v>
      </c>
      <c r="W37" t="s">
        <v>204</v>
      </c>
      <c r="X37" t="s">
        <v>197</v>
      </c>
      <c r="Y37" t="s">
        <v>198</v>
      </c>
      <c r="Z37" t="s">
        <v>489</v>
      </c>
      <c r="AA37" t="s">
        <v>199</v>
      </c>
      <c r="AB37" t="s">
        <v>74</v>
      </c>
      <c r="AC37" t="s">
        <v>38</v>
      </c>
      <c r="AD37" t="s">
        <v>39</v>
      </c>
      <c r="AE37" t="s">
        <v>200</v>
      </c>
      <c r="AF37">
        <v>24</v>
      </c>
      <c r="AG37" t="s">
        <v>77</v>
      </c>
      <c r="AH37" t="s">
        <v>50</v>
      </c>
      <c r="AI37" t="s">
        <v>46</v>
      </c>
      <c r="AJ37" t="s">
        <v>47</v>
      </c>
      <c r="AK37" t="s">
        <v>61</v>
      </c>
      <c r="AL37">
        <v>25</v>
      </c>
      <c r="AM37" t="s">
        <v>46</v>
      </c>
      <c r="AN37" t="s">
        <v>46</v>
      </c>
      <c r="AO37" t="s">
        <v>46</v>
      </c>
      <c r="AP37" t="s">
        <v>50</v>
      </c>
      <c r="AQ37" t="s">
        <v>46</v>
      </c>
      <c r="AR37" t="s">
        <v>50</v>
      </c>
      <c r="AS37" t="s">
        <v>1649</v>
      </c>
      <c r="AT37" t="s">
        <v>63</v>
      </c>
      <c r="AU37" s="3" t="s">
        <v>46</v>
      </c>
      <c r="AV37">
        <v>2012</v>
      </c>
      <c r="AW37" t="s">
        <v>46</v>
      </c>
    </row>
    <row r="38" spans="1:49" x14ac:dyDescent="0.2">
      <c r="A38">
        <v>37</v>
      </c>
      <c r="B38" t="s">
        <v>192</v>
      </c>
      <c r="C38" t="s">
        <v>205</v>
      </c>
      <c r="D38">
        <v>50380</v>
      </c>
      <c r="E38" t="s">
        <v>42</v>
      </c>
      <c r="F38">
        <f>D38-44300</f>
        <v>6080</v>
      </c>
      <c r="G38">
        <f>57300-D38</f>
        <v>6920</v>
      </c>
      <c r="H38" t="s">
        <v>69</v>
      </c>
      <c r="I38">
        <v>3</v>
      </c>
      <c r="J38">
        <v>5</v>
      </c>
      <c r="K38" t="s">
        <v>260</v>
      </c>
      <c r="L38" t="s">
        <v>1683</v>
      </c>
      <c r="M38">
        <v>61210</v>
      </c>
      <c r="N38" t="s">
        <v>42</v>
      </c>
      <c r="O38">
        <f>M38-48500</f>
        <v>12710</v>
      </c>
      <c r="P38">
        <f>77260-M38</f>
        <v>16050</v>
      </c>
      <c r="Q38" t="s">
        <v>69</v>
      </c>
      <c r="R38">
        <v>3</v>
      </c>
      <c r="S38">
        <v>5</v>
      </c>
      <c r="T38" t="s">
        <v>260</v>
      </c>
      <c r="U38" t="s">
        <v>194</v>
      </c>
      <c r="V38" t="s">
        <v>206</v>
      </c>
      <c r="W38" t="s">
        <v>207</v>
      </c>
      <c r="X38" t="s">
        <v>197</v>
      </c>
      <c r="Y38" t="s">
        <v>198</v>
      </c>
      <c r="Z38" t="s">
        <v>489</v>
      </c>
      <c r="AA38" t="s">
        <v>199</v>
      </c>
      <c r="AB38" t="s">
        <v>74</v>
      </c>
      <c r="AC38" t="s">
        <v>38</v>
      </c>
      <c r="AD38" t="s">
        <v>39</v>
      </c>
      <c r="AE38" t="s">
        <v>200</v>
      </c>
      <c r="AF38">
        <v>24</v>
      </c>
      <c r="AG38" t="s">
        <v>77</v>
      </c>
      <c r="AH38" t="s">
        <v>50</v>
      </c>
      <c r="AI38" t="s">
        <v>46</v>
      </c>
      <c r="AJ38" t="s">
        <v>47</v>
      </c>
      <c r="AK38" t="s">
        <v>61</v>
      </c>
      <c r="AL38">
        <v>25</v>
      </c>
      <c r="AM38" t="s">
        <v>46</v>
      </c>
      <c r="AN38" t="s">
        <v>46</v>
      </c>
      <c r="AO38" t="s">
        <v>46</v>
      </c>
      <c r="AP38" t="s">
        <v>50</v>
      </c>
      <c r="AQ38" t="s">
        <v>46</v>
      </c>
      <c r="AR38" t="s">
        <v>50</v>
      </c>
      <c r="AS38" t="s">
        <v>1686</v>
      </c>
      <c r="AT38" t="s">
        <v>63</v>
      </c>
      <c r="AU38" s="3" t="s">
        <v>46</v>
      </c>
      <c r="AV38">
        <v>2012</v>
      </c>
      <c r="AW38" t="s">
        <v>46</v>
      </c>
    </row>
    <row r="39" spans="1:49" x14ac:dyDescent="0.2">
      <c r="A39">
        <v>38</v>
      </c>
      <c r="B39" t="s">
        <v>192</v>
      </c>
      <c r="C39" t="s">
        <v>193</v>
      </c>
      <c r="D39">
        <v>2.7010000000000001</v>
      </c>
      <c r="E39" t="s">
        <v>42</v>
      </c>
      <c r="F39">
        <f>D39-2.215</f>
        <v>0.48600000000000021</v>
      </c>
      <c r="G39">
        <f>3.294-D39</f>
        <v>0.59299999999999997</v>
      </c>
      <c r="H39" t="s">
        <v>69</v>
      </c>
      <c r="I39">
        <v>24</v>
      </c>
      <c r="J39">
        <v>1</v>
      </c>
      <c r="K39" t="s">
        <v>272</v>
      </c>
      <c r="L39" t="s">
        <v>1682</v>
      </c>
      <c r="M39">
        <v>3.5649999999999999</v>
      </c>
      <c r="N39" t="s">
        <v>42</v>
      </c>
      <c r="O39">
        <f>M39-1.721</f>
        <v>1.8439999999999999</v>
      </c>
      <c r="P39">
        <f>7.385-M39</f>
        <v>3.82</v>
      </c>
      <c r="Q39" s="3" t="s">
        <v>69</v>
      </c>
      <c r="R39">
        <v>24</v>
      </c>
      <c r="S39">
        <v>1</v>
      </c>
      <c r="T39" t="s">
        <v>272</v>
      </c>
      <c r="U39" t="s">
        <v>194</v>
      </c>
      <c r="V39" t="s">
        <v>208</v>
      </c>
      <c r="W39" t="s">
        <v>209</v>
      </c>
      <c r="X39" t="s">
        <v>197</v>
      </c>
      <c r="Y39" t="s">
        <v>198</v>
      </c>
      <c r="Z39" t="s">
        <v>489</v>
      </c>
      <c r="AA39" t="s">
        <v>199</v>
      </c>
      <c r="AB39" t="s">
        <v>74</v>
      </c>
      <c r="AC39" t="s">
        <v>38</v>
      </c>
      <c r="AD39" t="s">
        <v>39</v>
      </c>
      <c r="AE39" t="s">
        <v>90</v>
      </c>
      <c r="AF39">
        <v>24</v>
      </c>
      <c r="AG39" t="s">
        <v>77</v>
      </c>
      <c r="AH39" t="s">
        <v>50</v>
      </c>
      <c r="AI39" t="s">
        <v>46</v>
      </c>
      <c r="AJ39" t="s">
        <v>47</v>
      </c>
      <c r="AK39" t="s">
        <v>61</v>
      </c>
      <c r="AL39">
        <v>25</v>
      </c>
      <c r="AM39" t="s">
        <v>46</v>
      </c>
      <c r="AN39" t="s">
        <v>46</v>
      </c>
      <c r="AO39" t="s">
        <v>46</v>
      </c>
      <c r="AP39" t="s">
        <v>50</v>
      </c>
      <c r="AQ39" t="s">
        <v>46</v>
      </c>
      <c r="AR39" t="s">
        <v>50</v>
      </c>
      <c r="AS39" t="s">
        <v>1648</v>
      </c>
      <c r="AT39" t="s">
        <v>63</v>
      </c>
      <c r="AU39" s="3" t="s">
        <v>46</v>
      </c>
      <c r="AV39">
        <v>2012</v>
      </c>
      <c r="AW39" t="s">
        <v>46</v>
      </c>
    </row>
    <row r="40" spans="1:49" x14ac:dyDescent="0.2">
      <c r="A40">
        <v>39</v>
      </c>
      <c r="B40" t="s">
        <v>192</v>
      </c>
      <c r="C40" t="s">
        <v>201</v>
      </c>
      <c r="D40">
        <v>1112</v>
      </c>
      <c r="E40" t="s">
        <v>42</v>
      </c>
      <c r="F40">
        <f>D40-841.9</f>
        <v>270.10000000000002</v>
      </c>
      <c r="G40">
        <f>1468-D40</f>
        <v>356</v>
      </c>
      <c r="H40" t="s">
        <v>69</v>
      </c>
      <c r="I40">
        <v>24</v>
      </c>
      <c r="J40">
        <v>1</v>
      </c>
      <c r="K40" t="s">
        <v>272</v>
      </c>
      <c r="L40" t="s">
        <v>202</v>
      </c>
      <c r="M40">
        <v>816.7</v>
      </c>
      <c r="N40" t="s">
        <v>42</v>
      </c>
      <c r="O40">
        <f>M40-692.9</f>
        <v>123.80000000000007</v>
      </c>
      <c r="P40">
        <f>962.6-M40</f>
        <v>145.89999999999998</v>
      </c>
      <c r="Q40" s="3" t="s">
        <v>69</v>
      </c>
      <c r="R40">
        <v>24</v>
      </c>
      <c r="S40">
        <v>1</v>
      </c>
      <c r="T40" t="s">
        <v>272</v>
      </c>
      <c r="U40" t="s">
        <v>194</v>
      </c>
      <c r="V40" t="s">
        <v>211</v>
      </c>
      <c r="W40" s="3" t="s">
        <v>210</v>
      </c>
      <c r="X40" t="s">
        <v>197</v>
      </c>
      <c r="Y40" t="s">
        <v>198</v>
      </c>
      <c r="Z40" t="s">
        <v>489</v>
      </c>
      <c r="AA40" t="s">
        <v>199</v>
      </c>
      <c r="AB40" t="s">
        <v>74</v>
      </c>
      <c r="AC40" t="s">
        <v>38</v>
      </c>
      <c r="AD40" t="s">
        <v>39</v>
      </c>
      <c r="AE40" t="s">
        <v>90</v>
      </c>
      <c r="AF40">
        <v>24</v>
      </c>
      <c r="AG40" t="s">
        <v>77</v>
      </c>
      <c r="AH40" t="s">
        <v>50</v>
      </c>
      <c r="AI40" t="s">
        <v>46</v>
      </c>
      <c r="AJ40" t="s">
        <v>47</v>
      </c>
      <c r="AK40" t="s">
        <v>61</v>
      </c>
      <c r="AL40">
        <v>25</v>
      </c>
      <c r="AM40" t="s">
        <v>46</v>
      </c>
      <c r="AN40" t="s">
        <v>46</v>
      </c>
      <c r="AO40" t="s">
        <v>46</v>
      </c>
      <c r="AP40" t="s">
        <v>50</v>
      </c>
      <c r="AQ40" t="s">
        <v>46</v>
      </c>
      <c r="AR40" t="s">
        <v>50</v>
      </c>
      <c r="AS40" t="s">
        <v>1649</v>
      </c>
      <c r="AT40" t="s">
        <v>63</v>
      </c>
      <c r="AU40" s="3" t="s">
        <v>46</v>
      </c>
      <c r="AV40">
        <v>2012</v>
      </c>
      <c r="AW40" t="s">
        <v>46</v>
      </c>
    </row>
    <row r="41" spans="1:49" x14ac:dyDescent="0.2">
      <c r="A41">
        <v>40</v>
      </c>
      <c r="B41" t="s">
        <v>192</v>
      </c>
      <c r="C41" t="s">
        <v>205</v>
      </c>
      <c r="D41">
        <v>137300</v>
      </c>
      <c r="E41" t="s">
        <v>42</v>
      </c>
      <c r="F41">
        <f>D41-132800</f>
        <v>4500</v>
      </c>
      <c r="G41">
        <f>141900-D41</f>
        <v>4600</v>
      </c>
      <c r="H41" t="s">
        <v>69</v>
      </c>
      <c r="I41">
        <v>24</v>
      </c>
      <c r="J41">
        <v>1</v>
      </c>
      <c r="K41" t="s">
        <v>272</v>
      </c>
      <c r="L41" t="s">
        <v>1683</v>
      </c>
      <c r="M41">
        <v>191300</v>
      </c>
      <c r="N41" t="s">
        <v>42</v>
      </c>
      <c r="O41">
        <f>M41-141100</f>
        <v>50200</v>
      </c>
      <c r="P41">
        <f>259000-M41</f>
        <v>67700</v>
      </c>
      <c r="Q41" s="3" t="s">
        <v>69</v>
      </c>
      <c r="R41">
        <v>24</v>
      </c>
      <c r="S41">
        <v>1</v>
      </c>
      <c r="T41" t="s">
        <v>272</v>
      </c>
      <c r="U41" t="s">
        <v>194</v>
      </c>
      <c r="V41" t="s">
        <v>212</v>
      </c>
      <c r="W41" s="3" t="s">
        <v>213</v>
      </c>
      <c r="X41" t="s">
        <v>197</v>
      </c>
      <c r="Y41" t="s">
        <v>198</v>
      </c>
      <c r="Z41" t="s">
        <v>489</v>
      </c>
      <c r="AA41" t="s">
        <v>199</v>
      </c>
      <c r="AB41" t="s">
        <v>74</v>
      </c>
      <c r="AC41" t="s">
        <v>38</v>
      </c>
      <c r="AD41" t="s">
        <v>39</v>
      </c>
      <c r="AE41" t="s">
        <v>90</v>
      </c>
      <c r="AF41">
        <v>24</v>
      </c>
      <c r="AG41" t="s">
        <v>77</v>
      </c>
      <c r="AH41" t="s">
        <v>50</v>
      </c>
      <c r="AI41" t="s">
        <v>46</v>
      </c>
      <c r="AJ41" t="s">
        <v>47</v>
      </c>
      <c r="AK41" t="s">
        <v>61</v>
      </c>
      <c r="AL41">
        <v>25</v>
      </c>
      <c r="AM41" t="s">
        <v>46</v>
      </c>
      <c r="AN41" t="s">
        <v>46</v>
      </c>
      <c r="AO41" t="s">
        <v>46</v>
      </c>
      <c r="AP41" t="s">
        <v>50</v>
      </c>
      <c r="AQ41" t="s">
        <v>46</v>
      </c>
      <c r="AR41" t="s">
        <v>50</v>
      </c>
      <c r="AS41" t="s">
        <v>1686</v>
      </c>
      <c r="AT41" t="s">
        <v>63</v>
      </c>
      <c r="AU41" s="3" t="s">
        <v>46</v>
      </c>
      <c r="AV41">
        <v>2012</v>
      </c>
      <c r="AW41" t="s">
        <v>46</v>
      </c>
    </row>
    <row r="42" spans="1:49" x14ac:dyDescent="0.2">
      <c r="A42">
        <v>41</v>
      </c>
      <c r="B42" t="s">
        <v>214</v>
      </c>
      <c r="C42" t="s">
        <v>215</v>
      </c>
      <c r="D42">
        <v>9.76</v>
      </c>
      <c r="E42" t="s">
        <v>42</v>
      </c>
      <c r="F42">
        <v>0.84299999999999997</v>
      </c>
      <c r="G42">
        <v>0.84299999999999997</v>
      </c>
      <c r="H42" t="s">
        <v>43</v>
      </c>
      <c r="I42">
        <v>5</v>
      </c>
      <c r="J42">
        <v>4</v>
      </c>
      <c r="K42" t="s">
        <v>268</v>
      </c>
      <c r="L42" t="s">
        <v>216</v>
      </c>
      <c r="M42">
        <v>2.81</v>
      </c>
      <c r="N42" t="s">
        <v>42</v>
      </c>
      <c r="O42">
        <v>2.8000000000000001E-2</v>
      </c>
      <c r="P42">
        <v>2.8000000000000001E-2</v>
      </c>
      <c r="Q42" s="3" t="s">
        <v>43</v>
      </c>
      <c r="R42">
        <v>5</v>
      </c>
      <c r="S42">
        <v>4</v>
      </c>
      <c r="T42" t="s">
        <v>268</v>
      </c>
      <c r="U42" t="s">
        <v>217</v>
      </c>
      <c r="V42" t="s">
        <v>218</v>
      </c>
      <c r="W42" t="s">
        <v>219</v>
      </c>
      <c r="X42" t="s">
        <v>220</v>
      </c>
      <c r="Y42" t="s">
        <v>221</v>
      </c>
      <c r="Z42" t="s">
        <v>490</v>
      </c>
      <c r="AA42" t="s">
        <v>60</v>
      </c>
      <c r="AB42" t="s">
        <v>37</v>
      </c>
      <c r="AC42" t="s">
        <v>38</v>
      </c>
      <c r="AD42" t="s">
        <v>179</v>
      </c>
      <c r="AE42" t="s">
        <v>180</v>
      </c>
      <c r="AF42">
        <v>96</v>
      </c>
      <c r="AG42" t="s">
        <v>40</v>
      </c>
      <c r="AH42" t="s">
        <v>50</v>
      </c>
      <c r="AI42" t="s">
        <v>46</v>
      </c>
      <c r="AJ42" t="s">
        <v>47</v>
      </c>
      <c r="AK42" t="s">
        <v>61</v>
      </c>
      <c r="AL42">
        <v>25</v>
      </c>
      <c r="AM42" t="s">
        <v>46</v>
      </c>
      <c r="AN42" t="s">
        <v>152</v>
      </c>
      <c r="AO42" t="s">
        <v>222</v>
      </c>
      <c r="AP42" t="s">
        <v>50</v>
      </c>
      <c r="AQ42">
        <v>60</v>
      </c>
      <c r="AR42" t="s">
        <v>50</v>
      </c>
      <c r="AS42" t="s">
        <v>1631</v>
      </c>
      <c r="AT42" t="s">
        <v>63</v>
      </c>
      <c r="AU42" s="3" t="s">
        <v>46</v>
      </c>
      <c r="AV42">
        <v>2012</v>
      </c>
      <c r="AW42" t="s">
        <v>46</v>
      </c>
    </row>
    <row r="43" spans="1:49" x14ac:dyDescent="0.2">
      <c r="A43">
        <v>42</v>
      </c>
      <c r="B43" t="s">
        <v>224</v>
      </c>
      <c r="C43" t="s">
        <v>225</v>
      </c>
      <c r="D43">
        <v>2.6</v>
      </c>
      <c r="E43" t="s">
        <v>68</v>
      </c>
      <c r="F43">
        <f>D43-2</f>
        <v>0.60000000000000009</v>
      </c>
      <c r="G43">
        <f>3.38-D43</f>
        <v>0.7799999999999998</v>
      </c>
      <c r="H43" t="s">
        <v>69</v>
      </c>
      <c r="I43">
        <v>1</v>
      </c>
      <c r="J43">
        <v>10</v>
      </c>
      <c r="K43" t="s">
        <v>270</v>
      </c>
      <c r="L43" t="s">
        <v>226</v>
      </c>
      <c r="M43">
        <v>1.8</v>
      </c>
      <c r="N43" t="s">
        <v>68</v>
      </c>
      <c r="O43">
        <f>M43-1.28</f>
        <v>0.52</v>
      </c>
      <c r="P43">
        <f>2.52-M43</f>
        <v>0.72</v>
      </c>
      <c r="Q43" s="3" t="s">
        <v>69</v>
      </c>
      <c r="R43">
        <v>1</v>
      </c>
      <c r="S43">
        <v>10</v>
      </c>
      <c r="T43" t="s">
        <v>270</v>
      </c>
      <c r="U43" t="s">
        <v>227</v>
      </c>
      <c r="V43" t="s">
        <v>228</v>
      </c>
      <c r="W43" t="s">
        <v>229</v>
      </c>
      <c r="X43" s="4" t="s">
        <v>230</v>
      </c>
      <c r="Y43" t="s">
        <v>231</v>
      </c>
      <c r="Z43" t="s">
        <v>491</v>
      </c>
      <c r="AA43" t="s">
        <v>232</v>
      </c>
      <c r="AB43" t="s">
        <v>74</v>
      </c>
      <c r="AC43" t="s">
        <v>38</v>
      </c>
      <c r="AD43" t="s">
        <v>179</v>
      </c>
      <c r="AE43" t="s">
        <v>180</v>
      </c>
      <c r="AF43">
        <v>24</v>
      </c>
      <c r="AG43" t="s">
        <v>40</v>
      </c>
      <c r="AH43" t="s">
        <v>50</v>
      </c>
      <c r="AI43" t="s">
        <v>46</v>
      </c>
      <c r="AJ43" t="s">
        <v>47</v>
      </c>
      <c r="AK43" t="s">
        <v>61</v>
      </c>
      <c r="AL43">
        <v>22</v>
      </c>
      <c r="AM43">
        <v>7.7350000000000003</v>
      </c>
      <c r="AN43" t="s">
        <v>46</v>
      </c>
      <c r="AO43" t="s">
        <v>233</v>
      </c>
      <c r="AP43" t="s">
        <v>63</v>
      </c>
      <c r="AQ43">
        <v>43</v>
      </c>
      <c r="AR43" t="s">
        <v>50</v>
      </c>
      <c r="AS43" t="s">
        <v>1631</v>
      </c>
      <c r="AT43" t="s">
        <v>63</v>
      </c>
      <c r="AU43" s="3" t="s">
        <v>46</v>
      </c>
      <c r="AV43">
        <v>1989</v>
      </c>
      <c r="AW43" t="s">
        <v>234</v>
      </c>
    </row>
    <row r="44" spans="1:49" x14ac:dyDescent="0.2">
      <c r="A44">
        <v>43</v>
      </c>
      <c r="B44" t="s">
        <v>224</v>
      </c>
      <c r="C44" t="s">
        <v>225</v>
      </c>
      <c r="D44">
        <v>2.2999999999999998</v>
      </c>
      <c r="E44" t="s">
        <v>68</v>
      </c>
      <c r="F44">
        <f>D44-1.79</f>
        <v>0.50999999999999979</v>
      </c>
      <c r="G44">
        <f>2.95-D44</f>
        <v>0.65000000000000036</v>
      </c>
      <c r="H44" t="s">
        <v>69</v>
      </c>
      <c r="I44">
        <v>1</v>
      </c>
      <c r="J44">
        <v>10</v>
      </c>
      <c r="K44" t="s">
        <v>270</v>
      </c>
      <c r="L44" t="s">
        <v>226</v>
      </c>
      <c r="M44">
        <v>1.23</v>
      </c>
      <c r="N44" t="s">
        <v>68</v>
      </c>
      <c r="O44">
        <f>M44-0.95</f>
        <v>0.28000000000000003</v>
      </c>
      <c r="P44">
        <f>1.58-M44</f>
        <v>0.35000000000000009</v>
      </c>
      <c r="Q44" s="3" t="s">
        <v>69</v>
      </c>
      <c r="R44">
        <v>1</v>
      </c>
      <c r="S44">
        <v>10</v>
      </c>
      <c r="T44" t="s">
        <v>270</v>
      </c>
      <c r="U44" t="s">
        <v>227</v>
      </c>
      <c r="V44" t="s">
        <v>235</v>
      </c>
      <c r="W44" t="s">
        <v>229</v>
      </c>
      <c r="X44" s="4" t="s">
        <v>230</v>
      </c>
      <c r="Y44" t="s">
        <v>231</v>
      </c>
      <c r="Z44" t="s">
        <v>491</v>
      </c>
      <c r="AA44" t="s">
        <v>232</v>
      </c>
      <c r="AB44" t="s">
        <v>74</v>
      </c>
      <c r="AC44" t="s">
        <v>38</v>
      </c>
      <c r="AD44" t="s">
        <v>179</v>
      </c>
      <c r="AE44" t="s">
        <v>180</v>
      </c>
      <c r="AF44">
        <v>48</v>
      </c>
      <c r="AG44" t="s">
        <v>40</v>
      </c>
      <c r="AH44" t="s">
        <v>50</v>
      </c>
      <c r="AI44" t="s">
        <v>46</v>
      </c>
      <c r="AJ44" t="s">
        <v>47</v>
      </c>
      <c r="AK44" t="s">
        <v>61</v>
      </c>
      <c r="AL44">
        <v>22</v>
      </c>
      <c r="AM44">
        <v>7.7350000000000003</v>
      </c>
      <c r="AN44" t="s">
        <v>46</v>
      </c>
      <c r="AO44" t="s">
        <v>233</v>
      </c>
      <c r="AP44" t="s">
        <v>63</v>
      </c>
      <c r="AQ44">
        <v>43</v>
      </c>
      <c r="AR44" t="s">
        <v>50</v>
      </c>
      <c r="AS44" t="s">
        <v>1631</v>
      </c>
      <c r="AT44" t="s">
        <v>63</v>
      </c>
      <c r="AU44" s="3" t="s">
        <v>46</v>
      </c>
      <c r="AV44">
        <v>1989</v>
      </c>
      <c r="AW44" t="s">
        <v>234</v>
      </c>
    </row>
    <row r="45" spans="1:49" x14ac:dyDescent="0.2">
      <c r="A45">
        <v>44</v>
      </c>
      <c r="B45" t="s">
        <v>224</v>
      </c>
      <c r="C45" t="s">
        <v>236</v>
      </c>
      <c r="D45">
        <v>5.2</v>
      </c>
      <c r="E45" t="s">
        <v>68</v>
      </c>
      <c r="F45">
        <f>D45-4.31</f>
        <v>0.89000000000000057</v>
      </c>
      <c r="G45">
        <f>6.27-D45</f>
        <v>1.0699999999999994</v>
      </c>
      <c r="H45" t="s">
        <v>69</v>
      </c>
      <c r="I45">
        <v>1</v>
      </c>
      <c r="J45">
        <v>10</v>
      </c>
      <c r="K45" t="s">
        <v>270</v>
      </c>
      <c r="L45" t="s">
        <v>237</v>
      </c>
      <c r="M45">
        <v>6.3</v>
      </c>
      <c r="N45" t="s">
        <v>68</v>
      </c>
      <c r="O45">
        <f>M45-5.23</f>
        <v>1.0699999999999994</v>
      </c>
      <c r="P45">
        <f>7.59-M45</f>
        <v>1.29</v>
      </c>
      <c r="Q45" s="3" t="s">
        <v>69</v>
      </c>
      <c r="R45">
        <v>1</v>
      </c>
      <c r="S45">
        <v>10</v>
      </c>
      <c r="T45" t="s">
        <v>270</v>
      </c>
      <c r="U45" t="s">
        <v>227</v>
      </c>
      <c r="V45" t="s">
        <v>238</v>
      </c>
      <c r="W45" t="s">
        <v>239</v>
      </c>
      <c r="X45" s="4" t="s">
        <v>230</v>
      </c>
      <c r="Y45" t="s">
        <v>231</v>
      </c>
      <c r="Z45" t="s">
        <v>491</v>
      </c>
      <c r="AA45" t="s">
        <v>232</v>
      </c>
      <c r="AB45" t="s">
        <v>74</v>
      </c>
      <c r="AC45" t="s">
        <v>38</v>
      </c>
      <c r="AD45" t="s">
        <v>179</v>
      </c>
      <c r="AE45" t="s">
        <v>180</v>
      </c>
      <c r="AF45">
        <v>24</v>
      </c>
      <c r="AG45" t="s">
        <v>40</v>
      </c>
      <c r="AH45" t="s">
        <v>50</v>
      </c>
      <c r="AI45" t="s">
        <v>46</v>
      </c>
      <c r="AJ45" t="s">
        <v>47</v>
      </c>
      <c r="AK45" t="s">
        <v>61</v>
      </c>
      <c r="AL45">
        <v>22</v>
      </c>
      <c r="AM45">
        <v>7.7350000000000003</v>
      </c>
      <c r="AN45" t="s">
        <v>46</v>
      </c>
      <c r="AO45" t="s">
        <v>233</v>
      </c>
      <c r="AP45" t="s">
        <v>63</v>
      </c>
      <c r="AQ45">
        <v>43</v>
      </c>
      <c r="AR45" t="s">
        <v>50</v>
      </c>
      <c r="AS45" t="s">
        <v>1635</v>
      </c>
      <c r="AT45" t="s">
        <v>63</v>
      </c>
      <c r="AU45" s="3" t="s">
        <v>46</v>
      </c>
      <c r="AV45">
        <v>1989</v>
      </c>
      <c r="AW45" t="s">
        <v>234</v>
      </c>
    </row>
    <row r="46" spans="1:49" x14ac:dyDescent="0.2">
      <c r="A46">
        <v>45</v>
      </c>
      <c r="B46" t="s">
        <v>224</v>
      </c>
      <c r="C46" t="s">
        <v>236</v>
      </c>
      <c r="D46">
        <v>1.8</v>
      </c>
      <c r="E46" t="s">
        <v>68</v>
      </c>
      <c r="F46">
        <f>D46-1.3</f>
        <v>0.5</v>
      </c>
      <c r="G46">
        <f>2.5-D46</f>
        <v>0.7</v>
      </c>
      <c r="H46" t="s">
        <v>69</v>
      </c>
      <c r="I46">
        <v>1</v>
      </c>
      <c r="J46">
        <v>10</v>
      </c>
      <c r="K46" t="s">
        <v>270</v>
      </c>
      <c r="L46" t="s">
        <v>237</v>
      </c>
      <c r="M46">
        <v>2.2000000000000002</v>
      </c>
      <c r="N46" t="s">
        <v>68</v>
      </c>
      <c r="O46">
        <f>M46-1.67</f>
        <v>0.53000000000000025</v>
      </c>
      <c r="P46">
        <f>2.9-M46</f>
        <v>0.69999999999999973</v>
      </c>
      <c r="Q46" s="3" t="s">
        <v>69</v>
      </c>
      <c r="R46">
        <v>1</v>
      </c>
      <c r="S46">
        <v>10</v>
      </c>
      <c r="T46" t="s">
        <v>270</v>
      </c>
      <c r="U46" t="s">
        <v>227</v>
      </c>
      <c r="V46" t="s">
        <v>240</v>
      </c>
      <c r="W46" t="s">
        <v>239</v>
      </c>
      <c r="X46" s="4" t="s">
        <v>230</v>
      </c>
      <c r="Y46" t="s">
        <v>231</v>
      </c>
      <c r="Z46" t="s">
        <v>491</v>
      </c>
      <c r="AA46" t="s">
        <v>232</v>
      </c>
      <c r="AB46" t="s">
        <v>74</v>
      </c>
      <c r="AC46" t="s">
        <v>38</v>
      </c>
      <c r="AD46" t="s">
        <v>179</v>
      </c>
      <c r="AE46" t="s">
        <v>180</v>
      </c>
      <c r="AF46">
        <v>48</v>
      </c>
      <c r="AG46" t="s">
        <v>40</v>
      </c>
      <c r="AH46" t="s">
        <v>50</v>
      </c>
      <c r="AI46" t="s">
        <v>46</v>
      </c>
      <c r="AJ46" t="s">
        <v>47</v>
      </c>
      <c r="AK46" t="s">
        <v>61</v>
      </c>
      <c r="AL46">
        <v>22</v>
      </c>
      <c r="AM46">
        <v>7.7350000000000003</v>
      </c>
      <c r="AN46" t="s">
        <v>46</v>
      </c>
      <c r="AO46" t="s">
        <v>233</v>
      </c>
      <c r="AP46" t="s">
        <v>63</v>
      </c>
      <c r="AQ46">
        <v>43</v>
      </c>
      <c r="AR46" t="s">
        <v>50</v>
      </c>
      <c r="AS46" t="s">
        <v>1635</v>
      </c>
      <c r="AT46" t="s">
        <v>63</v>
      </c>
      <c r="AU46" s="3" t="s">
        <v>46</v>
      </c>
      <c r="AV46">
        <v>1989</v>
      </c>
      <c r="AW46" t="s">
        <v>234</v>
      </c>
    </row>
    <row r="47" spans="1:49" x14ac:dyDescent="0.2">
      <c r="A47">
        <v>46</v>
      </c>
      <c r="B47" t="s">
        <v>224</v>
      </c>
      <c r="C47" t="s">
        <v>241</v>
      </c>
      <c r="D47">
        <v>27.5</v>
      </c>
      <c r="E47" t="s">
        <v>68</v>
      </c>
      <c r="F47">
        <f>D47-20.6</f>
        <v>6.8999999999999986</v>
      </c>
      <c r="G47">
        <f>36.6-D47</f>
        <v>9.1000000000000014</v>
      </c>
      <c r="H47" t="s">
        <v>69</v>
      </c>
      <c r="I47">
        <v>1</v>
      </c>
      <c r="J47">
        <v>10</v>
      </c>
      <c r="K47" t="s">
        <v>270</v>
      </c>
      <c r="L47" t="s">
        <v>242</v>
      </c>
      <c r="M47">
        <v>13.1</v>
      </c>
      <c r="N47" t="s">
        <v>68</v>
      </c>
      <c r="O47">
        <f>M47-10.3</f>
        <v>2.7999999999999989</v>
      </c>
      <c r="P47">
        <f>16.6-M47</f>
        <v>3.5000000000000018</v>
      </c>
      <c r="Q47" s="3" t="s">
        <v>69</v>
      </c>
      <c r="R47">
        <v>1</v>
      </c>
      <c r="S47">
        <v>10</v>
      </c>
      <c r="T47" t="s">
        <v>270</v>
      </c>
      <c r="U47" t="s">
        <v>227</v>
      </c>
      <c r="V47" t="s">
        <v>243</v>
      </c>
      <c r="W47" t="s">
        <v>244</v>
      </c>
      <c r="X47" s="4" t="s">
        <v>230</v>
      </c>
      <c r="Y47" t="s">
        <v>231</v>
      </c>
      <c r="Z47" t="s">
        <v>491</v>
      </c>
      <c r="AA47" t="s">
        <v>232</v>
      </c>
      <c r="AB47" t="s">
        <v>74</v>
      </c>
      <c r="AC47" t="s">
        <v>38</v>
      </c>
      <c r="AD47" t="s">
        <v>179</v>
      </c>
      <c r="AE47" t="s">
        <v>180</v>
      </c>
      <c r="AF47">
        <v>24</v>
      </c>
      <c r="AG47" t="s">
        <v>40</v>
      </c>
      <c r="AH47" t="s">
        <v>50</v>
      </c>
      <c r="AI47" t="s">
        <v>46</v>
      </c>
      <c r="AJ47" t="s">
        <v>47</v>
      </c>
      <c r="AK47" t="s">
        <v>61</v>
      </c>
      <c r="AL47">
        <v>22</v>
      </c>
      <c r="AM47">
        <v>7.7350000000000003</v>
      </c>
      <c r="AN47" t="s">
        <v>46</v>
      </c>
      <c r="AO47" t="s">
        <v>233</v>
      </c>
      <c r="AP47" t="s">
        <v>63</v>
      </c>
      <c r="AQ47">
        <v>43</v>
      </c>
      <c r="AR47" t="s">
        <v>50</v>
      </c>
      <c r="AS47" t="s">
        <v>1631</v>
      </c>
      <c r="AT47" t="s">
        <v>63</v>
      </c>
      <c r="AU47" s="3" t="s">
        <v>46</v>
      </c>
      <c r="AV47">
        <v>1989</v>
      </c>
      <c r="AW47" t="s">
        <v>234</v>
      </c>
    </row>
    <row r="48" spans="1:49" x14ac:dyDescent="0.2">
      <c r="A48">
        <v>47</v>
      </c>
      <c r="B48" t="s">
        <v>224</v>
      </c>
      <c r="C48" t="s">
        <v>241</v>
      </c>
      <c r="D48">
        <v>10</v>
      </c>
      <c r="E48" t="s">
        <v>68</v>
      </c>
      <c r="F48">
        <f>D48-7.4</f>
        <v>2.5999999999999996</v>
      </c>
      <c r="G48">
        <f>13.4-D48</f>
        <v>3.4000000000000004</v>
      </c>
      <c r="H48" t="s">
        <v>69</v>
      </c>
      <c r="I48">
        <v>1</v>
      </c>
      <c r="J48">
        <v>10</v>
      </c>
      <c r="K48" t="s">
        <v>270</v>
      </c>
      <c r="L48" t="s">
        <v>242</v>
      </c>
      <c r="M48">
        <v>12.5</v>
      </c>
      <c r="N48" t="s">
        <v>68</v>
      </c>
      <c r="O48">
        <f>M48-9.7</f>
        <v>2.8000000000000007</v>
      </c>
      <c r="P48">
        <f>16.1-M48</f>
        <v>3.6000000000000014</v>
      </c>
      <c r="Q48" s="3" t="s">
        <v>69</v>
      </c>
      <c r="R48">
        <v>1</v>
      </c>
      <c r="S48">
        <v>10</v>
      </c>
      <c r="T48" t="s">
        <v>270</v>
      </c>
      <c r="U48" t="s">
        <v>227</v>
      </c>
      <c r="V48" t="s">
        <v>245</v>
      </c>
      <c r="W48" t="s">
        <v>244</v>
      </c>
      <c r="X48" s="4" t="s">
        <v>230</v>
      </c>
      <c r="Y48" t="s">
        <v>231</v>
      </c>
      <c r="Z48" t="s">
        <v>491</v>
      </c>
      <c r="AA48" t="s">
        <v>232</v>
      </c>
      <c r="AB48" t="s">
        <v>74</v>
      </c>
      <c r="AC48" t="s">
        <v>38</v>
      </c>
      <c r="AD48" t="s">
        <v>179</v>
      </c>
      <c r="AE48" t="s">
        <v>180</v>
      </c>
      <c r="AF48">
        <v>48</v>
      </c>
      <c r="AG48" t="s">
        <v>40</v>
      </c>
      <c r="AH48" t="s">
        <v>50</v>
      </c>
      <c r="AI48" t="s">
        <v>46</v>
      </c>
      <c r="AJ48" t="s">
        <v>47</v>
      </c>
      <c r="AK48" t="s">
        <v>61</v>
      </c>
      <c r="AL48">
        <v>22</v>
      </c>
      <c r="AM48">
        <v>7.7350000000000003</v>
      </c>
      <c r="AN48" t="s">
        <v>46</v>
      </c>
      <c r="AO48" t="s">
        <v>233</v>
      </c>
      <c r="AP48" t="s">
        <v>63</v>
      </c>
      <c r="AQ48">
        <v>43</v>
      </c>
      <c r="AR48" t="s">
        <v>50</v>
      </c>
      <c r="AS48" t="s">
        <v>1631</v>
      </c>
      <c r="AT48" t="s">
        <v>63</v>
      </c>
      <c r="AU48" s="3" t="s">
        <v>46</v>
      </c>
      <c r="AV48">
        <v>1989</v>
      </c>
      <c r="AW48" t="s">
        <v>234</v>
      </c>
    </row>
    <row r="49" spans="1:49" x14ac:dyDescent="0.2">
      <c r="A49">
        <v>48</v>
      </c>
      <c r="B49" t="s">
        <v>224</v>
      </c>
      <c r="C49" t="s">
        <v>246</v>
      </c>
      <c r="D49">
        <v>175</v>
      </c>
      <c r="E49" t="s">
        <v>68</v>
      </c>
      <c r="F49">
        <f>D49-124</f>
        <v>51</v>
      </c>
      <c r="G49">
        <f>247-D49</f>
        <v>72</v>
      </c>
      <c r="H49" t="s">
        <v>69</v>
      </c>
      <c r="I49">
        <v>1</v>
      </c>
      <c r="J49">
        <v>10</v>
      </c>
      <c r="K49" t="s">
        <v>270</v>
      </c>
      <c r="L49" t="s">
        <v>247</v>
      </c>
      <c r="M49">
        <v>190</v>
      </c>
      <c r="N49" t="s">
        <v>68</v>
      </c>
      <c r="O49">
        <f>M49-158</f>
        <v>32</v>
      </c>
      <c r="P49">
        <f>228-M49</f>
        <v>38</v>
      </c>
      <c r="Q49" s="3" t="s">
        <v>69</v>
      </c>
      <c r="R49">
        <v>1</v>
      </c>
      <c r="S49">
        <v>10</v>
      </c>
      <c r="T49" t="s">
        <v>270</v>
      </c>
      <c r="U49" t="s">
        <v>227</v>
      </c>
      <c r="V49" t="s">
        <v>248</v>
      </c>
      <c r="W49" t="s">
        <v>249</v>
      </c>
      <c r="X49" s="4" t="s">
        <v>230</v>
      </c>
      <c r="Y49" t="s">
        <v>231</v>
      </c>
      <c r="Z49" t="s">
        <v>491</v>
      </c>
      <c r="AA49" t="s">
        <v>232</v>
      </c>
      <c r="AB49" t="s">
        <v>74</v>
      </c>
      <c r="AC49" t="s">
        <v>38</v>
      </c>
      <c r="AD49" t="s">
        <v>179</v>
      </c>
      <c r="AE49" t="s">
        <v>180</v>
      </c>
      <c r="AF49">
        <v>24</v>
      </c>
      <c r="AG49" t="s">
        <v>40</v>
      </c>
      <c r="AH49" t="s">
        <v>50</v>
      </c>
      <c r="AI49" t="s">
        <v>46</v>
      </c>
      <c r="AJ49" t="s">
        <v>47</v>
      </c>
      <c r="AK49" t="s">
        <v>61</v>
      </c>
      <c r="AL49">
        <v>22</v>
      </c>
      <c r="AM49">
        <v>7.7350000000000003</v>
      </c>
      <c r="AN49" t="s">
        <v>46</v>
      </c>
      <c r="AO49" t="s">
        <v>233</v>
      </c>
      <c r="AP49" t="s">
        <v>63</v>
      </c>
      <c r="AQ49">
        <v>43</v>
      </c>
      <c r="AR49" t="s">
        <v>50</v>
      </c>
      <c r="AS49" t="s">
        <v>1635</v>
      </c>
      <c r="AT49" t="s">
        <v>63</v>
      </c>
      <c r="AU49" s="3" t="s">
        <v>46</v>
      </c>
      <c r="AV49">
        <v>1989</v>
      </c>
      <c r="AW49" t="s">
        <v>234</v>
      </c>
    </row>
    <row r="50" spans="1:49" x14ac:dyDescent="0.2">
      <c r="A50">
        <v>49</v>
      </c>
      <c r="B50" t="s">
        <v>224</v>
      </c>
      <c r="C50" t="s">
        <v>246</v>
      </c>
      <c r="D50">
        <v>43.5</v>
      </c>
      <c r="E50" t="s">
        <v>68</v>
      </c>
      <c r="F50">
        <f>D50-29</f>
        <v>14.5</v>
      </c>
      <c r="G50">
        <f>65.2-D50</f>
        <v>21.700000000000003</v>
      </c>
      <c r="H50" t="s">
        <v>69</v>
      </c>
      <c r="I50">
        <v>1</v>
      </c>
      <c r="J50">
        <v>10</v>
      </c>
      <c r="K50" t="s">
        <v>270</v>
      </c>
      <c r="L50" t="s">
        <v>247</v>
      </c>
      <c r="M50">
        <v>130</v>
      </c>
      <c r="N50" t="s">
        <v>68</v>
      </c>
      <c r="O50">
        <f>M50-102</f>
        <v>28</v>
      </c>
      <c r="P50">
        <f>166-M50</f>
        <v>36</v>
      </c>
      <c r="Q50" s="3" t="s">
        <v>69</v>
      </c>
      <c r="R50">
        <v>1</v>
      </c>
      <c r="S50">
        <v>10</v>
      </c>
      <c r="T50" t="s">
        <v>270</v>
      </c>
      <c r="U50" t="s">
        <v>227</v>
      </c>
      <c r="V50" t="s">
        <v>250</v>
      </c>
      <c r="W50" t="s">
        <v>249</v>
      </c>
      <c r="X50" s="4" t="s">
        <v>230</v>
      </c>
      <c r="Y50" t="s">
        <v>231</v>
      </c>
      <c r="Z50" t="s">
        <v>491</v>
      </c>
      <c r="AA50" t="s">
        <v>232</v>
      </c>
      <c r="AB50" t="s">
        <v>74</v>
      </c>
      <c r="AC50" t="s">
        <v>38</v>
      </c>
      <c r="AD50" t="s">
        <v>179</v>
      </c>
      <c r="AE50" t="s">
        <v>180</v>
      </c>
      <c r="AF50">
        <v>48</v>
      </c>
      <c r="AG50" t="s">
        <v>40</v>
      </c>
      <c r="AH50" t="s">
        <v>50</v>
      </c>
      <c r="AI50" t="s">
        <v>46</v>
      </c>
      <c r="AJ50" t="s">
        <v>47</v>
      </c>
      <c r="AK50" t="s">
        <v>61</v>
      </c>
      <c r="AL50">
        <v>22</v>
      </c>
      <c r="AM50">
        <v>7.7350000000000003</v>
      </c>
      <c r="AN50" t="s">
        <v>46</v>
      </c>
      <c r="AO50" t="s">
        <v>233</v>
      </c>
      <c r="AP50" t="s">
        <v>63</v>
      </c>
      <c r="AQ50">
        <v>43</v>
      </c>
      <c r="AR50" t="s">
        <v>50</v>
      </c>
      <c r="AS50" t="s">
        <v>1635</v>
      </c>
      <c r="AT50" t="s">
        <v>63</v>
      </c>
      <c r="AU50" s="3" t="s">
        <v>46</v>
      </c>
      <c r="AV50">
        <v>1989</v>
      </c>
      <c r="AW50" t="s">
        <v>234</v>
      </c>
    </row>
    <row r="51" spans="1:49" x14ac:dyDescent="0.2">
      <c r="A51">
        <v>50</v>
      </c>
      <c r="B51" t="s">
        <v>252</v>
      </c>
      <c r="C51" t="s">
        <v>253</v>
      </c>
      <c r="D51">
        <v>8.8000000000000007</v>
      </c>
      <c r="E51" t="s">
        <v>68</v>
      </c>
      <c r="F51">
        <f>D51-4.1</f>
        <v>4.7000000000000011</v>
      </c>
      <c r="G51">
        <f>19-D51</f>
        <v>10.199999999999999</v>
      </c>
      <c r="H51" t="s">
        <v>69</v>
      </c>
      <c r="I51">
        <v>1</v>
      </c>
      <c r="J51">
        <v>10</v>
      </c>
      <c r="K51" t="s">
        <v>271</v>
      </c>
      <c r="L51" t="s">
        <v>254</v>
      </c>
      <c r="M51">
        <v>7.6</v>
      </c>
      <c r="N51" t="s">
        <v>68</v>
      </c>
      <c r="O51">
        <f>M51-4.8</f>
        <v>2.8</v>
      </c>
      <c r="P51">
        <f>12-M51</f>
        <v>4.4000000000000004</v>
      </c>
      <c r="Q51" s="3" t="s">
        <v>69</v>
      </c>
      <c r="R51">
        <v>1</v>
      </c>
      <c r="S51">
        <v>10</v>
      </c>
      <c r="T51" t="s">
        <v>271</v>
      </c>
      <c r="U51" t="s">
        <v>227</v>
      </c>
      <c r="V51" t="s">
        <v>255</v>
      </c>
      <c r="W51" s="3" t="s">
        <v>256</v>
      </c>
      <c r="X51" s="4" t="s">
        <v>257</v>
      </c>
      <c r="Y51" t="s">
        <v>258</v>
      </c>
      <c r="Z51" t="s">
        <v>493</v>
      </c>
      <c r="AA51" t="s">
        <v>73</v>
      </c>
      <c r="AB51" t="s">
        <v>74</v>
      </c>
      <c r="AC51" t="s">
        <v>38</v>
      </c>
      <c r="AD51" t="s">
        <v>39</v>
      </c>
      <c r="AE51" t="s">
        <v>465</v>
      </c>
      <c r="AF51">
        <v>48</v>
      </c>
      <c r="AG51" t="s">
        <v>77</v>
      </c>
      <c r="AH51" t="s">
        <v>50</v>
      </c>
      <c r="AI51" t="s">
        <v>46</v>
      </c>
      <c r="AJ51" t="s">
        <v>47</v>
      </c>
      <c r="AK51" t="s">
        <v>61</v>
      </c>
      <c r="AL51">
        <v>17</v>
      </c>
      <c r="AM51">
        <v>7.4</v>
      </c>
      <c r="AN51" t="s">
        <v>46</v>
      </c>
      <c r="AO51" t="s">
        <v>318</v>
      </c>
      <c r="AP51" t="s">
        <v>63</v>
      </c>
      <c r="AQ51">
        <v>40</v>
      </c>
      <c r="AR51" t="s">
        <v>50</v>
      </c>
      <c r="AS51" t="s">
        <v>1630</v>
      </c>
      <c r="AT51" t="s">
        <v>63</v>
      </c>
      <c r="AU51" s="3" t="s">
        <v>46</v>
      </c>
      <c r="AV51">
        <v>1983</v>
      </c>
      <c r="AW51" t="s">
        <v>259</v>
      </c>
    </row>
    <row r="52" spans="1:49" x14ac:dyDescent="0.2">
      <c r="A52">
        <v>51</v>
      </c>
      <c r="B52" t="s">
        <v>252</v>
      </c>
      <c r="C52" t="s">
        <v>273</v>
      </c>
      <c r="D52">
        <v>320</v>
      </c>
      <c r="E52" t="s">
        <v>68</v>
      </c>
      <c r="F52">
        <f>D52-260</f>
        <v>60</v>
      </c>
      <c r="G52">
        <f>380-D52</f>
        <v>60</v>
      </c>
      <c r="H52" t="s">
        <v>69</v>
      </c>
      <c r="I52">
        <v>1</v>
      </c>
      <c r="J52">
        <v>10</v>
      </c>
      <c r="K52" t="s">
        <v>271</v>
      </c>
      <c r="L52" t="s">
        <v>274</v>
      </c>
      <c r="M52">
        <v>19</v>
      </c>
      <c r="N52" t="s">
        <v>68</v>
      </c>
      <c r="O52">
        <f>M52-13</f>
        <v>6</v>
      </c>
      <c r="P52">
        <f>27-M52</f>
        <v>8</v>
      </c>
      <c r="Q52" s="3" t="s">
        <v>69</v>
      </c>
      <c r="R52">
        <v>1</v>
      </c>
      <c r="S52">
        <v>10</v>
      </c>
      <c r="T52" t="s">
        <v>271</v>
      </c>
      <c r="U52" t="s">
        <v>227</v>
      </c>
      <c r="V52" t="s">
        <v>275</v>
      </c>
      <c r="W52" s="3" t="s">
        <v>276</v>
      </c>
      <c r="X52" s="4" t="s">
        <v>257</v>
      </c>
      <c r="Y52" t="s">
        <v>258</v>
      </c>
      <c r="Z52" t="s">
        <v>493</v>
      </c>
      <c r="AA52" t="s">
        <v>73</v>
      </c>
      <c r="AB52" t="s">
        <v>74</v>
      </c>
      <c r="AC52" t="s">
        <v>38</v>
      </c>
      <c r="AD52" t="s">
        <v>39</v>
      </c>
      <c r="AE52" t="s">
        <v>465</v>
      </c>
      <c r="AF52">
        <v>48</v>
      </c>
      <c r="AG52" t="s">
        <v>77</v>
      </c>
      <c r="AH52" t="s">
        <v>50</v>
      </c>
      <c r="AI52" t="s">
        <v>46</v>
      </c>
      <c r="AJ52" t="s">
        <v>47</v>
      </c>
      <c r="AK52" t="s">
        <v>61</v>
      </c>
      <c r="AL52">
        <v>17</v>
      </c>
      <c r="AM52">
        <v>7.4</v>
      </c>
      <c r="AN52" t="s">
        <v>46</v>
      </c>
      <c r="AO52" t="s">
        <v>318</v>
      </c>
      <c r="AP52" t="s">
        <v>63</v>
      </c>
      <c r="AQ52">
        <v>40</v>
      </c>
      <c r="AR52" t="s">
        <v>50</v>
      </c>
      <c r="AS52" t="s">
        <v>1630</v>
      </c>
      <c r="AT52" t="s">
        <v>63</v>
      </c>
      <c r="AU52" s="3" t="s">
        <v>46</v>
      </c>
      <c r="AV52">
        <v>1983</v>
      </c>
      <c r="AW52" t="s">
        <v>259</v>
      </c>
    </row>
    <row r="53" spans="1:49" x14ac:dyDescent="0.2">
      <c r="A53">
        <v>52</v>
      </c>
      <c r="B53" t="s">
        <v>252</v>
      </c>
      <c r="C53" t="s">
        <v>277</v>
      </c>
      <c r="D53">
        <v>0.12</v>
      </c>
      <c r="E53" t="s">
        <v>68</v>
      </c>
      <c r="F53">
        <f>D53-0.08</f>
        <v>3.9999999999999994E-2</v>
      </c>
      <c r="G53">
        <f>0.22-D53</f>
        <v>0.1</v>
      </c>
      <c r="H53" t="s">
        <v>69</v>
      </c>
      <c r="I53">
        <v>1</v>
      </c>
      <c r="J53">
        <v>10</v>
      </c>
      <c r="K53" t="s">
        <v>271</v>
      </c>
      <c r="L53" t="s">
        <v>278</v>
      </c>
      <c r="M53">
        <v>0.08</v>
      </c>
      <c r="N53" t="s">
        <v>68</v>
      </c>
      <c r="O53">
        <f>M53-0.05</f>
        <v>0.03</v>
      </c>
      <c r="P53">
        <f>0.14-M53</f>
        <v>6.0000000000000012E-2</v>
      </c>
      <c r="Q53" s="3" t="s">
        <v>69</v>
      </c>
      <c r="R53">
        <v>1</v>
      </c>
      <c r="S53">
        <v>10</v>
      </c>
      <c r="T53" t="s">
        <v>271</v>
      </c>
      <c r="U53" t="s">
        <v>227</v>
      </c>
      <c r="V53" t="s">
        <v>279</v>
      </c>
      <c r="W53" s="3" t="s">
        <v>280</v>
      </c>
      <c r="X53" s="4" t="s">
        <v>257</v>
      </c>
      <c r="Y53" t="s">
        <v>258</v>
      </c>
      <c r="Z53" t="s">
        <v>493</v>
      </c>
      <c r="AA53" t="s">
        <v>73</v>
      </c>
      <c r="AB53" t="s">
        <v>74</v>
      </c>
      <c r="AC53" t="s">
        <v>38</v>
      </c>
      <c r="AD53" t="s">
        <v>39</v>
      </c>
      <c r="AE53" t="s">
        <v>465</v>
      </c>
      <c r="AF53">
        <v>48</v>
      </c>
      <c r="AG53" t="s">
        <v>77</v>
      </c>
      <c r="AH53" t="s">
        <v>50</v>
      </c>
      <c r="AI53" t="s">
        <v>46</v>
      </c>
      <c r="AJ53" t="s">
        <v>47</v>
      </c>
      <c r="AK53" t="s">
        <v>61</v>
      </c>
      <c r="AL53">
        <v>17</v>
      </c>
      <c r="AM53">
        <v>7.4</v>
      </c>
      <c r="AN53" t="s">
        <v>46</v>
      </c>
      <c r="AO53" t="s">
        <v>318</v>
      </c>
      <c r="AP53" t="s">
        <v>63</v>
      </c>
      <c r="AQ53">
        <v>40</v>
      </c>
      <c r="AR53" t="s">
        <v>50</v>
      </c>
      <c r="AS53" t="s">
        <v>1633</v>
      </c>
      <c r="AT53" t="s">
        <v>63</v>
      </c>
      <c r="AU53" s="3" t="s">
        <v>46</v>
      </c>
      <c r="AV53">
        <v>1983</v>
      </c>
      <c r="AW53" t="s">
        <v>259</v>
      </c>
    </row>
    <row r="54" spans="1:49" x14ac:dyDescent="0.2">
      <c r="A54">
        <v>53</v>
      </c>
      <c r="B54" t="s">
        <v>252</v>
      </c>
      <c r="C54" t="s">
        <v>281</v>
      </c>
      <c r="D54">
        <v>11</v>
      </c>
      <c r="E54" t="s">
        <v>68</v>
      </c>
      <c r="F54">
        <f>D54-5</f>
        <v>6</v>
      </c>
      <c r="G54">
        <f>21-D54</f>
        <v>10</v>
      </c>
      <c r="H54" t="s">
        <v>69</v>
      </c>
      <c r="I54">
        <v>1</v>
      </c>
      <c r="J54">
        <v>10</v>
      </c>
      <c r="K54" t="s">
        <v>271</v>
      </c>
      <c r="L54" t="s">
        <v>282</v>
      </c>
      <c r="M54">
        <v>24</v>
      </c>
      <c r="N54" t="s">
        <v>68</v>
      </c>
      <c r="O54">
        <f>M54-19</f>
        <v>5</v>
      </c>
      <c r="P54">
        <f>30-M54</f>
        <v>6</v>
      </c>
      <c r="Q54" s="3" t="s">
        <v>69</v>
      </c>
      <c r="R54">
        <v>1</v>
      </c>
      <c r="S54">
        <v>10</v>
      </c>
      <c r="T54" t="s">
        <v>271</v>
      </c>
      <c r="U54" t="s">
        <v>227</v>
      </c>
      <c r="V54" t="s">
        <v>283</v>
      </c>
      <c r="W54" s="3" t="s">
        <v>284</v>
      </c>
      <c r="X54" s="4" t="s">
        <v>257</v>
      </c>
      <c r="Y54" t="s">
        <v>258</v>
      </c>
      <c r="Z54" t="s">
        <v>493</v>
      </c>
      <c r="AA54" t="s">
        <v>73</v>
      </c>
      <c r="AB54" t="s">
        <v>74</v>
      </c>
      <c r="AC54" t="s">
        <v>38</v>
      </c>
      <c r="AD54" t="s">
        <v>39</v>
      </c>
      <c r="AE54" s="3" t="s">
        <v>465</v>
      </c>
      <c r="AF54">
        <v>48</v>
      </c>
      <c r="AG54" t="s">
        <v>77</v>
      </c>
      <c r="AH54" t="s">
        <v>50</v>
      </c>
      <c r="AI54" t="s">
        <v>46</v>
      </c>
      <c r="AJ54" t="s">
        <v>47</v>
      </c>
      <c r="AK54" t="s">
        <v>61</v>
      </c>
      <c r="AL54">
        <v>17</v>
      </c>
      <c r="AM54">
        <v>7.4</v>
      </c>
      <c r="AN54" t="s">
        <v>46</v>
      </c>
      <c r="AO54" t="s">
        <v>318</v>
      </c>
      <c r="AP54" t="s">
        <v>63</v>
      </c>
      <c r="AQ54">
        <v>40</v>
      </c>
      <c r="AR54" t="s">
        <v>50</v>
      </c>
      <c r="AS54" t="s">
        <v>1630</v>
      </c>
      <c r="AT54" t="s">
        <v>63</v>
      </c>
      <c r="AU54" s="3" t="s">
        <v>46</v>
      </c>
      <c r="AV54">
        <v>1983</v>
      </c>
      <c r="AW54" t="s">
        <v>259</v>
      </c>
    </row>
    <row r="55" spans="1:49" x14ac:dyDescent="0.2">
      <c r="A55">
        <v>54</v>
      </c>
      <c r="B55" t="s">
        <v>252</v>
      </c>
      <c r="C55" t="s">
        <v>205</v>
      </c>
      <c r="D55" t="s">
        <v>285</v>
      </c>
      <c r="E55" t="s">
        <v>68</v>
      </c>
      <c r="F55" t="s">
        <v>46</v>
      </c>
      <c r="G55" t="s">
        <v>46</v>
      </c>
      <c r="H55" t="s">
        <v>46</v>
      </c>
      <c r="I55">
        <v>1</v>
      </c>
      <c r="J55">
        <v>10</v>
      </c>
      <c r="K55" t="s">
        <v>271</v>
      </c>
      <c r="L55" t="s">
        <v>286</v>
      </c>
      <c r="M55" t="s">
        <v>285</v>
      </c>
      <c r="N55" t="s">
        <v>68</v>
      </c>
      <c r="O55" t="s">
        <v>46</v>
      </c>
      <c r="P55" t="s">
        <v>46</v>
      </c>
      <c r="Q55" t="s">
        <v>46</v>
      </c>
      <c r="R55">
        <v>1</v>
      </c>
      <c r="S55">
        <v>10</v>
      </c>
      <c r="T55" t="s">
        <v>271</v>
      </c>
      <c r="U55" t="s">
        <v>227</v>
      </c>
      <c r="V55" t="s">
        <v>287</v>
      </c>
      <c r="W55" s="3" t="s">
        <v>288</v>
      </c>
      <c r="X55" s="4" t="s">
        <v>257</v>
      </c>
      <c r="Y55" t="s">
        <v>258</v>
      </c>
      <c r="Z55" t="s">
        <v>493</v>
      </c>
      <c r="AA55" t="s">
        <v>73</v>
      </c>
      <c r="AB55" t="s">
        <v>74</v>
      </c>
      <c r="AC55" t="s">
        <v>38</v>
      </c>
      <c r="AD55" t="s">
        <v>39</v>
      </c>
      <c r="AE55" s="3" t="s">
        <v>465</v>
      </c>
      <c r="AF55">
        <v>48</v>
      </c>
      <c r="AG55" t="s">
        <v>77</v>
      </c>
      <c r="AH55" t="s">
        <v>50</v>
      </c>
      <c r="AI55" t="s">
        <v>46</v>
      </c>
      <c r="AJ55" t="s">
        <v>47</v>
      </c>
      <c r="AK55" t="s">
        <v>61</v>
      </c>
      <c r="AL55">
        <v>17</v>
      </c>
      <c r="AM55">
        <v>7.4</v>
      </c>
      <c r="AN55" t="s">
        <v>46</v>
      </c>
      <c r="AO55" t="s">
        <v>318</v>
      </c>
      <c r="AP55" t="s">
        <v>63</v>
      </c>
      <c r="AQ55">
        <v>40</v>
      </c>
      <c r="AR55" t="s">
        <v>63</v>
      </c>
      <c r="AS55" t="s">
        <v>1633</v>
      </c>
      <c r="AT55" t="s">
        <v>63</v>
      </c>
      <c r="AU55" s="3" t="s">
        <v>46</v>
      </c>
      <c r="AV55">
        <v>1983</v>
      </c>
      <c r="AW55" t="s">
        <v>259</v>
      </c>
    </row>
    <row r="56" spans="1:49" x14ac:dyDescent="0.2">
      <c r="A56">
        <v>55</v>
      </c>
      <c r="B56" t="s">
        <v>252</v>
      </c>
      <c r="C56" t="s">
        <v>253</v>
      </c>
      <c r="D56">
        <v>920</v>
      </c>
      <c r="E56" t="s">
        <v>42</v>
      </c>
      <c r="F56">
        <f>D56-660</f>
        <v>260</v>
      </c>
      <c r="G56">
        <f>1300-D56</f>
        <v>380</v>
      </c>
      <c r="H56" t="s">
        <v>69</v>
      </c>
      <c r="I56">
        <v>1</v>
      </c>
      <c r="J56">
        <v>10</v>
      </c>
      <c r="K56" t="s">
        <v>271</v>
      </c>
      <c r="L56" t="s">
        <v>254</v>
      </c>
      <c r="M56">
        <v>720</v>
      </c>
      <c r="N56" t="s">
        <v>42</v>
      </c>
      <c r="O56">
        <f>M56-555</f>
        <v>165</v>
      </c>
      <c r="P56">
        <f>940-M56</f>
        <v>220</v>
      </c>
      <c r="Q56" s="3" t="s">
        <v>69</v>
      </c>
      <c r="R56">
        <v>1</v>
      </c>
      <c r="S56">
        <v>10</v>
      </c>
      <c r="T56" t="s">
        <v>271</v>
      </c>
      <c r="U56" t="s">
        <v>227</v>
      </c>
      <c r="V56" t="s">
        <v>289</v>
      </c>
      <c r="W56" s="3" t="s">
        <v>290</v>
      </c>
      <c r="X56" s="4" t="s">
        <v>291</v>
      </c>
      <c r="Y56" t="s">
        <v>292</v>
      </c>
      <c r="Z56" t="s">
        <v>493</v>
      </c>
      <c r="AA56" t="s">
        <v>199</v>
      </c>
      <c r="AB56" t="s">
        <v>74</v>
      </c>
      <c r="AC56" t="s">
        <v>38</v>
      </c>
      <c r="AD56" t="s">
        <v>39</v>
      </c>
      <c r="AE56" t="s">
        <v>75</v>
      </c>
      <c r="AF56">
        <v>96</v>
      </c>
      <c r="AG56" t="s">
        <v>77</v>
      </c>
      <c r="AH56" t="s">
        <v>50</v>
      </c>
      <c r="AI56" t="s">
        <v>46</v>
      </c>
      <c r="AJ56" t="s">
        <v>47</v>
      </c>
      <c r="AK56" t="s">
        <v>61</v>
      </c>
      <c r="AL56">
        <v>17</v>
      </c>
      <c r="AM56">
        <v>7.4</v>
      </c>
      <c r="AN56" t="s">
        <v>46</v>
      </c>
      <c r="AO56" t="s">
        <v>46</v>
      </c>
      <c r="AP56" t="s">
        <v>63</v>
      </c>
      <c r="AQ56">
        <v>40</v>
      </c>
      <c r="AR56" t="s">
        <v>50</v>
      </c>
      <c r="AS56" t="s">
        <v>1630</v>
      </c>
      <c r="AT56" t="s">
        <v>63</v>
      </c>
      <c r="AU56" s="3" t="s">
        <v>46</v>
      </c>
      <c r="AV56">
        <v>1983</v>
      </c>
      <c r="AW56" t="s">
        <v>259</v>
      </c>
    </row>
    <row r="57" spans="1:49" x14ac:dyDescent="0.2">
      <c r="A57">
        <v>56</v>
      </c>
      <c r="B57" t="s">
        <v>252</v>
      </c>
      <c r="C57" t="s">
        <v>273</v>
      </c>
      <c r="D57">
        <v>145</v>
      </c>
      <c r="E57" t="s">
        <v>42</v>
      </c>
      <c r="F57">
        <f>D57-96</f>
        <v>49</v>
      </c>
      <c r="G57">
        <f>220-D57</f>
        <v>75</v>
      </c>
      <c r="H57" t="s">
        <v>69</v>
      </c>
      <c r="I57">
        <v>1</v>
      </c>
      <c r="J57">
        <v>10</v>
      </c>
      <c r="K57" t="s">
        <v>271</v>
      </c>
      <c r="L57" t="s">
        <v>274</v>
      </c>
      <c r="M57">
        <v>29</v>
      </c>
      <c r="N57" t="s">
        <v>42</v>
      </c>
      <c r="O57">
        <f>M57-19</f>
        <v>10</v>
      </c>
      <c r="P57">
        <f>44-M57</f>
        <v>15</v>
      </c>
      <c r="Q57" s="3" t="s">
        <v>69</v>
      </c>
      <c r="R57">
        <v>1</v>
      </c>
      <c r="S57">
        <v>10</v>
      </c>
      <c r="T57" t="s">
        <v>271</v>
      </c>
      <c r="U57" t="s">
        <v>227</v>
      </c>
      <c r="V57" t="s">
        <v>293</v>
      </c>
      <c r="W57" s="3" t="s">
        <v>294</v>
      </c>
      <c r="X57" s="4" t="s">
        <v>291</v>
      </c>
      <c r="Y57" t="s">
        <v>292</v>
      </c>
      <c r="Z57" t="s">
        <v>493</v>
      </c>
      <c r="AA57" t="s">
        <v>199</v>
      </c>
      <c r="AB57" t="s">
        <v>74</v>
      </c>
      <c r="AC57" t="s">
        <v>38</v>
      </c>
      <c r="AD57" t="s">
        <v>39</v>
      </c>
      <c r="AE57" t="s">
        <v>75</v>
      </c>
      <c r="AF57">
        <v>96</v>
      </c>
      <c r="AG57" t="s">
        <v>77</v>
      </c>
      <c r="AH57" t="s">
        <v>50</v>
      </c>
      <c r="AI57" t="s">
        <v>46</v>
      </c>
      <c r="AJ57" t="s">
        <v>47</v>
      </c>
      <c r="AK57" t="s">
        <v>61</v>
      </c>
      <c r="AL57">
        <v>17</v>
      </c>
      <c r="AM57">
        <v>7.4</v>
      </c>
      <c r="AN57" t="s">
        <v>46</v>
      </c>
      <c r="AO57" t="s">
        <v>46</v>
      </c>
      <c r="AP57" t="s">
        <v>63</v>
      </c>
      <c r="AQ57">
        <v>40</v>
      </c>
      <c r="AR57" t="s">
        <v>50</v>
      </c>
      <c r="AS57" t="s">
        <v>1630</v>
      </c>
      <c r="AT57" t="s">
        <v>63</v>
      </c>
      <c r="AU57" s="3" t="s">
        <v>46</v>
      </c>
      <c r="AV57">
        <v>1983</v>
      </c>
      <c r="AW57" t="s">
        <v>259</v>
      </c>
    </row>
    <row r="58" spans="1:49" x14ac:dyDescent="0.2">
      <c r="A58">
        <v>57</v>
      </c>
      <c r="B58" t="s">
        <v>252</v>
      </c>
      <c r="C58" t="s">
        <v>277</v>
      </c>
      <c r="D58">
        <v>43</v>
      </c>
      <c r="E58" t="s">
        <v>42</v>
      </c>
      <c r="F58">
        <f>D58-22</f>
        <v>21</v>
      </c>
      <c r="G58">
        <f>83-D58</f>
        <v>40</v>
      </c>
      <c r="H58" t="s">
        <v>69</v>
      </c>
      <c r="I58">
        <v>1</v>
      </c>
      <c r="J58">
        <v>10</v>
      </c>
      <c r="K58" t="s">
        <v>271</v>
      </c>
      <c r="L58" t="s">
        <v>278</v>
      </c>
      <c r="M58">
        <v>17</v>
      </c>
      <c r="N58" t="s">
        <v>42</v>
      </c>
      <c r="O58">
        <f>M58-7</f>
        <v>10</v>
      </c>
      <c r="P58">
        <f>42-M58</f>
        <v>25</v>
      </c>
      <c r="Q58" s="3" t="s">
        <v>69</v>
      </c>
      <c r="R58">
        <v>1</v>
      </c>
      <c r="S58">
        <v>10</v>
      </c>
      <c r="T58" t="s">
        <v>271</v>
      </c>
      <c r="U58" t="s">
        <v>227</v>
      </c>
      <c r="V58" t="s">
        <v>295</v>
      </c>
      <c r="W58" s="3" t="s">
        <v>296</v>
      </c>
      <c r="X58" s="4" t="s">
        <v>291</v>
      </c>
      <c r="Y58" t="s">
        <v>292</v>
      </c>
      <c r="Z58" t="s">
        <v>493</v>
      </c>
      <c r="AA58" t="s">
        <v>199</v>
      </c>
      <c r="AB58" t="s">
        <v>74</v>
      </c>
      <c r="AC58" t="s">
        <v>38</v>
      </c>
      <c r="AD58" t="s">
        <v>39</v>
      </c>
      <c r="AE58" t="s">
        <v>75</v>
      </c>
      <c r="AF58">
        <v>96</v>
      </c>
      <c r="AG58" t="s">
        <v>77</v>
      </c>
      <c r="AH58" t="s">
        <v>50</v>
      </c>
      <c r="AI58" t="s">
        <v>46</v>
      </c>
      <c r="AJ58" t="s">
        <v>47</v>
      </c>
      <c r="AK58" t="s">
        <v>61</v>
      </c>
      <c r="AL58">
        <v>17</v>
      </c>
      <c r="AM58">
        <v>7.4</v>
      </c>
      <c r="AN58" t="s">
        <v>46</v>
      </c>
      <c r="AO58" t="s">
        <v>46</v>
      </c>
      <c r="AP58" t="s">
        <v>63</v>
      </c>
      <c r="AQ58">
        <v>40</v>
      </c>
      <c r="AR58" t="s">
        <v>50</v>
      </c>
      <c r="AS58" t="s">
        <v>1633</v>
      </c>
      <c r="AT58" t="s">
        <v>63</v>
      </c>
      <c r="AU58" s="3" t="s">
        <v>46</v>
      </c>
      <c r="AV58">
        <v>1983</v>
      </c>
      <c r="AW58" t="s">
        <v>259</v>
      </c>
    </row>
    <row r="59" spans="1:49" x14ac:dyDescent="0.2">
      <c r="A59">
        <v>58</v>
      </c>
      <c r="B59" t="s">
        <v>252</v>
      </c>
      <c r="C59" t="s">
        <v>281</v>
      </c>
      <c r="D59">
        <v>6.1</v>
      </c>
      <c r="E59" t="s">
        <v>42</v>
      </c>
      <c r="F59">
        <f>D59-4.6</f>
        <v>1.5</v>
      </c>
      <c r="G59">
        <f>8.1-D59</f>
        <v>2</v>
      </c>
      <c r="H59" t="s">
        <v>69</v>
      </c>
      <c r="I59">
        <v>1</v>
      </c>
      <c r="J59">
        <v>10</v>
      </c>
      <c r="K59" t="s">
        <v>271</v>
      </c>
      <c r="L59" t="s">
        <v>282</v>
      </c>
      <c r="M59">
        <v>2</v>
      </c>
      <c r="N59" t="s">
        <v>42</v>
      </c>
      <c r="O59">
        <f>M59-1</f>
        <v>1</v>
      </c>
      <c r="P59">
        <f>3-M59</f>
        <v>1</v>
      </c>
      <c r="Q59" s="3" t="s">
        <v>69</v>
      </c>
      <c r="R59">
        <v>1</v>
      </c>
      <c r="S59">
        <v>10</v>
      </c>
      <c r="T59" t="s">
        <v>271</v>
      </c>
      <c r="U59" t="s">
        <v>227</v>
      </c>
      <c r="V59" t="s">
        <v>297</v>
      </c>
      <c r="W59" s="3" t="s">
        <v>298</v>
      </c>
      <c r="X59" s="4" t="s">
        <v>291</v>
      </c>
      <c r="Y59" t="s">
        <v>292</v>
      </c>
      <c r="Z59" t="s">
        <v>493</v>
      </c>
      <c r="AA59" t="s">
        <v>199</v>
      </c>
      <c r="AB59" t="s">
        <v>74</v>
      </c>
      <c r="AC59" t="s">
        <v>38</v>
      </c>
      <c r="AD59" t="s">
        <v>39</v>
      </c>
      <c r="AE59" t="s">
        <v>75</v>
      </c>
      <c r="AF59">
        <v>96</v>
      </c>
      <c r="AG59" t="s">
        <v>77</v>
      </c>
      <c r="AH59" t="s">
        <v>50</v>
      </c>
      <c r="AI59" t="s">
        <v>46</v>
      </c>
      <c r="AJ59" t="s">
        <v>47</v>
      </c>
      <c r="AK59" t="s">
        <v>61</v>
      </c>
      <c r="AL59">
        <v>17</v>
      </c>
      <c r="AM59">
        <v>7.4</v>
      </c>
      <c r="AN59" t="s">
        <v>46</v>
      </c>
      <c r="AO59" t="s">
        <v>46</v>
      </c>
      <c r="AP59" t="s">
        <v>63</v>
      </c>
      <c r="AQ59">
        <v>40</v>
      </c>
      <c r="AR59" t="s">
        <v>50</v>
      </c>
      <c r="AS59" t="s">
        <v>1630</v>
      </c>
      <c r="AT59" t="s">
        <v>63</v>
      </c>
      <c r="AU59" s="3" t="s">
        <v>46</v>
      </c>
      <c r="AV59">
        <v>1983</v>
      </c>
      <c r="AW59" t="s">
        <v>259</v>
      </c>
    </row>
    <row r="60" spans="1:49" x14ac:dyDescent="0.2">
      <c r="A60">
        <v>59</v>
      </c>
      <c r="B60" t="s">
        <v>252</v>
      </c>
      <c r="C60" t="s">
        <v>205</v>
      </c>
      <c r="D60" t="s">
        <v>285</v>
      </c>
      <c r="E60" t="s">
        <v>42</v>
      </c>
      <c r="F60" t="s">
        <v>46</v>
      </c>
      <c r="G60" t="s">
        <v>46</v>
      </c>
      <c r="H60" t="s">
        <v>46</v>
      </c>
      <c r="I60">
        <v>1</v>
      </c>
      <c r="J60">
        <v>10</v>
      </c>
      <c r="K60" t="s">
        <v>271</v>
      </c>
      <c r="L60" t="s">
        <v>286</v>
      </c>
      <c r="M60" t="s">
        <v>285</v>
      </c>
      <c r="N60" t="s">
        <v>42</v>
      </c>
      <c r="O60" t="s">
        <v>46</v>
      </c>
      <c r="P60" t="s">
        <v>46</v>
      </c>
      <c r="Q60" t="s">
        <v>46</v>
      </c>
      <c r="R60">
        <v>1</v>
      </c>
      <c r="S60">
        <v>10</v>
      </c>
      <c r="T60" t="s">
        <v>271</v>
      </c>
      <c r="U60" t="s">
        <v>227</v>
      </c>
      <c r="V60" t="s">
        <v>299</v>
      </c>
      <c r="W60" s="3" t="s">
        <v>300</v>
      </c>
      <c r="X60" s="4" t="s">
        <v>291</v>
      </c>
      <c r="Y60" t="s">
        <v>292</v>
      </c>
      <c r="Z60" t="s">
        <v>493</v>
      </c>
      <c r="AA60" t="s">
        <v>199</v>
      </c>
      <c r="AB60" t="s">
        <v>74</v>
      </c>
      <c r="AC60" t="s">
        <v>38</v>
      </c>
      <c r="AD60" t="s">
        <v>39</v>
      </c>
      <c r="AE60" t="s">
        <v>75</v>
      </c>
      <c r="AF60">
        <v>96</v>
      </c>
      <c r="AG60" t="s">
        <v>77</v>
      </c>
      <c r="AH60" t="s">
        <v>50</v>
      </c>
      <c r="AI60" t="s">
        <v>46</v>
      </c>
      <c r="AJ60" t="s">
        <v>47</v>
      </c>
      <c r="AK60" t="s">
        <v>61</v>
      </c>
      <c r="AL60">
        <v>17</v>
      </c>
      <c r="AM60">
        <v>7.4</v>
      </c>
      <c r="AN60" t="s">
        <v>46</v>
      </c>
      <c r="AO60" t="s">
        <v>46</v>
      </c>
      <c r="AP60" t="s">
        <v>63</v>
      </c>
      <c r="AQ60">
        <v>40</v>
      </c>
      <c r="AR60" t="s">
        <v>63</v>
      </c>
      <c r="AS60" t="s">
        <v>1633</v>
      </c>
      <c r="AT60" t="s">
        <v>63</v>
      </c>
      <c r="AU60" s="3" t="s">
        <v>46</v>
      </c>
      <c r="AV60">
        <v>1983</v>
      </c>
      <c r="AW60" t="s">
        <v>259</v>
      </c>
    </row>
    <row r="61" spans="1:49" x14ac:dyDescent="0.2">
      <c r="A61">
        <v>60</v>
      </c>
      <c r="B61" t="s">
        <v>252</v>
      </c>
      <c r="C61" t="s">
        <v>253</v>
      </c>
      <c r="D61">
        <v>88</v>
      </c>
      <c r="E61" t="s">
        <v>68</v>
      </c>
      <c r="F61">
        <f>D61-47</f>
        <v>41</v>
      </c>
      <c r="G61">
        <f>160-D61</f>
        <v>72</v>
      </c>
      <c r="H61" t="s">
        <v>69</v>
      </c>
      <c r="I61">
        <v>1</v>
      </c>
      <c r="J61">
        <v>10</v>
      </c>
      <c r="K61" t="s">
        <v>271</v>
      </c>
      <c r="L61" t="s">
        <v>254</v>
      </c>
      <c r="M61">
        <v>32</v>
      </c>
      <c r="N61" t="s">
        <v>68</v>
      </c>
      <c r="O61">
        <f>M61-30</f>
        <v>2</v>
      </c>
      <c r="P61">
        <f>50-M61</f>
        <v>18</v>
      </c>
      <c r="Q61" s="3" t="s">
        <v>69</v>
      </c>
      <c r="R61">
        <v>1</v>
      </c>
      <c r="S61">
        <v>10</v>
      </c>
      <c r="T61" t="s">
        <v>271</v>
      </c>
      <c r="U61" t="s">
        <v>227</v>
      </c>
      <c r="V61" t="s">
        <v>301</v>
      </c>
      <c r="W61" s="3" t="s">
        <v>302</v>
      </c>
      <c r="X61" s="4" t="s">
        <v>303</v>
      </c>
      <c r="Y61" t="s">
        <v>304</v>
      </c>
      <c r="Z61" t="s">
        <v>493</v>
      </c>
      <c r="AA61" t="s">
        <v>232</v>
      </c>
      <c r="AB61" t="s">
        <v>74</v>
      </c>
      <c r="AC61" t="s">
        <v>38</v>
      </c>
      <c r="AD61" t="s">
        <v>39</v>
      </c>
      <c r="AE61" t="s">
        <v>180</v>
      </c>
      <c r="AF61">
        <v>48</v>
      </c>
      <c r="AG61" t="s">
        <v>77</v>
      </c>
      <c r="AH61" t="s">
        <v>50</v>
      </c>
      <c r="AI61" t="s">
        <v>46</v>
      </c>
      <c r="AJ61" t="s">
        <v>47</v>
      </c>
      <c r="AK61" t="s">
        <v>61</v>
      </c>
      <c r="AL61">
        <v>17</v>
      </c>
      <c r="AM61">
        <v>7.4</v>
      </c>
      <c r="AN61" t="s">
        <v>46</v>
      </c>
      <c r="AO61" t="s">
        <v>233</v>
      </c>
      <c r="AP61" t="s">
        <v>63</v>
      </c>
      <c r="AQ61">
        <v>40</v>
      </c>
      <c r="AR61" t="s">
        <v>50</v>
      </c>
      <c r="AS61" t="s">
        <v>1630</v>
      </c>
      <c r="AT61" t="s">
        <v>63</v>
      </c>
      <c r="AU61" s="3" t="s">
        <v>46</v>
      </c>
      <c r="AV61">
        <v>1983</v>
      </c>
      <c r="AW61" t="s">
        <v>259</v>
      </c>
    </row>
    <row r="62" spans="1:49" x14ac:dyDescent="0.2">
      <c r="A62">
        <v>61</v>
      </c>
      <c r="B62" t="s">
        <v>252</v>
      </c>
      <c r="C62" t="s">
        <v>273</v>
      </c>
      <c r="D62">
        <v>295</v>
      </c>
      <c r="E62" t="s">
        <v>68</v>
      </c>
      <c r="F62">
        <f>D62-240</f>
        <v>55</v>
      </c>
      <c r="G62">
        <f>365-D62</f>
        <v>70</v>
      </c>
      <c r="H62" t="s">
        <v>69</v>
      </c>
      <c r="I62">
        <v>1</v>
      </c>
      <c r="J62">
        <v>10</v>
      </c>
      <c r="K62" t="s">
        <v>271</v>
      </c>
      <c r="L62" t="s">
        <v>274</v>
      </c>
      <c r="M62">
        <v>30</v>
      </c>
      <c r="N62" t="s">
        <v>68</v>
      </c>
      <c r="O62">
        <f>M62-22</f>
        <v>8</v>
      </c>
      <c r="P62">
        <f>41-M62</f>
        <v>11</v>
      </c>
      <c r="Q62" s="3" t="s">
        <v>69</v>
      </c>
      <c r="R62">
        <v>1</v>
      </c>
      <c r="S62">
        <v>10</v>
      </c>
      <c r="T62" t="s">
        <v>271</v>
      </c>
      <c r="U62" t="s">
        <v>227</v>
      </c>
      <c r="V62" t="s">
        <v>305</v>
      </c>
      <c r="W62" s="3" t="s">
        <v>306</v>
      </c>
      <c r="X62" s="4" t="s">
        <v>303</v>
      </c>
      <c r="Y62" t="s">
        <v>304</v>
      </c>
      <c r="Z62" t="s">
        <v>493</v>
      </c>
      <c r="AA62" t="s">
        <v>232</v>
      </c>
      <c r="AB62" t="s">
        <v>74</v>
      </c>
      <c r="AC62" t="s">
        <v>38</v>
      </c>
      <c r="AD62" t="s">
        <v>39</v>
      </c>
      <c r="AE62" t="s">
        <v>180</v>
      </c>
      <c r="AF62">
        <v>48</v>
      </c>
      <c r="AG62" t="s">
        <v>77</v>
      </c>
      <c r="AH62" t="s">
        <v>50</v>
      </c>
      <c r="AI62" t="s">
        <v>46</v>
      </c>
      <c r="AJ62" t="s">
        <v>47</v>
      </c>
      <c r="AK62" t="s">
        <v>61</v>
      </c>
      <c r="AL62">
        <v>17</v>
      </c>
      <c r="AM62">
        <v>7.4</v>
      </c>
      <c r="AN62" t="s">
        <v>46</v>
      </c>
      <c r="AO62" t="s">
        <v>233</v>
      </c>
      <c r="AP62" t="s">
        <v>63</v>
      </c>
      <c r="AQ62">
        <v>40</v>
      </c>
      <c r="AR62" t="s">
        <v>50</v>
      </c>
      <c r="AS62" t="s">
        <v>1630</v>
      </c>
      <c r="AT62" t="s">
        <v>63</v>
      </c>
      <c r="AU62" s="3" t="s">
        <v>46</v>
      </c>
      <c r="AV62">
        <v>1983</v>
      </c>
      <c r="AW62" t="s">
        <v>259</v>
      </c>
    </row>
    <row r="63" spans="1:49" x14ac:dyDescent="0.2">
      <c r="A63">
        <v>62</v>
      </c>
      <c r="B63" t="s">
        <v>252</v>
      </c>
      <c r="C63" t="s">
        <v>277</v>
      </c>
      <c r="D63">
        <v>0.1</v>
      </c>
      <c r="E63" t="s">
        <v>68</v>
      </c>
      <c r="F63">
        <f>D63-0.06</f>
        <v>4.0000000000000008E-2</v>
      </c>
      <c r="G63">
        <f>0.18-D63</f>
        <v>7.9999999999999988E-2</v>
      </c>
      <c r="H63" t="s">
        <v>69</v>
      </c>
      <c r="I63">
        <v>1</v>
      </c>
      <c r="J63">
        <v>10</v>
      </c>
      <c r="K63" t="s">
        <v>271</v>
      </c>
      <c r="L63" t="s">
        <v>278</v>
      </c>
      <c r="M63">
        <v>0.12</v>
      </c>
      <c r="N63" t="s">
        <v>68</v>
      </c>
      <c r="O63">
        <f>M63-0.08</f>
        <v>3.9999999999999994E-2</v>
      </c>
      <c r="P63">
        <f>0.21-M63</f>
        <v>0.09</v>
      </c>
      <c r="Q63" s="3" t="s">
        <v>69</v>
      </c>
      <c r="R63">
        <v>1</v>
      </c>
      <c r="S63">
        <v>10</v>
      </c>
      <c r="T63" t="s">
        <v>271</v>
      </c>
      <c r="U63" t="s">
        <v>227</v>
      </c>
      <c r="V63" t="s">
        <v>307</v>
      </c>
      <c r="W63" s="3" t="s">
        <v>308</v>
      </c>
      <c r="X63" s="4" t="s">
        <v>303</v>
      </c>
      <c r="Y63" t="s">
        <v>304</v>
      </c>
      <c r="Z63" t="s">
        <v>493</v>
      </c>
      <c r="AA63" t="s">
        <v>232</v>
      </c>
      <c r="AB63" t="s">
        <v>74</v>
      </c>
      <c r="AC63" t="s">
        <v>38</v>
      </c>
      <c r="AD63" t="s">
        <v>39</v>
      </c>
      <c r="AE63" t="s">
        <v>180</v>
      </c>
      <c r="AF63">
        <v>48</v>
      </c>
      <c r="AG63" t="s">
        <v>77</v>
      </c>
      <c r="AH63" t="s">
        <v>50</v>
      </c>
      <c r="AI63" t="s">
        <v>46</v>
      </c>
      <c r="AJ63" t="s">
        <v>47</v>
      </c>
      <c r="AK63" t="s">
        <v>61</v>
      </c>
      <c r="AL63">
        <v>17</v>
      </c>
      <c r="AM63">
        <v>7.4</v>
      </c>
      <c r="AN63" t="s">
        <v>46</v>
      </c>
      <c r="AO63" t="s">
        <v>233</v>
      </c>
      <c r="AP63" t="s">
        <v>63</v>
      </c>
      <c r="AQ63">
        <v>40</v>
      </c>
      <c r="AR63" t="s">
        <v>50</v>
      </c>
      <c r="AS63" t="s">
        <v>1633</v>
      </c>
      <c r="AT63" t="s">
        <v>63</v>
      </c>
      <c r="AU63" s="3" t="s">
        <v>46</v>
      </c>
      <c r="AV63">
        <v>1983</v>
      </c>
      <c r="AW63" t="s">
        <v>259</v>
      </c>
    </row>
    <row r="64" spans="1:49" x14ac:dyDescent="0.2">
      <c r="A64">
        <v>63</v>
      </c>
      <c r="B64" t="s">
        <v>252</v>
      </c>
      <c r="C64" t="s">
        <v>281</v>
      </c>
      <c r="D64">
        <v>2.6</v>
      </c>
      <c r="E64" t="s">
        <v>68</v>
      </c>
      <c r="F64">
        <f>D64-1.7</f>
        <v>0.90000000000000013</v>
      </c>
      <c r="G64">
        <f>3.8-D64</f>
        <v>1.1999999999999997</v>
      </c>
      <c r="H64" t="s">
        <v>69</v>
      </c>
      <c r="I64">
        <v>1</v>
      </c>
      <c r="J64">
        <v>10</v>
      </c>
      <c r="K64" t="s">
        <v>271</v>
      </c>
      <c r="L64" t="s">
        <v>282</v>
      </c>
      <c r="M64">
        <v>4</v>
      </c>
      <c r="N64" t="s">
        <v>68</v>
      </c>
      <c r="O64">
        <f>M64-2</f>
        <v>2</v>
      </c>
      <c r="P64">
        <f>5-M64</f>
        <v>1</v>
      </c>
      <c r="Q64" s="3" t="s">
        <v>69</v>
      </c>
      <c r="R64">
        <v>1</v>
      </c>
      <c r="S64">
        <v>10</v>
      </c>
      <c r="T64" t="s">
        <v>271</v>
      </c>
      <c r="U64" t="s">
        <v>227</v>
      </c>
      <c r="V64" t="s">
        <v>309</v>
      </c>
      <c r="W64" s="3" t="s">
        <v>310</v>
      </c>
      <c r="X64" s="4" t="s">
        <v>303</v>
      </c>
      <c r="Y64" t="s">
        <v>304</v>
      </c>
      <c r="Z64" t="s">
        <v>493</v>
      </c>
      <c r="AA64" t="s">
        <v>232</v>
      </c>
      <c r="AB64" t="s">
        <v>74</v>
      </c>
      <c r="AC64" t="s">
        <v>38</v>
      </c>
      <c r="AD64" t="s">
        <v>39</v>
      </c>
      <c r="AE64" t="s">
        <v>180</v>
      </c>
      <c r="AF64">
        <v>48</v>
      </c>
      <c r="AG64" t="s">
        <v>77</v>
      </c>
      <c r="AH64" t="s">
        <v>50</v>
      </c>
      <c r="AI64" t="s">
        <v>46</v>
      </c>
      <c r="AJ64" t="s">
        <v>47</v>
      </c>
      <c r="AK64" t="s">
        <v>61</v>
      </c>
      <c r="AL64">
        <v>17</v>
      </c>
      <c r="AM64">
        <v>7.4</v>
      </c>
      <c r="AN64" t="s">
        <v>46</v>
      </c>
      <c r="AO64" t="s">
        <v>233</v>
      </c>
      <c r="AP64" t="s">
        <v>63</v>
      </c>
      <c r="AQ64">
        <v>40</v>
      </c>
      <c r="AR64" t="s">
        <v>50</v>
      </c>
      <c r="AS64" t="s">
        <v>1630</v>
      </c>
      <c r="AT64" t="s">
        <v>63</v>
      </c>
      <c r="AU64" s="3" t="s">
        <v>46</v>
      </c>
      <c r="AV64">
        <v>1983</v>
      </c>
      <c r="AW64" t="s">
        <v>259</v>
      </c>
    </row>
    <row r="65" spans="1:49" x14ac:dyDescent="0.2">
      <c r="A65">
        <v>64</v>
      </c>
      <c r="B65" t="s">
        <v>252</v>
      </c>
      <c r="C65" t="s">
        <v>205</v>
      </c>
      <c r="D65" t="s">
        <v>285</v>
      </c>
      <c r="E65" t="s">
        <v>68</v>
      </c>
      <c r="F65" t="s">
        <v>46</v>
      </c>
      <c r="G65" t="s">
        <v>46</v>
      </c>
      <c r="H65" t="s">
        <v>46</v>
      </c>
      <c r="I65">
        <v>1</v>
      </c>
      <c r="J65">
        <v>10</v>
      </c>
      <c r="K65" t="s">
        <v>271</v>
      </c>
      <c r="L65" t="s">
        <v>286</v>
      </c>
      <c r="M65" t="s">
        <v>285</v>
      </c>
      <c r="N65" t="s">
        <v>68</v>
      </c>
      <c r="O65" t="s">
        <v>46</v>
      </c>
      <c r="P65" t="s">
        <v>46</v>
      </c>
      <c r="Q65" t="s">
        <v>46</v>
      </c>
      <c r="R65">
        <v>1</v>
      </c>
      <c r="S65">
        <v>10</v>
      </c>
      <c r="T65" t="s">
        <v>271</v>
      </c>
      <c r="U65" t="s">
        <v>227</v>
      </c>
      <c r="V65" t="s">
        <v>311</v>
      </c>
      <c r="W65" s="3" t="s">
        <v>312</v>
      </c>
      <c r="X65" s="4" t="s">
        <v>303</v>
      </c>
      <c r="Y65" t="s">
        <v>304</v>
      </c>
      <c r="Z65" t="s">
        <v>493</v>
      </c>
      <c r="AA65" t="s">
        <v>232</v>
      </c>
      <c r="AB65" t="s">
        <v>74</v>
      </c>
      <c r="AC65" t="s">
        <v>38</v>
      </c>
      <c r="AD65" t="s">
        <v>39</v>
      </c>
      <c r="AE65" t="s">
        <v>180</v>
      </c>
      <c r="AF65">
        <v>48</v>
      </c>
      <c r="AG65" t="s">
        <v>77</v>
      </c>
      <c r="AH65" t="s">
        <v>50</v>
      </c>
      <c r="AI65" t="s">
        <v>46</v>
      </c>
      <c r="AJ65" t="s">
        <v>47</v>
      </c>
      <c r="AK65" t="s">
        <v>61</v>
      </c>
      <c r="AL65">
        <v>17</v>
      </c>
      <c r="AM65">
        <v>7.4</v>
      </c>
      <c r="AN65" t="s">
        <v>46</v>
      </c>
      <c r="AO65" t="s">
        <v>233</v>
      </c>
      <c r="AP65" t="s">
        <v>63</v>
      </c>
      <c r="AQ65">
        <v>40</v>
      </c>
      <c r="AR65" t="s">
        <v>63</v>
      </c>
      <c r="AS65" t="s">
        <v>1633</v>
      </c>
      <c r="AT65" t="s">
        <v>63</v>
      </c>
      <c r="AU65" s="3" t="s">
        <v>46</v>
      </c>
      <c r="AV65">
        <v>1983</v>
      </c>
      <c r="AW65" t="s">
        <v>259</v>
      </c>
    </row>
    <row r="66" spans="1:49" x14ac:dyDescent="0.2">
      <c r="A66">
        <v>65</v>
      </c>
      <c r="B66" t="s">
        <v>252</v>
      </c>
      <c r="C66" t="s">
        <v>253</v>
      </c>
      <c r="D66">
        <v>1.6</v>
      </c>
      <c r="E66" t="s">
        <v>42</v>
      </c>
      <c r="F66">
        <f>D66-1.2</f>
        <v>0.40000000000000013</v>
      </c>
      <c r="G66">
        <f>2.2-D66</f>
        <v>0.60000000000000009</v>
      </c>
      <c r="H66" t="s">
        <v>69</v>
      </c>
      <c r="I66">
        <v>1</v>
      </c>
      <c r="J66">
        <v>10</v>
      </c>
      <c r="K66" t="s">
        <v>271</v>
      </c>
      <c r="L66" t="s">
        <v>254</v>
      </c>
      <c r="M66">
        <v>1.2</v>
      </c>
      <c r="N66" t="s">
        <v>42</v>
      </c>
      <c r="O66">
        <f>M66-1.1</f>
        <v>9.9999999999999867E-2</v>
      </c>
      <c r="P66">
        <f>1.4-M66</f>
        <v>0.19999999999999996</v>
      </c>
      <c r="Q66" s="3" t="s">
        <v>69</v>
      </c>
      <c r="R66">
        <v>1</v>
      </c>
      <c r="S66">
        <v>10</v>
      </c>
      <c r="T66" t="s">
        <v>271</v>
      </c>
      <c r="U66" t="s">
        <v>227</v>
      </c>
      <c r="V66" t="s">
        <v>313</v>
      </c>
      <c r="W66" s="3" t="s">
        <v>314</v>
      </c>
      <c r="X66" t="s">
        <v>316</v>
      </c>
      <c r="Y66" t="s">
        <v>315</v>
      </c>
      <c r="Z66" t="s">
        <v>492</v>
      </c>
      <c r="AA66" t="s">
        <v>36</v>
      </c>
      <c r="AB66" t="s">
        <v>37</v>
      </c>
      <c r="AC66" t="s">
        <v>38</v>
      </c>
      <c r="AD66" t="s">
        <v>39</v>
      </c>
      <c r="AE66" t="s">
        <v>75</v>
      </c>
      <c r="AF66">
        <v>96</v>
      </c>
      <c r="AG66" t="s">
        <v>77</v>
      </c>
      <c r="AH66" t="s">
        <v>50</v>
      </c>
      <c r="AI66" t="s">
        <v>46</v>
      </c>
      <c r="AJ66" t="s">
        <v>47</v>
      </c>
      <c r="AK66" t="s">
        <v>61</v>
      </c>
      <c r="AL66">
        <v>17</v>
      </c>
      <c r="AM66">
        <v>7.4</v>
      </c>
      <c r="AN66" t="s">
        <v>46</v>
      </c>
      <c r="AO66" t="s">
        <v>46</v>
      </c>
      <c r="AP66" t="s">
        <v>63</v>
      </c>
      <c r="AQ66">
        <v>40</v>
      </c>
      <c r="AR66" t="s">
        <v>50</v>
      </c>
      <c r="AS66" t="s">
        <v>1630</v>
      </c>
      <c r="AT66" t="s">
        <v>63</v>
      </c>
      <c r="AU66" s="3" t="s">
        <v>46</v>
      </c>
      <c r="AV66">
        <v>1983</v>
      </c>
      <c r="AW66" t="s">
        <v>317</v>
      </c>
    </row>
    <row r="67" spans="1:49" x14ac:dyDescent="0.2">
      <c r="A67">
        <v>66</v>
      </c>
      <c r="B67" t="s">
        <v>252</v>
      </c>
      <c r="C67" t="s">
        <v>253</v>
      </c>
      <c r="D67">
        <v>1.6</v>
      </c>
      <c r="E67" t="s">
        <v>42</v>
      </c>
      <c r="F67">
        <f>D67-1.2</f>
        <v>0.40000000000000013</v>
      </c>
      <c r="G67">
        <f>2.2-D67</f>
        <v>0.60000000000000009</v>
      </c>
      <c r="H67" t="s">
        <v>69</v>
      </c>
      <c r="I67">
        <v>1</v>
      </c>
      <c r="J67">
        <v>10</v>
      </c>
      <c r="K67" t="s">
        <v>271</v>
      </c>
      <c r="L67" t="s">
        <v>319</v>
      </c>
      <c r="M67">
        <v>1.2</v>
      </c>
      <c r="N67" t="s">
        <v>42</v>
      </c>
      <c r="O67">
        <f>M67-0.76</f>
        <v>0.43999999999999995</v>
      </c>
      <c r="P67">
        <f>1.9-M67</f>
        <v>0.7</v>
      </c>
      <c r="Q67" s="3" t="s">
        <v>69</v>
      </c>
      <c r="R67">
        <v>1</v>
      </c>
      <c r="S67">
        <v>10</v>
      </c>
      <c r="T67" t="s">
        <v>271</v>
      </c>
      <c r="U67" t="s">
        <v>227</v>
      </c>
      <c r="V67" t="s">
        <v>313</v>
      </c>
      <c r="W67" s="3" t="s">
        <v>320</v>
      </c>
      <c r="X67" t="s">
        <v>316</v>
      </c>
      <c r="Y67" t="s">
        <v>315</v>
      </c>
      <c r="Z67" t="s">
        <v>492</v>
      </c>
      <c r="AA67" t="s">
        <v>36</v>
      </c>
      <c r="AB67" t="s">
        <v>37</v>
      </c>
      <c r="AC67" t="s">
        <v>38</v>
      </c>
      <c r="AD67" t="s">
        <v>39</v>
      </c>
      <c r="AE67" t="s">
        <v>75</v>
      </c>
      <c r="AF67">
        <v>96</v>
      </c>
      <c r="AG67" t="s">
        <v>77</v>
      </c>
      <c r="AH67" t="s">
        <v>50</v>
      </c>
      <c r="AI67" t="s">
        <v>46</v>
      </c>
      <c r="AJ67" t="s">
        <v>47</v>
      </c>
      <c r="AK67" t="s">
        <v>61</v>
      </c>
      <c r="AL67">
        <v>17</v>
      </c>
      <c r="AM67">
        <v>7.4</v>
      </c>
      <c r="AN67" t="s">
        <v>46</v>
      </c>
      <c r="AO67" t="s">
        <v>46</v>
      </c>
      <c r="AP67" t="s">
        <v>63</v>
      </c>
      <c r="AQ67">
        <v>40</v>
      </c>
      <c r="AR67" t="s">
        <v>50</v>
      </c>
      <c r="AS67" t="s">
        <v>1630</v>
      </c>
      <c r="AT67" t="s">
        <v>63</v>
      </c>
      <c r="AU67" s="3" t="s">
        <v>46</v>
      </c>
      <c r="AV67">
        <v>1983</v>
      </c>
      <c r="AW67" t="s">
        <v>317</v>
      </c>
    </row>
    <row r="68" spans="1:49" x14ac:dyDescent="0.2">
      <c r="A68">
        <v>67</v>
      </c>
      <c r="B68" t="s">
        <v>252</v>
      </c>
      <c r="C68" t="s">
        <v>273</v>
      </c>
      <c r="D68">
        <v>13.5</v>
      </c>
      <c r="E68" t="s">
        <v>42</v>
      </c>
      <c r="F68">
        <f>D68-11.3</f>
        <v>2.1999999999999993</v>
      </c>
      <c r="G68">
        <f>16.2-D68</f>
        <v>2.6999999999999993</v>
      </c>
      <c r="H68" t="s">
        <v>69</v>
      </c>
      <c r="I68">
        <v>1</v>
      </c>
      <c r="J68">
        <v>10</v>
      </c>
      <c r="K68" t="s">
        <v>271</v>
      </c>
      <c r="L68" t="s">
        <v>274</v>
      </c>
      <c r="M68">
        <v>0.14000000000000001</v>
      </c>
      <c r="N68" t="s">
        <v>42</v>
      </c>
      <c r="O68">
        <f>M68-0.12</f>
        <v>2.0000000000000018E-2</v>
      </c>
      <c r="P68">
        <f>0.17-M68</f>
        <v>0.03</v>
      </c>
      <c r="Q68" s="3" t="s">
        <v>69</v>
      </c>
      <c r="R68">
        <v>1</v>
      </c>
      <c r="S68">
        <v>10</v>
      </c>
      <c r="T68" t="s">
        <v>271</v>
      </c>
      <c r="U68" t="s">
        <v>227</v>
      </c>
      <c r="V68" t="s">
        <v>321</v>
      </c>
      <c r="W68" s="3" t="s">
        <v>322</v>
      </c>
      <c r="X68" t="s">
        <v>316</v>
      </c>
      <c r="Y68" t="s">
        <v>315</v>
      </c>
      <c r="Z68" t="s">
        <v>492</v>
      </c>
      <c r="AA68" t="s">
        <v>36</v>
      </c>
      <c r="AB68" t="s">
        <v>37</v>
      </c>
      <c r="AC68" t="s">
        <v>38</v>
      </c>
      <c r="AD68" t="s">
        <v>39</v>
      </c>
      <c r="AE68" t="s">
        <v>75</v>
      </c>
      <c r="AF68">
        <v>96</v>
      </c>
      <c r="AG68" t="s">
        <v>77</v>
      </c>
      <c r="AH68" t="s">
        <v>50</v>
      </c>
      <c r="AI68" t="s">
        <v>46</v>
      </c>
      <c r="AJ68" t="s">
        <v>47</v>
      </c>
      <c r="AK68" t="s">
        <v>61</v>
      </c>
      <c r="AL68">
        <v>17</v>
      </c>
      <c r="AM68">
        <v>7.4</v>
      </c>
      <c r="AN68" t="s">
        <v>46</v>
      </c>
      <c r="AO68" t="s">
        <v>46</v>
      </c>
      <c r="AP68" t="s">
        <v>63</v>
      </c>
      <c r="AQ68">
        <v>40</v>
      </c>
      <c r="AR68" t="s">
        <v>50</v>
      </c>
      <c r="AS68" t="s">
        <v>1630</v>
      </c>
      <c r="AT68" t="s">
        <v>63</v>
      </c>
      <c r="AU68" s="3" t="s">
        <v>46</v>
      </c>
      <c r="AV68">
        <v>1983</v>
      </c>
      <c r="AW68" t="s">
        <v>317</v>
      </c>
    </row>
    <row r="69" spans="1:49" x14ac:dyDescent="0.2">
      <c r="A69">
        <v>68</v>
      </c>
      <c r="B69" t="s">
        <v>252</v>
      </c>
      <c r="C69" t="s">
        <v>277</v>
      </c>
      <c r="D69">
        <v>1.1000000000000001</v>
      </c>
      <c r="E69" t="s">
        <v>42</v>
      </c>
      <c r="F69">
        <f>D69-0.8</f>
        <v>0.30000000000000004</v>
      </c>
      <c r="G69">
        <f>1.6-D69</f>
        <v>0.5</v>
      </c>
      <c r="H69" t="s">
        <v>69</v>
      </c>
      <c r="I69">
        <v>1</v>
      </c>
      <c r="J69">
        <v>10</v>
      </c>
      <c r="K69" t="s">
        <v>271</v>
      </c>
      <c r="L69" t="s">
        <v>278</v>
      </c>
      <c r="M69">
        <v>0.7</v>
      </c>
      <c r="N69" t="s">
        <v>42</v>
      </c>
      <c r="O69">
        <f>M69-0.5</f>
        <v>0.19999999999999996</v>
      </c>
      <c r="P69">
        <f>1-M69</f>
        <v>0.30000000000000004</v>
      </c>
      <c r="Q69" s="3" t="s">
        <v>69</v>
      </c>
      <c r="R69">
        <v>1</v>
      </c>
      <c r="S69">
        <v>10</v>
      </c>
      <c r="T69" t="s">
        <v>271</v>
      </c>
      <c r="U69" t="s">
        <v>227</v>
      </c>
      <c r="V69" t="s">
        <v>323</v>
      </c>
      <c r="W69" s="3" t="s">
        <v>324</v>
      </c>
      <c r="X69" t="s">
        <v>316</v>
      </c>
      <c r="Y69" t="s">
        <v>315</v>
      </c>
      <c r="Z69" t="s">
        <v>492</v>
      </c>
      <c r="AA69" t="s">
        <v>36</v>
      </c>
      <c r="AB69" t="s">
        <v>37</v>
      </c>
      <c r="AC69" t="s">
        <v>38</v>
      </c>
      <c r="AD69" t="s">
        <v>39</v>
      </c>
      <c r="AE69" t="s">
        <v>75</v>
      </c>
      <c r="AF69">
        <v>96</v>
      </c>
      <c r="AG69" t="s">
        <v>77</v>
      </c>
      <c r="AH69" t="s">
        <v>50</v>
      </c>
      <c r="AI69" t="s">
        <v>46</v>
      </c>
      <c r="AJ69" t="s">
        <v>47</v>
      </c>
      <c r="AK69" t="s">
        <v>61</v>
      </c>
      <c r="AL69">
        <v>17</v>
      </c>
      <c r="AM69">
        <v>7.4</v>
      </c>
      <c r="AN69" t="s">
        <v>46</v>
      </c>
      <c r="AO69" t="s">
        <v>46</v>
      </c>
      <c r="AP69" t="s">
        <v>63</v>
      </c>
      <c r="AQ69">
        <v>40</v>
      </c>
      <c r="AR69" t="s">
        <v>50</v>
      </c>
      <c r="AS69" t="s">
        <v>1633</v>
      </c>
      <c r="AT69" t="s">
        <v>63</v>
      </c>
      <c r="AU69" s="3" t="s">
        <v>46</v>
      </c>
      <c r="AV69">
        <v>1983</v>
      </c>
      <c r="AW69" t="s">
        <v>317</v>
      </c>
    </row>
    <row r="70" spans="1:49" x14ac:dyDescent="0.2">
      <c r="A70">
        <v>69</v>
      </c>
      <c r="B70" t="s">
        <v>252</v>
      </c>
      <c r="C70" t="s">
        <v>281</v>
      </c>
      <c r="D70">
        <v>1</v>
      </c>
      <c r="E70" t="s">
        <v>42</v>
      </c>
      <c r="F70">
        <f>D70-0.7</f>
        <v>0.30000000000000004</v>
      </c>
      <c r="G70">
        <f>1.4-D70</f>
        <v>0.39999999999999991</v>
      </c>
      <c r="H70" t="s">
        <v>69</v>
      </c>
      <c r="I70">
        <v>1</v>
      </c>
      <c r="J70">
        <v>10</v>
      </c>
      <c r="K70" t="s">
        <v>271</v>
      </c>
      <c r="L70" t="s">
        <v>325</v>
      </c>
      <c r="M70">
        <v>1.9</v>
      </c>
      <c r="N70" t="s">
        <v>42</v>
      </c>
      <c r="O70">
        <f>M70-1.4</f>
        <v>0.5</v>
      </c>
      <c r="P70">
        <f>2.6-M70</f>
        <v>0.70000000000000018</v>
      </c>
      <c r="Q70" s="3" t="s">
        <v>69</v>
      </c>
      <c r="R70">
        <v>1</v>
      </c>
      <c r="S70">
        <v>10</v>
      </c>
      <c r="T70" t="s">
        <v>271</v>
      </c>
      <c r="U70" t="s">
        <v>227</v>
      </c>
      <c r="V70" t="s">
        <v>326</v>
      </c>
      <c r="W70" s="3" t="s">
        <v>327</v>
      </c>
      <c r="X70" t="s">
        <v>316</v>
      </c>
      <c r="Y70" t="s">
        <v>315</v>
      </c>
      <c r="Z70" t="s">
        <v>492</v>
      </c>
      <c r="AA70" t="s">
        <v>36</v>
      </c>
      <c r="AB70" t="s">
        <v>37</v>
      </c>
      <c r="AC70" t="s">
        <v>38</v>
      </c>
      <c r="AD70" t="s">
        <v>39</v>
      </c>
      <c r="AE70" t="s">
        <v>75</v>
      </c>
      <c r="AF70">
        <v>96</v>
      </c>
      <c r="AG70" t="s">
        <v>77</v>
      </c>
      <c r="AH70" t="s">
        <v>50</v>
      </c>
      <c r="AI70" t="s">
        <v>46</v>
      </c>
      <c r="AJ70" t="s">
        <v>47</v>
      </c>
      <c r="AK70" t="s">
        <v>61</v>
      </c>
      <c r="AL70">
        <v>17</v>
      </c>
      <c r="AM70">
        <v>7.4</v>
      </c>
      <c r="AN70" t="s">
        <v>46</v>
      </c>
      <c r="AO70" t="s">
        <v>46</v>
      </c>
      <c r="AP70" t="s">
        <v>63</v>
      </c>
      <c r="AQ70">
        <v>40</v>
      </c>
      <c r="AR70" t="s">
        <v>50</v>
      </c>
      <c r="AS70" t="s">
        <v>1630</v>
      </c>
      <c r="AT70" t="s">
        <v>63</v>
      </c>
      <c r="AU70" s="3" t="s">
        <v>46</v>
      </c>
      <c r="AV70">
        <v>1983</v>
      </c>
      <c r="AW70" t="s">
        <v>317</v>
      </c>
    </row>
    <row r="71" spans="1:49" x14ac:dyDescent="0.2">
      <c r="A71">
        <v>70</v>
      </c>
      <c r="B71" t="s">
        <v>252</v>
      </c>
      <c r="C71" t="s">
        <v>281</v>
      </c>
      <c r="D71">
        <v>1</v>
      </c>
      <c r="E71" t="s">
        <v>42</v>
      </c>
      <c r="F71">
        <f>D71-0.7</f>
        <v>0.30000000000000004</v>
      </c>
      <c r="G71">
        <f>1.4-D71</f>
        <v>0.39999999999999991</v>
      </c>
      <c r="H71" t="s">
        <v>69</v>
      </c>
      <c r="I71">
        <v>1</v>
      </c>
      <c r="J71">
        <v>10</v>
      </c>
      <c r="K71" t="s">
        <v>271</v>
      </c>
      <c r="L71" t="s">
        <v>282</v>
      </c>
      <c r="M71">
        <v>2.4</v>
      </c>
      <c r="N71" t="s">
        <v>42</v>
      </c>
      <c r="O71">
        <f>M71-2</f>
        <v>0.39999999999999991</v>
      </c>
      <c r="P71">
        <f>2.9-M71</f>
        <v>0.5</v>
      </c>
      <c r="Q71" s="3" t="s">
        <v>69</v>
      </c>
      <c r="R71">
        <v>1</v>
      </c>
      <c r="S71">
        <v>10</v>
      </c>
      <c r="T71" t="s">
        <v>271</v>
      </c>
      <c r="U71" t="s">
        <v>227</v>
      </c>
      <c r="V71" t="s">
        <v>326</v>
      </c>
      <c r="W71" s="3" t="s">
        <v>328</v>
      </c>
      <c r="X71" t="s">
        <v>316</v>
      </c>
      <c r="Y71" t="s">
        <v>315</v>
      </c>
      <c r="Z71" t="s">
        <v>492</v>
      </c>
      <c r="AA71" t="s">
        <v>36</v>
      </c>
      <c r="AB71" t="s">
        <v>37</v>
      </c>
      <c r="AC71" t="s">
        <v>38</v>
      </c>
      <c r="AD71" t="s">
        <v>39</v>
      </c>
      <c r="AE71" t="s">
        <v>75</v>
      </c>
      <c r="AF71">
        <v>96</v>
      </c>
      <c r="AG71" t="s">
        <v>77</v>
      </c>
      <c r="AH71" t="s">
        <v>50</v>
      </c>
      <c r="AI71" t="s">
        <v>46</v>
      </c>
      <c r="AJ71" t="s">
        <v>47</v>
      </c>
      <c r="AK71" t="s">
        <v>61</v>
      </c>
      <c r="AL71">
        <v>17</v>
      </c>
      <c r="AM71">
        <v>7.4</v>
      </c>
      <c r="AN71" t="s">
        <v>46</v>
      </c>
      <c r="AO71" t="s">
        <v>46</v>
      </c>
      <c r="AP71" t="s">
        <v>63</v>
      </c>
      <c r="AQ71">
        <v>40</v>
      </c>
      <c r="AR71" t="s">
        <v>50</v>
      </c>
      <c r="AS71" t="s">
        <v>1630</v>
      </c>
      <c r="AT71" t="s">
        <v>63</v>
      </c>
      <c r="AU71" s="3" t="s">
        <v>46</v>
      </c>
      <c r="AV71">
        <v>1983</v>
      </c>
      <c r="AW71" t="s">
        <v>317</v>
      </c>
    </row>
    <row r="72" spans="1:49" x14ac:dyDescent="0.2">
      <c r="A72">
        <v>71</v>
      </c>
      <c r="B72" t="s">
        <v>252</v>
      </c>
      <c r="C72" t="s">
        <v>281</v>
      </c>
      <c r="D72">
        <v>1</v>
      </c>
      <c r="E72" t="s">
        <v>42</v>
      </c>
      <c r="F72">
        <f>D72-0.7</f>
        <v>0.30000000000000004</v>
      </c>
      <c r="G72">
        <f>1.4-D72</f>
        <v>0.39999999999999991</v>
      </c>
      <c r="H72" t="s">
        <v>69</v>
      </c>
      <c r="I72">
        <v>1</v>
      </c>
      <c r="J72">
        <v>10</v>
      </c>
      <c r="K72" t="s">
        <v>271</v>
      </c>
      <c r="L72" t="s">
        <v>329</v>
      </c>
      <c r="M72">
        <v>1.3</v>
      </c>
      <c r="N72" t="s">
        <v>42</v>
      </c>
      <c r="O72">
        <f>M72-1.2</f>
        <v>0.10000000000000009</v>
      </c>
      <c r="P72">
        <f>1.4-M72</f>
        <v>9.9999999999999867E-2</v>
      </c>
      <c r="Q72" s="3" t="s">
        <v>69</v>
      </c>
      <c r="R72">
        <v>1</v>
      </c>
      <c r="S72">
        <v>10</v>
      </c>
      <c r="T72" t="s">
        <v>271</v>
      </c>
      <c r="U72" t="s">
        <v>227</v>
      </c>
      <c r="V72" t="s">
        <v>326</v>
      </c>
      <c r="W72" s="3" t="s">
        <v>330</v>
      </c>
      <c r="X72" t="s">
        <v>316</v>
      </c>
      <c r="Y72" t="s">
        <v>315</v>
      </c>
      <c r="Z72" t="s">
        <v>492</v>
      </c>
      <c r="AA72" t="s">
        <v>36</v>
      </c>
      <c r="AB72" t="s">
        <v>37</v>
      </c>
      <c r="AC72" t="s">
        <v>38</v>
      </c>
      <c r="AD72" t="s">
        <v>39</v>
      </c>
      <c r="AE72" t="s">
        <v>75</v>
      </c>
      <c r="AF72">
        <v>96</v>
      </c>
      <c r="AG72" t="s">
        <v>77</v>
      </c>
      <c r="AH72" t="s">
        <v>50</v>
      </c>
      <c r="AI72" t="s">
        <v>46</v>
      </c>
      <c r="AJ72" t="s">
        <v>47</v>
      </c>
      <c r="AK72" t="s">
        <v>61</v>
      </c>
      <c r="AL72">
        <v>17</v>
      </c>
      <c r="AM72">
        <v>7.4</v>
      </c>
      <c r="AN72" t="s">
        <v>46</v>
      </c>
      <c r="AO72" t="s">
        <v>46</v>
      </c>
      <c r="AP72" t="s">
        <v>63</v>
      </c>
      <c r="AQ72">
        <v>40</v>
      </c>
      <c r="AR72" t="s">
        <v>50</v>
      </c>
      <c r="AS72" t="s">
        <v>1633</v>
      </c>
      <c r="AT72" t="s">
        <v>63</v>
      </c>
      <c r="AU72" s="3" t="s">
        <v>46</v>
      </c>
      <c r="AV72">
        <v>1983</v>
      </c>
      <c r="AW72" t="s">
        <v>317</v>
      </c>
    </row>
    <row r="73" spans="1:49" x14ac:dyDescent="0.2">
      <c r="A73">
        <v>72</v>
      </c>
      <c r="B73" t="s">
        <v>252</v>
      </c>
      <c r="C73" t="s">
        <v>205</v>
      </c>
      <c r="D73" t="s">
        <v>56</v>
      </c>
      <c r="E73" t="s">
        <v>42</v>
      </c>
      <c r="F73" t="s">
        <v>46</v>
      </c>
      <c r="G73" t="s">
        <v>46</v>
      </c>
      <c r="H73" t="s">
        <v>46</v>
      </c>
      <c r="I73">
        <v>1</v>
      </c>
      <c r="J73">
        <v>10</v>
      </c>
      <c r="K73" t="s">
        <v>271</v>
      </c>
      <c r="L73" t="s">
        <v>331</v>
      </c>
      <c r="M73" t="s">
        <v>56</v>
      </c>
      <c r="N73" t="s">
        <v>42</v>
      </c>
      <c r="O73" t="s">
        <v>46</v>
      </c>
      <c r="P73" t="s">
        <v>46</v>
      </c>
      <c r="Q73" t="s">
        <v>46</v>
      </c>
      <c r="R73">
        <v>1</v>
      </c>
      <c r="S73">
        <v>10</v>
      </c>
      <c r="T73" t="s">
        <v>271</v>
      </c>
      <c r="U73" t="s">
        <v>227</v>
      </c>
      <c r="V73" t="s">
        <v>332</v>
      </c>
      <c r="W73" s="3" t="s">
        <v>333</v>
      </c>
      <c r="X73" t="s">
        <v>316</v>
      </c>
      <c r="Y73" t="s">
        <v>315</v>
      </c>
      <c r="Z73" t="s">
        <v>492</v>
      </c>
      <c r="AA73" t="s">
        <v>36</v>
      </c>
      <c r="AB73" t="s">
        <v>37</v>
      </c>
      <c r="AC73" t="s">
        <v>38</v>
      </c>
      <c r="AD73" t="s">
        <v>39</v>
      </c>
      <c r="AE73" t="s">
        <v>75</v>
      </c>
      <c r="AF73">
        <v>96</v>
      </c>
      <c r="AG73" t="s">
        <v>77</v>
      </c>
      <c r="AH73" t="s">
        <v>50</v>
      </c>
      <c r="AI73" t="s">
        <v>46</v>
      </c>
      <c r="AJ73" t="s">
        <v>47</v>
      </c>
      <c r="AK73" t="s">
        <v>61</v>
      </c>
      <c r="AL73">
        <v>17</v>
      </c>
      <c r="AM73">
        <v>7.4</v>
      </c>
      <c r="AN73" t="s">
        <v>46</v>
      </c>
      <c r="AO73" t="s">
        <v>46</v>
      </c>
      <c r="AP73" t="s">
        <v>63</v>
      </c>
      <c r="AQ73">
        <v>40</v>
      </c>
      <c r="AR73" t="s">
        <v>63</v>
      </c>
      <c r="AS73" t="s">
        <v>1633</v>
      </c>
      <c r="AT73" t="s">
        <v>63</v>
      </c>
      <c r="AU73" s="3" t="s">
        <v>46</v>
      </c>
      <c r="AV73">
        <v>1983</v>
      </c>
      <c r="AW73" t="s">
        <v>343</v>
      </c>
    </row>
    <row r="74" spans="1:49" x14ac:dyDescent="0.2">
      <c r="A74">
        <v>73</v>
      </c>
      <c r="B74" t="s">
        <v>252</v>
      </c>
      <c r="C74" t="s">
        <v>253</v>
      </c>
      <c r="D74">
        <v>1.2</v>
      </c>
      <c r="E74" t="s">
        <v>42</v>
      </c>
      <c r="F74">
        <f>D74-0.9</f>
        <v>0.29999999999999993</v>
      </c>
      <c r="G74">
        <f>1.4-D74</f>
        <v>0.19999999999999996</v>
      </c>
      <c r="H74" t="s">
        <v>69</v>
      </c>
      <c r="I74">
        <v>1</v>
      </c>
      <c r="J74">
        <v>10</v>
      </c>
      <c r="K74" t="s">
        <v>271</v>
      </c>
      <c r="L74" t="s">
        <v>254</v>
      </c>
      <c r="M74">
        <v>0.66</v>
      </c>
      <c r="N74" t="s">
        <v>42</v>
      </c>
      <c r="O74">
        <f>M74-0.48</f>
        <v>0.18000000000000005</v>
      </c>
      <c r="P74">
        <f>0.91-M74</f>
        <v>0.25</v>
      </c>
      <c r="Q74" s="3" t="s">
        <v>69</v>
      </c>
      <c r="R74">
        <v>1</v>
      </c>
      <c r="S74">
        <v>10</v>
      </c>
      <c r="T74" t="s">
        <v>271</v>
      </c>
      <c r="U74" t="s">
        <v>227</v>
      </c>
      <c r="V74" t="s">
        <v>334</v>
      </c>
      <c r="W74" s="3" t="s">
        <v>335</v>
      </c>
      <c r="X74" t="s">
        <v>336</v>
      </c>
      <c r="Y74" t="s">
        <v>337</v>
      </c>
      <c r="Z74" t="s">
        <v>492</v>
      </c>
      <c r="AA74" t="s">
        <v>36</v>
      </c>
      <c r="AB74" t="s">
        <v>37</v>
      </c>
      <c r="AC74" t="s">
        <v>38</v>
      </c>
      <c r="AD74" t="s">
        <v>39</v>
      </c>
      <c r="AE74" t="s">
        <v>75</v>
      </c>
      <c r="AF74">
        <v>96</v>
      </c>
      <c r="AG74" t="s">
        <v>77</v>
      </c>
      <c r="AH74" t="s">
        <v>50</v>
      </c>
      <c r="AI74" t="s">
        <v>46</v>
      </c>
      <c r="AJ74" t="s">
        <v>47</v>
      </c>
      <c r="AK74" t="s">
        <v>61</v>
      </c>
      <c r="AL74">
        <v>22</v>
      </c>
      <c r="AM74">
        <v>7.4</v>
      </c>
      <c r="AN74" t="s">
        <v>46</v>
      </c>
      <c r="AO74" t="s">
        <v>46</v>
      </c>
      <c r="AP74" t="s">
        <v>63</v>
      </c>
      <c r="AQ74">
        <v>40</v>
      </c>
      <c r="AR74" t="s">
        <v>50</v>
      </c>
      <c r="AS74" t="s">
        <v>1630</v>
      </c>
      <c r="AT74" t="s">
        <v>63</v>
      </c>
      <c r="AU74" s="3" t="s">
        <v>46</v>
      </c>
      <c r="AV74">
        <v>1983</v>
      </c>
      <c r="AW74" t="s">
        <v>259</v>
      </c>
    </row>
    <row r="75" spans="1:49" x14ac:dyDescent="0.2">
      <c r="A75">
        <v>74</v>
      </c>
      <c r="B75" t="s">
        <v>252</v>
      </c>
      <c r="C75" t="s">
        <v>253</v>
      </c>
      <c r="D75">
        <v>1.2</v>
      </c>
      <c r="E75" t="s">
        <v>42</v>
      </c>
      <c r="F75">
        <f>D75-0.9</f>
        <v>0.29999999999999993</v>
      </c>
      <c r="G75">
        <f>1.4-D75</f>
        <v>0.19999999999999996</v>
      </c>
      <c r="H75" t="s">
        <v>69</v>
      </c>
      <c r="I75">
        <v>1</v>
      </c>
      <c r="J75">
        <v>10</v>
      </c>
      <c r="K75" t="s">
        <v>271</v>
      </c>
      <c r="L75" t="s">
        <v>319</v>
      </c>
      <c r="M75">
        <v>1.2</v>
      </c>
      <c r="N75" t="s">
        <v>42</v>
      </c>
      <c r="O75">
        <f>M75-0.92</f>
        <v>0.27999999999999992</v>
      </c>
      <c r="P75">
        <f>1.6-M75</f>
        <v>0.40000000000000013</v>
      </c>
      <c r="Q75" s="3" t="s">
        <v>69</v>
      </c>
      <c r="R75">
        <v>1</v>
      </c>
      <c r="S75">
        <v>10</v>
      </c>
      <c r="T75" t="s">
        <v>271</v>
      </c>
      <c r="U75" t="s">
        <v>227</v>
      </c>
      <c r="V75" t="s">
        <v>334</v>
      </c>
      <c r="W75" s="3" t="s">
        <v>338</v>
      </c>
      <c r="X75" t="s">
        <v>336</v>
      </c>
      <c r="Y75" t="s">
        <v>337</v>
      </c>
      <c r="Z75" t="s">
        <v>492</v>
      </c>
      <c r="AA75" t="s">
        <v>36</v>
      </c>
      <c r="AB75" t="s">
        <v>37</v>
      </c>
      <c r="AC75" t="s">
        <v>38</v>
      </c>
      <c r="AD75" t="s">
        <v>39</v>
      </c>
      <c r="AE75" t="s">
        <v>75</v>
      </c>
      <c r="AF75">
        <v>96</v>
      </c>
      <c r="AG75" t="s">
        <v>77</v>
      </c>
      <c r="AH75" t="s">
        <v>50</v>
      </c>
      <c r="AI75" t="s">
        <v>46</v>
      </c>
      <c r="AJ75" t="s">
        <v>47</v>
      </c>
      <c r="AK75" t="s">
        <v>61</v>
      </c>
      <c r="AL75">
        <v>22</v>
      </c>
      <c r="AM75">
        <v>7.4</v>
      </c>
      <c r="AN75" t="s">
        <v>46</v>
      </c>
      <c r="AO75" t="s">
        <v>46</v>
      </c>
      <c r="AP75" t="s">
        <v>63</v>
      </c>
      <c r="AQ75">
        <v>40</v>
      </c>
      <c r="AR75" t="s">
        <v>50</v>
      </c>
      <c r="AS75" t="s">
        <v>1630</v>
      </c>
      <c r="AT75" t="s">
        <v>63</v>
      </c>
      <c r="AU75" s="3" t="s">
        <v>46</v>
      </c>
      <c r="AV75">
        <v>1983</v>
      </c>
      <c r="AW75" t="s">
        <v>259</v>
      </c>
    </row>
    <row r="76" spans="1:49" x14ac:dyDescent="0.2">
      <c r="A76">
        <v>75</v>
      </c>
      <c r="B76" t="s">
        <v>252</v>
      </c>
      <c r="C76" t="s">
        <v>273</v>
      </c>
      <c r="D76">
        <v>6</v>
      </c>
      <c r="E76" t="s">
        <v>42</v>
      </c>
      <c r="F76">
        <f>D76-4.3</f>
        <v>1.7000000000000002</v>
      </c>
      <c r="G76">
        <f>8.4-D76</f>
        <v>2.4000000000000004</v>
      </c>
      <c r="H76" t="s">
        <v>69</v>
      </c>
      <c r="I76">
        <v>1</v>
      </c>
      <c r="J76">
        <v>10</v>
      </c>
      <c r="K76" t="s">
        <v>271</v>
      </c>
      <c r="L76" t="s">
        <v>274</v>
      </c>
      <c r="M76">
        <v>0.1</v>
      </c>
      <c r="N76" t="s">
        <v>42</v>
      </c>
      <c r="O76">
        <f>M76-0.07</f>
        <v>0.03</v>
      </c>
      <c r="P76">
        <f>0.15-M76</f>
        <v>4.9999999999999989E-2</v>
      </c>
      <c r="Q76" s="3" t="s">
        <v>69</v>
      </c>
      <c r="R76">
        <v>1</v>
      </c>
      <c r="S76">
        <v>10</v>
      </c>
      <c r="T76" t="s">
        <v>271</v>
      </c>
      <c r="U76" t="s">
        <v>227</v>
      </c>
      <c r="V76" t="s">
        <v>339</v>
      </c>
      <c r="W76" s="3" t="s">
        <v>340</v>
      </c>
      <c r="X76" t="s">
        <v>336</v>
      </c>
      <c r="Y76" t="s">
        <v>337</v>
      </c>
      <c r="Z76" t="s">
        <v>492</v>
      </c>
      <c r="AA76" t="s">
        <v>36</v>
      </c>
      <c r="AB76" t="s">
        <v>37</v>
      </c>
      <c r="AC76" t="s">
        <v>38</v>
      </c>
      <c r="AD76" t="s">
        <v>39</v>
      </c>
      <c r="AE76" t="s">
        <v>75</v>
      </c>
      <c r="AF76">
        <v>96</v>
      </c>
      <c r="AG76" t="s">
        <v>77</v>
      </c>
      <c r="AH76" t="s">
        <v>50</v>
      </c>
      <c r="AI76" t="s">
        <v>46</v>
      </c>
      <c r="AJ76" t="s">
        <v>47</v>
      </c>
      <c r="AK76" t="s">
        <v>61</v>
      </c>
      <c r="AL76">
        <v>22</v>
      </c>
      <c r="AM76">
        <v>7.4</v>
      </c>
      <c r="AN76" t="s">
        <v>46</v>
      </c>
      <c r="AO76" t="s">
        <v>46</v>
      </c>
      <c r="AP76" t="s">
        <v>63</v>
      </c>
      <c r="AQ76">
        <v>40</v>
      </c>
      <c r="AR76" t="s">
        <v>50</v>
      </c>
      <c r="AS76" t="s">
        <v>1630</v>
      </c>
      <c r="AT76" t="s">
        <v>63</v>
      </c>
      <c r="AU76" s="3" t="s">
        <v>46</v>
      </c>
      <c r="AV76">
        <v>1983</v>
      </c>
      <c r="AW76" t="s">
        <v>259</v>
      </c>
    </row>
    <row r="77" spans="1:49" x14ac:dyDescent="0.2">
      <c r="A77">
        <v>76</v>
      </c>
      <c r="B77" t="s">
        <v>252</v>
      </c>
      <c r="C77" t="s">
        <v>277</v>
      </c>
      <c r="D77">
        <v>3.3</v>
      </c>
      <c r="E77" t="s">
        <v>42</v>
      </c>
      <c r="F77">
        <f>D77-2.3</f>
        <v>1</v>
      </c>
      <c r="G77">
        <f>4.8-D77</f>
        <v>1.5</v>
      </c>
      <c r="H77" t="s">
        <v>69</v>
      </c>
      <c r="I77">
        <v>1</v>
      </c>
      <c r="J77">
        <v>10</v>
      </c>
      <c r="K77" t="s">
        <v>271</v>
      </c>
      <c r="L77" t="s">
        <v>278</v>
      </c>
      <c r="M77">
        <v>1</v>
      </c>
      <c r="N77" t="s">
        <v>42</v>
      </c>
      <c r="O77">
        <f>M77-0.7</f>
        <v>0.30000000000000004</v>
      </c>
      <c r="P77">
        <f>1.4-M77</f>
        <v>0.39999999999999991</v>
      </c>
      <c r="Q77" s="3" t="s">
        <v>69</v>
      </c>
      <c r="R77">
        <v>1</v>
      </c>
      <c r="S77">
        <v>10</v>
      </c>
      <c r="T77" t="s">
        <v>271</v>
      </c>
      <c r="U77" t="s">
        <v>227</v>
      </c>
      <c r="V77" t="s">
        <v>341</v>
      </c>
      <c r="W77" s="3" t="s">
        <v>342</v>
      </c>
      <c r="X77" t="s">
        <v>336</v>
      </c>
      <c r="Y77" t="s">
        <v>337</v>
      </c>
      <c r="Z77" t="s">
        <v>492</v>
      </c>
      <c r="AA77" t="s">
        <v>36</v>
      </c>
      <c r="AB77" t="s">
        <v>37</v>
      </c>
      <c r="AC77" t="s">
        <v>38</v>
      </c>
      <c r="AD77" t="s">
        <v>39</v>
      </c>
      <c r="AE77" t="s">
        <v>75</v>
      </c>
      <c r="AF77">
        <v>96</v>
      </c>
      <c r="AG77" t="s">
        <v>77</v>
      </c>
      <c r="AH77" t="s">
        <v>50</v>
      </c>
      <c r="AI77" t="s">
        <v>46</v>
      </c>
      <c r="AJ77" t="s">
        <v>47</v>
      </c>
      <c r="AK77" t="s">
        <v>61</v>
      </c>
      <c r="AL77">
        <v>22</v>
      </c>
      <c r="AM77">
        <v>7.4</v>
      </c>
      <c r="AN77" t="s">
        <v>46</v>
      </c>
      <c r="AO77" t="s">
        <v>46</v>
      </c>
      <c r="AP77" t="s">
        <v>63</v>
      </c>
      <c r="AQ77">
        <v>40</v>
      </c>
      <c r="AR77" t="s">
        <v>50</v>
      </c>
      <c r="AS77" t="s">
        <v>1633</v>
      </c>
      <c r="AT77" t="s">
        <v>63</v>
      </c>
      <c r="AU77" s="3" t="s">
        <v>46</v>
      </c>
      <c r="AV77">
        <v>1983</v>
      </c>
      <c r="AW77" t="s">
        <v>259</v>
      </c>
    </row>
    <row r="78" spans="1:49" x14ac:dyDescent="0.2">
      <c r="A78">
        <v>77</v>
      </c>
      <c r="B78" t="s">
        <v>252</v>
      </c>
      <c r="C78" t="s">
        <v>281</v>
      </c>
      <c r="D78">
        <v>1</v>
      </c>
      <c r="E78" t="s">
        <v>42</v>
      </c>
      <c r="F78">
        <f>D78-0.7</f>
        <v>0.30000000000000004</v>
      </c>
      <c r="G78">
        <f>1.4-D78</f>
        <v>0.39999999999999991</v>
      </c>
      <c r="H78" t="s">
        <v>69</v>
      </c>
      <c r="I78">
        <v>1</v>
      </c>
      <c r="J78">
        <v>10</v>
      </c>
      <c r="K78" t="s">
        <v>271</v>
      </c>
      <c r="L78" t="s">
        <v>325</v>
      </c>
      <c r="M78">
        <v>2.5</v>
      </c>
      <c r="N78" t="s">
        <v>42</v>
      </c>
      <c r="O78">
        <f>M78-1.8</f>
        <v>0.7</v>
      </c>
      <c r="P78">
        <f>3.5-M78</f>
        <v>1</v>
      </c>
      <c r="Q78" s="3" t="s">
        <v>69</v>
      </c>
      <c r="R78">
        <v>1</v>
      </c>
      <c r="S78">
        <v>10</v>
      </c>
      <c r="T78" t="s">
        <v>271</v>
      </c>
      <c r="U78" t="s">
        <v>227</v>
      </c>
      <c r="V78" t="s">
        <v>344</v>
      </c>
      <c r="W78" s="3" t="s">
        <v>345</v>
      </c>
      <c r="X78" t="s">
        <v>336</v>
      </c>
      <c r="Y78" t="s">
        <v>337</v>
      </c>
      <c r="Z78" t="s">
        <v>492</v>
      </c>
      <c r="AA78" t="s">
        <v>36</v>
      </c>
      <c r="AB78" t="s">
        <v>37</v>
      </c>
      <c r="AC78" t="s">
        <v>38</v>
      </c>
      <c r="AD78" t="s">
        <v>39</v>
      </c>
      <c r="AE78" t="s">
        <v>75</v>
      </c>
      <c r="AF78">
        <v>96</v>
      </c>
      <c r="AG78" t="s">
        <v>77</v>
      </c>
      <c r="AH78" t="s">
        <v>50</v>
      </c>
      <c r="AI78" t="s">
        <v>46</v>
      </c>
      <c r="AJ78" t="s">
        <v>47</v>
      </c>
      <c r="AK78" t="s">
        <v>61</v>
      </c>
      <c r="AL78">
        <v>22</v>
      </c>
      <c r="AM78">
        <v>7.4</v>
      </c>
      <c r="AN78" t="s">
        <v>46</v>
      </c>
      <c r="AO78" t="s">
        <v>46</v>
      </c>
      <c r="AP78" t="s">
        <v>63</v>
      </c>
      <c r="AQ78">
        <v>40</v>
      </c>
      <c r="AR78" t="s">
        <v>50</v>
      </c>
      <c r="AS78" t="s">
        <v>1630</v>
      </c>
      <c r="AT78" t="s">
        <v>63</v>
      </c>
      <c r="AU78" s="3" t="s">
        <v>46</v>
      </c>
      <c r="AV78">
        <v>1983</v>
      </c>
      <c r="AW78" t="s">
        <v>259</v>
      </c>
    </row>
    <row r="79" spans="1:49" x14ac:dyDescent="0.2">
      <c r="A79">
        <v>78</v>
      </c>
      <c r="B79" t="s">
        <v>252</v>
      </c>
      <c r="C79" t="s">
        <v>281</v>
      </c>
      <c r="D79">
        <v>1</v>
      </c>
      <c r="E79" t="s">
        <v>42</v>
      </c>
      <c r="F79">
        <f>D79-0.7</f>
        <v>0.30000000000000004</v>
      </c>
      <c r="G79">
        <f>1.4-D79</f>
        <v>0.39999999999999991</v>
      </c>
      <c r="H79" t="s">
        <v>69</v>
      </c>
      <c r="I79">
        <v>1</v>
      </c>
      <c r="J79">
        <v>10</v>
      </c>
      <c r="K79" t="s">
        <v>271</v>
      </c>
      <c r="L79" t="s">
        <v>282</v>
      </c>
      <c r="M79">
        <v>4.3</v>
      </c>
      <c r="N79" t="s">
        <v>42</v>
      </c>
      <c r="O79">
        <f>M79-3.6</f>
        <v>0.69999999999999973</v>
      </c>
      <c r="P79">
        <f>5.1-M79</f>
        <v>0.79999999999999982</v>
      </c>
      <c r="Q79" s="3" t="s">
        <v>69</v>
      </c>
      <c r="R79">
        <v>1</v>
      </c>
      <c r="S79">
        <v>10</v>
      </c>
      <c r="T79" t="s">
        <v>271</v>
      </c>
      <c r="U79" t="s">
        <v>227</v>
      </c>
      <c r="V79" t="s">
        <v>344</v>
      </c>
      <c r="W79" s="3" t="s">
        <v>346</v>
      </c>
      <c r="X79" t="s">
        <v>336</v>
      </c>
      <c r="Y79" t="s">
        <v>337</v>
      </c>
      <c r="Z79" t="s">
        <v>492</v>
      </c>
      <c r="AA79" t="s">
        <v>36</v>
      </c>
      <c r="AB79" t="s">
        <v>37</v>
      </c>
      <c r="AC79" t="s">
        <v>38</v>
      </c>
      <c r="AD79" t="s">
        <v>39</v>
      </c>
      <c r="AE79" t="s">
        <v>75</v>
      </c>
      <c r="AF79">
        <v>96</v>
      </c>
      <c r="AG79" t="s">
        <v>77</v>
      </c>
      <c r="AH79" t="s">
        <v>50</v>
      </c>
      <c r="AI79" t="s">
        <v>46</v>
      </c>
      <c r="AJ79" t="s">
        <v>47</v>
      </c>
      <c r="AK79" t="s">
        <v>61</v>
      </c>
      <c r="AL79">
        <v>22</v>
      </c>
      <c r="AM79">
        <v>7.4</v>
      </c>
      <c r="AN79" t="s">
        <v>46</v>
      </c>
      <c r="AO79" t="s">
        <v>46</v>
      </c>
      <c r="AP79" t="s">
        <v>63</v>
      </c>
      <c r="AQ79">
        <v>40</v>
      </c>
      <c r="AR79" t="s">
        <v>50</v>
      </c>
      <c r="AS79" t="s">
        <v>1630</v>
      </c>
      <c r="AT79" t="s">
        <v>63</v>
      </c>
      <c r="AU79" s="3" t="s">
        <v>46</v>
      </c>
      <c r="AV79">
        <v>1983</v>
      </c>
      <c r="AW79" t="s">
        <v>259</v>
      </c>
    </row>
    <row r="80" spans="1:49" x14ac:dyDescent="0.2">
      <c r="A80">
        <v>79</v>
      </c>
      <c r="B80" t="s">
        <v>252</v>
      </c>
      <c r="C80" t="s">
        <v>281</v>
      </c>
      <c r="D80">
        <v>1</v>
      </c>
      <c r="E80" t="s">
        <v>42</v>
      </c>
      <c r="F80">
        <f>D80-0.7</f>
        <v>0.30000000000000004</v>
      </c>
      <c r="G80">
        <f>1.4-D80</f>
        <v>0.39999999999999991</v>
      </c>
      <c r="H80" t="s">
        <v>69</v>
      </c>
      <c r="I80">
        <v>1</v>
      </c>
      <c r="J80">
        <v>10</v>
      </c>
      <c r="K80" t="s">
        <v>271</v>
      </c>
      <c r="L80" t="s">
        <v>329</v>
      </c>
      <c r="M80">
        <v>2.4</v>
      </c>
      <c r="N80" t="s">
        <v>42</v>
      </c>
      <c r="O80">
        <f>M80-2</f>
        <v>0.39999999999999991</v>
      </c>
      <c r="P80">
        <f>2.9-M80</f>
        <v>0.5</v>
      </c>
      <c r="Q80" s="3" t="s">
        <v>69</v>
      </c>
      <c r="R80">
        <v>1</v>
      </c>
      <c r="S80">
        <v>10</v>
      </c>
      <c r="T80" t="s">
        <v>271</v>
      </c>
      <c r="U80" t="s">
        <v>227</v>
      </c>
      <c r="V80" t="s">
        <v>344</v>
      </c>
      <c r="W80" s="3" t="s">
        <v>347</v>
      </c>
      <c r="X80" t="s">
        <v>336</v>
      </c>
      <c r="Y80" t="s">
        <v>337</v>
      </c>
      <c r="Z80" t="s">
        <v>492</v>
      </c>
      <c r="AA80" t="s">
        <v>36</v>
      </c>
      <c r="AB80" t="s">
        <v>37</v>
      </c>
      <c r="AC80" t="s">
        <v>38</v>
      </c>
      <c r="AD80" t="s">
        <v>39</v>
      </c>
      <c r="AE80" t="s">
        <v>75</v>
      </c>
      <c r="AF80">
        <v>96</v>
      </c>
      <c r="AG80" t="s">
        <v>77</v>
      </c>
      <c r="AH80" t="s">
        <v>50</v>
      </c>
      <c r="AI80" t="s">
        <v>46</v>
      </c>
      <c r="AJ80" t="s">
        <v>47</v>
      </c>
      <c r="AK80" t="s">
        <v>61</v>
      </c>
      <c r="AL80">
        <v>22</v>
      </c>
      <c r="AM80">
        <v>7.4</v>
      </c>
      <c r="AN80" t="s">
        <v>46</v>
      </c>
      <c r="AO80" t="s">
        <v>46</v>
      </c>
      <c r="AP80" t="s">
        <v>63</v>
      </c>
      <c r="AQ80">
        <v>40</v>
      </c>
      <c r="AR80" t="s">
        <v>50</v>
      </c>
      <c r="AS80" t="s">
        <v>1633</v>
      </c>
      <c r="AT80" t="s">
        <v>63</v>
      </c>
      <c r="AU80" s="3" t="s">
        <v>46</v>
      </c>
      <c r="AV80">
        <v>1983</v>
      </c>
      <c r="AW80" t="s">
        <v>259</v>
      </c>
    </row>
    <row r="81" spans="1:49" x14ac:dyDescent="0.2">
      <c r="A81">
        <v>80</v>
      </c>
      <c r="B81" t="s">
        <v>252</v>
      </c>
      <c r="C81" t="s">
        <v>205</v>
      </c>
      <c r="D81" t="s">
        <v>56</v>
      </c>
      <c r="E81" t="s">
        <v>42</v>
      </c>
      <c r="F81" t="s">
        <v>46</v>
      </c>
      <c r="G81" t="s">
        <v>46</v>
      </c>
      <c r="H81" t="s">
        <v>46</v>
      </c>
      <c r="I81">
        <v>1</v>
      </c>
      <c r="J81">
        <v>10</v>
      </c>
      <c r="K81" t="s">
        <v>271</v>
      </c>
      <c r="L81" t="s">
        <v>331</v>
      </c>
      <c r="M81" t="s">
        <v>56</v>
      </c>
      <c r="N81" t="s">
        <v>42</v>
      </c>
      <c r="O81" t="s">
        <v>46</v>
      </c>
      <c r="P81" t="s">
        <v>46</v>
      </c>
      <c r="Q81" t="s">
        <v>46</v>
      </c>
      <c r="R81">
        <v>1</v>
      </c>
      <c r="S81">
        <v>10</v>
      </c>
      <c r="T81" t="s">
        <v>271</v>
      </c>
      <c r="U81" t="s">
        <v>227</v>
      </c>
      <c r="V81" t="s">
        <v>348</v>
      </c>
      <c r="W81" s="3" t="s">
        <v>349</v>
      </c>
      <c r="X81" t="s">
        <v>336</v>
      </c>
      <c r="Y81" t="s">
        <v>337</v>
      </c>
      <c r="Z81" t="s">
        <v>492</v>
      </c>
      <c r="AA81" t="s">
        <v>36</v>
      </c>
      <c r="AB81" t="s">
        <v>37</v>
      </c>
      <c r="AC81" t="s">
        <v>38</v>
      </c>
      <c r="AD81" t="s">
        <v>39</v>
      </c>
      <c r="AE81" t="s">
        <v>75</v>
      </c>
      <c r="AF81">
        <v>96</v>
      </c>
      <c r="AG81" t="s">
        <v>77</v>
      </c>
      <c r="AH81" t="s">
        <v>50</v>
      </c>
      <c r="AI81" t="s">
        <v>46</v>
      </c>
      <c r="AJ81" t="s">
        <v>47</v>
      </c>
      <c r="AK81" t="s">
        <v>61</v>
      </c>
      <c r="AL81">
        <v>22</v>
      </c>
      <c r="AM81">
        <v>7.4</v>
      </c>
      <c r="AN81" t="s">
        <v>46</v>
      </c>
      <c r="AO81" t="s">
        <v>46</v>
      </c>
      <c r="AP81" t="s">
        <v>63</v>
      </c>
      <c r="AQ81">
        <v>40</v>
      </c>
      <c r="AR81" t="s">
        <v>63</v>
      </c>
      <c r="AS81" t="s">
        <v>1633</v>
      </c>
      <c r="AT81" t="s">
        <v>63</v>
      </c>
      <c r="AU81" s="3" t="s">
        <v>46</v>
      </c>
      <c r="AV81">
        <v>1983</v>
      </c>
      <c r="AW81" t="s">
        <v>380</v>
      </c>
    </row>
    <row r="82" spans="1:49" x14ac:dyDescent="0.2">
      <c r="A82">
        <v>81</v>
      </c>
      <c r="B82" t="s">
        <v>252</v>
      </c>
      <c r="C82" t="s">
        <v>253</v>
      </c>
      <c r="D82">
        <v>0.5</v>
      </c>
      <c r="E82" t="s">
        <v>42</v>
      </c>
      <c r="F82">
        <f>D82-0.4</f>
        <v>9.9999999999999978E-2</v>
      </c>
      <c r="G82">
        <f>0.7-D82</f>
        <v>0.19999999999999996</v>
      </c>
      <c r="H82" t="s">
        <v>69</v>
      </c>
      <c r="I82">
        <v>1</v>
      </c>
      <c r="J82">
        <v>10</v>
      </c>
      <c r="K82" t="s">
        <v>271</v>
      </c>
      <c r="L82" t="s">
        <v>254</v>
      </c>
      <c r="M82">
        <v>0.3</v>
      </c>
      <c r="N82" t="s">
        <v>42</v>
      </c>
      <c r="O82">
        <f>M82-0.2</f>
        <v>9.9999999999999978E-2</v>
      </c>
      <c r="P82">
        <f>0.4-M82</f>
        <v>0.10000000000000003</v>
      </c>
      <c r="Q82" s="3" t="s">
        <v>69</v>
      </c>
      <c r="R82">
        <v>1</v>
      </c>
      <c r="S82">
        <v>10</v>
      </c>
      <c r="T82" t="s">
        <v>271</v>
      </c>
      <c r="U82" t="s">
        <v>227</v>
      </c>
      <c r="V82" t="s">
        <v>352</v>
      </c>
      <c r="W82" s="3" t="s">
        <v>353</v>
      </c>
      <c r="X82" t="s">
        <v>350</v>
      </c>
      <c r="Y82" t="s">
        <v>351</v>
      </c>
      <c r="Z82" t="s">
        <v>492</v>
      </c>
      <c r="AA82" t="s">
        <v>36</v>
      </c>
      <c r="AB82" t="s">
        <v>37</v>
      </c>
      <c r="AC82" t="s">
        <v>38</v>
      </c>
      <c r="AD82" t="s">
        <v>39</v>
      </c>
      <c r="AE82" t="s">
        <v>75</v>
      </c>
      <c r="AF82">
        <v>96</v>
      </c>
      <c r="AG82" t="s">
        <v>77</v>
      </c>
      <c r="AH82" t="s">
        <v>50</v>
      </c>
      <c r="AI82" t="s">
        <v>46</v>
      </c>
      <c r="AJ82" t="s">
        <v>47</v>
      </c>
      <c r="AK82" t="s">
        <v>61</v>
      </c>
      <c r="AL82">
        <v>22</v>
      </c>
      <c r="AM82">
        <v>7.4</v>
      </c>
      <c r="AN82" t="s">
        <v>46</v>
      </c>
      <c r="AO82" t="s">
        <v>46</v>
      </c>
      <c r="AP82" t="s">
        <v>63</v>
      </c>
      <c r="AQ82">
        <v>40</v>
      </c>
      <c r="AR82" t="s">
        <v>50</v>
      </c>
      <c r="AS82" t="s">
        <v>1630</v>
      </c>
      <c r="AT82" t="s">
        <v>63</v>
      </c>
      <c r="AU82" s="3" t="s">
        <v>46</v>
      </c>
      <c r="AV82">
        <v>1983</v>
      </c>
      <c r="AW82" t="s">
        <v>259</v>
      </c>
    </row>
    <row r="83" spans="1:49" x14ac:dyDescent="0.2">
      <c r="A83">
        <v>82</v>
      </c>
      <c r="B83" t="s">
        <v>252</v>
      </c>
      <c r="C83" t="s">
        <v>253</v>
      </c>
      <c r="D83">
        <v>0.5</v>
      </c>
      <c r="E83" t="s">
        <v>42</v>
      </c>
      <c r="F83">
        <f>D83-0.4</f>
        <v>9.9999999999999978E-2</v>
      </c>
      <c r="G83">
        <f>0.7-D83</f>
        <v>0.19999999999999996</v>
      </c>
      <c r="H83" t="s">
        <v>69</v>
      </c>
      <c r="I83">
        <v>1</v>
      </c>
      <c r="J83">
        <v>10</v>
      </c>
      <c r="K83" t="s">
        <v>271</v>
      </c>
      <c r="L83" t="s">
        <v>319</v>
      </c>
      <c r="M83">
        <v>0.32</v>
      </c>
      <c r="N83" t="s">
        <v>42</v>
      </c>
      <c r="O83">
        <f>M83-0.27</f>
        <v>4.9999999999999989E-2</v>
      </c>
      <c r="P83">
        <f>0.37-M83</f>
        <v>4.9999999999999989E-2</v>
      </c>
      <c r="Q83" s="3" t="s">
        <v>69</v>
      </c>
      <c r="R83">
        <v>1</v>
      </c>
      <c r="S83">
        <v>10</v>
      </c>
      <c r="T83" t="s">
        <v>271</v>
      </c>
      <c r="U83" t="s">
        <v>227</v>
      </c>
      <c r="V83" t="s">
        <v>352</v>
      </c>
      <c r="W83" s="3" t="s">
        <v>354</v>
      </c>
      <c r="X83" t="s">
        <v>350</v>
      </c>
      <c r="Y83" t="s">
        <v>351</v>
      </c>
      <c r="Z83" t="s">
        <v>492</v>
      </c>
      <c r="AA83" t="s">
        <v>36</v>
      </c>
      <c r="AB83" t="s">
        <v>37</v>
      </c>
      <c r="AC83" t="s">
        <v>38</v>
      </c>
      <c r="AD83" t="s">
        <v>39</v>
      </c>
      <c r="AE83" t="s">
        <v>75</v>
      </c>
      <c r="AF83">
        <v>96</v>
      </c>
      <c r="AG83" t="s">
        <v>77</v>
      </c>
      <c r="AH83" t="s">
        <v>50</v>
      </c>
      <c r="AI83" t="s">
        <v>46</v>
      </c>
      <c r="AJ83" t="s">
        <v>47</v>
      </c>
      <c r="AK83" t="s">
        <v>61</v>
      </c>
      <c r="AL83">
        <v>22</v>
      </c>
      <c r="AM83">
        <v>7.4</v>
      </c>
      <c r="AN83" t="s">
        <v>46</v>
      </c>
      <c r="AO83" t="s">
        <v>46</v>
      </c>
      <c r="AP83" t="s">
        <v>63</v>
      </c>
      <c r="AQ83">
        <v>40</v>
      </c>
      <c r="AR83" t="s">
        <v>50</v>
      </c>
      <c r="AS83" t="s">
        <v>1630</v>
      </c>
      <c r="AT83" t="s">
        <v>63</v>
      </c>
      <c r="AU83" s="3" t="s">
        <v>46</v>
      </c>
      <c r="AV83">
        <v>1983</v>
      </c>
      <c r="AW83" t="s">
        <v>259</v>
      </c>
    </row>
    <row r="84" spans="1:49" x14ac:dyDescent="0.2">
      <c r="A84">
        <v>83</v>
      </c>
      <c r="B84" t="s">
        <v>252</v>
      </c>
      <c r="C84" t="s">
        <v>273</v>
      </c>
      <c r="D84">
        <v>10</v>
      </c>
      <c r="E84" t="s">
        <v>42</v>
      </c>
      <c r="F84">
        <f>D84-6.9</f>
        <v>3.0999999999999996</v>
      </c>
      <c r="G84">
        <f>14.3-D84</f>
        <v>4.3000000000000007</v>
      </c>
      <c r="H84" t="s">
        <v>69</v>
      </c>
      <c r="I84">
        <v>1</v>
      </c>
      <c r="J84">
        <v>10</v>
      </c>
      <c r="K84" t="s">
        <v>271</v>
      </c>
      <c r="L84" t="s">
        <v>274</v>
      </c>
      <c r="M84">
        <v>0.13</v>
      </c>
      <c r="N84" t="s">
        <v>42</v>
      </c>
      <c r="O84">
        <f>M84-0.11</f>
        <v>2.0000000000000004E-2</v>
      </c>
      <c r="P84">
        <f>0.16-M84</f>
        <v>0.03</v>
      </c>
      <c r="Q84" s="3" t="s">
        <v>69</v>
      </c>
      <c r="R84">
        <v>1</v>
      </c>
      <c r="S84">
        <v>10</v>
      </c>
      <c r="T84" t="s">
        <v>271</v>
      </c>
      <c r="U84" t="s">
        <v>227</v>
      </c>
      <c r="V84" t="s">
        <v>355</v>
      </c>
      <c r="W84" s="3" t="s">
        <v>356</v>
      </c>
      <c r="X84" t="s">
        <v>350</v>
      </c>
      <c r="Y84" t="s">
        <v>351</v>
      </c>
      <c r="Z84" t="s">
        <v>492</v>
      </c>
      <c r="AA84" t="s">
        <v>36</v>
      </c>
      <c r="AB84" t="s">
        <v>37</v>
      </c>
      <c r="AC84" t="s">
        <v>38</v>
      </c>
      <c r="AD84" t="s">
        <v>39</v>
      </c>
      <c r="AE84" t="s">
        <v>75</v>
      </c>
      <c r="AF84">
        <v>96</v>
      </c>
      <c r="AG84" t="s">
        <v>77</v>
      </c>
      <c r="AH84" t="s">
        <v>50</v>
      </c>
      <c r="AI84" t="s">
        <v>46</v>
      </c>
      <c r="AJ84" t="s">
        <v>47</v>
      </c>
      <c r="AK84" t="s">
        <v>61</v>
      </c>
      <c r="AL84">
        <v>22</v>
      </c>
      <c r="AM84">
        <v>7.4</v>
      </c>
      <c r="AN84" t="s">
        <v>46</v>
      </c>
      <c r="AO84" t="s">
        <v>46</v>
      </c>
      <c r="AP84" t="s">
        <v>63</v>
      </c>
      <c r="AQ84">
        <v>40</v>
      </c>
      <c r="AR84" t="s">
        <v>50</v>
      </c>
      <c r="AS84" t="s">
        <v>1630</v>
      </c>
      <c r="AT84" t="s">
        <v>63</v>
      </c>
      <c r="AU84" s="3" t="s">
        <v>46</v>
      </c>
      <c r="AV84">
        <v>1983</v>
      </c>
      <c r="AW84" t="s">
        <v>259</v>
      </c>
    </row>
    <row r="85" spans="1:49" x14ac:dyDescent="0.2">
      <c r="A85">
        <v>84</v>
      </c>
      <c r="B85" t="s">
        <v>252</v>
      </c>
      <c r="C85" t="s">
        <v>277</v>
      </c>
      <c r="D85">
        <v>7.6</v>
      </c>
      <c r="E85" t="s">
        <v>42</v>
      </c>
      <c r="F85">
        <f>D85-5.7</f>
        <v>1.8999999999999995</v>
      </c>
      <c r="G85">
        <f>10.1-D85</f>
        <v>2.5</v>
      </c>
      <c r="H85" t="s">
        <v>69</v>
      </c>
      <c r="I85">
        <v>1</v>
      </c>
      <c r="J85">
        <v>10</v>
      </c>
      <c r="K85" t="s">
        <v>271</v>
      </c>
      <c r="L85" t="s">
        <v>278</v>
      </c>
      <c r="M85">
        <v>7.8</v>
      </c>
      <c r="N85" t="s">
        <v>42</v>
      </c>
      <c r="O85">
        <f>M85-3.6</f>
        <v>4.1999999999999993</v>
      </c>
      <c r="P85" s="1">
        <f>5.1-M85</f>
        <v>-2.7</v>
      </c>
      <c r="Q85" s="3" t="s">
        <v>69</v>
      </c>
      <c r="R85">
        <v>1</v>
      </c>
      <c r="S85">
        <v>10</v>
      </c>
      <c r="T85" t="s">
        <v>271</v>
      </c>
      <c r="U85" t="s">
        <v>227</v>
      </c>
      <c r="V85" t="s">
        <v>358</v>
      </c>
      <c r="W85" s="3" t="s">
        <v>357</v>
      </c>
      <c r="X85" t="s">
        <v>350</v>
      </c>
      <c r="Y85" t="s">
        <v>351</v>
      </c>
      <c r="Z85" t="s">
        <v>492</v>
      </c>
      <c r="AA85" t="s">
        <v>36</v>
      </c>
      <c r="AB85" t="s">
        <v>37</v>
      </c>
      <c r="AC85" t="s">
        <v>38</v>
      </c>
      <c r="AD85" t="s">
        <v>39</v>
      </c>
      <c r="AE85" t="s">
        <v>75</v>
      </c>
      <c r="AF85">
        <v>96</v>
      </c>
      <c r="AG85" t="s">
        <v>77</v>
      </c>
      <c r="AH85" t="s">
        <v>50</v>
      </c>
      <c r="AI85" t="s">
        <v>46</v>
      </c>
      <c r="AJ85" t="s">
        <v>47</v>
      </c>
      <c r="AK85" t="s">
        <v>61</v>
      </c>
      <c r="AL85">
        <v>22</v>
      </c>
      <c r="AM85">
        <v>7.4</v>
      </c>
      <c r="AN85" t="s">
        <v>46</v>
      </c>
      <c r="AO85" t="s">
        <v>46</v>
      </c>
      <c r="AP85" t="s">
        <v>63</v>
      </c>
      <c r="AQ85">
        <v>40</v>
      </c>
      <c r="AR85" t="s">
        <v>50</v>
      </c>
      <c r="AS85" t="s">
        <v>1633</v>
      </c>
      <c r="AT85" t="s">
        <v>63</v>
      </c>
      <c r="AU85" s="3" t="s">
        <v>46</v>
      </c>
      <c r="AV85">
        <v>1983</v>
      </c>
      <c r="AW85" t="s">
        <v>359</v>
      </c>
    </row>
    <row r="86" spans="1:49" x14ac:dyDescent="0.2">
      <c r="A86">
        <v>85</v>
      </c>
      <c r="B86" t="s">
        <v>252</v>
      </c>
      <c r="C86" t="s">
        <v>281</v>
      </c>
      <c r="D86">
        <v>4.3</v>
      </c>
      <c r="E86" t="s">
        <v>42</v>
      </c>
      <c r="F86" s="1">
        <f>4.3-8.6</f>
        <v>-4.3</v>
      </c>
      <c r="G86">
        <f>5.1-D86</f>
        <v>0.79999999999999982</v>
      </c>
      <c r="H86" t="s">
        <v>69</v>
      </c>
      <c r="I86">
        <v>1</v>
      </c>
      <c r="J86">
        <v>10</v>
      </c>
      <c r="K86" t="s">
        <v>271</v>
      </c>
      <c r="L86" t="s">
        <v>325</v>
      </c>
      <c r="M86">
        <v>7.6</v>
      </c>
      <c r="N86" t="s">
        <v>42</v>
      </c>
      <c r="O86">
        <f>M86-6</f>
        <v>1.5999999999999996</v>
      </c>
      <c r="P86">
        <f>9.7-M86</f>
        <v>2.0999999999999996</v>
      </c>
      <c r="Q86" s="3" t="s">
        <v>69</v>
      </c>
      <c r="R86">
        <v>1</v>
      </c>
      <c r="S86">
        <v>10</v>
      </c>
      <c r="T86" t="s">
        <v>271</v>
      </c>
      <c r="U86" t="s">
        <v>227</v>
      </c>
      <c r="V86" t="s">
        <v>360</v>
      </c>
      <c r="W86" s="3" t="s">
        <v>361</v>
      </c>
      <c r="X86" t="s">
        <v>350</v>
      </c>
      <c r="Y86" t="s">
        <v>351</v>
      </c>
      <c r="Z86" t="s">
        <v>492</v>
      </c>
      <c r="AA86" t="s">
        <v>36</v>
      </c>
      <c r="AB86" t="s">
        <v>37</v>
      </c>
      <c r="AC86" t="s">
        <v>38</v>
      </c>
      <c r="AD86" t="s">
        <v>39</v>
      </c>
      <c r="AE86" t="s">
        <v>75</v>
      </c>
      <c r="AF86">
        <v>96</v>
      </c>
      <c r="AG86" t="s">
        <v>77</v>
      </c>
      <c r="AH86" t="s">
        <v>50</v>
      </c>
      <c r="AI86" t="s">
        <v>46</v>
      </c>
      <c r="AJ86" t="s">
        <v>47</v>
      </c>
      <c r="AK86" t="s">
        <v>61</v>
      </c>
      <c r="AL86">
        <v>22</v>
      </c>
      <c r="AM86">
        <v>7.4</v>
      </c>
      <c r="AN86" t="s">
        <v>46</v>
      </c>
      <c r="AO86" t="s">
        <v>46</v>
      </c>
      <c r="AP86" t="s">
        <v>63</v>
      </c>
      <c r="AQ86">
        <v>40</v>
      </c>
      <c r="AR86" t="s">
        <v>50</v>
      </c>
      <c r="AS86" t="s">
        <v>1630</v>
      </c>
      <c r="AT86" t="s">
        <v>63</v>
      </c>
      <c r="AU86" s="3" t="s">
        <v>46</v>
      </c>
      <c r="AV86">
        <v>1983</v>
      </c>
      <c r="AW86" t="s">
        <v>362</v>
      </c>
    </row>
    <row r="87" spans="1:49" x14ac:dyDescent="0.2">
      <c r="A87">
        <v>86</v>
      </c>
      <c r="B87" t="s">
        <v>252</v>
      </c>
      <c r="C87" t="s">
        <v>281</v>
      </c>
      <c r="D87">
        <v>4.3</v>
      </c>
      <c r="E87" t="s">
        <v>42</v>
      </c>
      <c r="F87" s="1">
        <f>4.3-8.6</f>
        <v>-4.3</v>
      </c>
      <c r="G87">
        <f>5.1-D87</f>
        <v>0.79999999999999982</v>
      </c>
      <c r="H87" t="s">
        <v>69</v>
      </c>
      <c r="I87">
        <v>1</v>
      </c>
      <c r="J87">
        <v>10</v>
      </c>
      <c r="K87" t="s">
        <v>271</v>
      </c>
      <c r="L87" t="s">
        <v>282</v>
      </c>
      <c r="M87">
        <v>4.8</v>
      </c>
      <c r="N87" t="s">
        <v>42</v>
      </c>
      <c r="O87">
        <f>M87-3.5</f>
        <v>1.2999999999999998</v>
      </c>
      <c r="P87">
        <f>6.7-M87</f>
        <v>1.9000000000000004</v>
      </c>
      <c r="Q87" s="3" t="s">
        <v>69</v>
      </c>
      <c r="R87">
        <v>1</v>
      </c>
      <c r="S87">
        <v>10</v>
      </c>
      <c r="T87" t="s">
        <v>271</v>
      </c>
      <c r="U87" t="s">
        <v>227</v>
      </c>
      <c r="V87" t="s">
        <v>360</v>
      </c>
      <c r="W87" s="3" t="s">
        <v>363</v>
      </c>
      <c r="X87" t="s">
        <v>350</v>
      </c>
      <c r="Y87" t="s">
        <v>351</v>
      </c>
      <c r="Z87" t="s">
        <v>492</v>
      </c>
      <c r="AA87" t="s">
        <v>36</v>
      </c>
      <c r="AB87" t="s">
        <v>37</v>
      </c>
      <c r="AC87" t="s">
        <v>38</v>
      </c>
      <c r="AD87" t="s">
        <v>39</v>
      </c>
      <c r="AE87" t="s">
        <v>75</v>
      </c>
      <c r="AF87">
        <v>96</v>
      </c>
      <c r="AG87" t="s">
        <v>77</v>
      </c>
      <c r="AH87" t="s">
        <v>50</v>
      </c>
      <c r="AI87" t="s">
        <v>46</v>
      </c>
      <c r="AJ87" t="s">
        <v>47</v>
      </c>
      <c r="AK87" t="s">
        <v>61</v>
      </c>
      <c r="AL87">
        <v>22</v>
      </c>
      <c r="AM87">
        <v>7.4</v>
      </c>
      <c r="AN87" t="s">
        <v>46</v>
      </c>
      <c r="AO87" t="s">
        <v>46</v>
      </c>
      <c r="AP87" t="s">
        <v>63</v>
      </c>
      <c r="AQ87">
        <v>40</v>
      </c>
      <c r="AR87" t="s">
        <v>50</v>
      </c>
      <c r="AS87" t="s">
        <v>1630</v>
      </c>
      <c r="AT87" t="s">
        <v>63</v>
      </c>
      <c r="AU87" s="3" t="s">
        <v>46</v>
      </c>
      <c r="AV87">
        <v>1983</v>
      </c>
      <c r="AW87" t="s">
        <v>362</v>
      </c>
    </row>
    <row r="88" spans="1:49" x14ac:dyDescent="0.2">
      <c r="A88">
        <v>87</v>
      </c>
      <c r="B88" t="s">
        <v>252</v>
      </c>
      <c r="C88" t="s">
        <v>205</v>
      </c>
      <c r="D88" t="s">
        <v>56</v>
      </c>
      <c r="E88" t="s">
        <v>42</v>
      </c>
      <c r="F88" t="s">
        <v>46</v>
      </c>
      <c r="G88" t="s">
        <v>46</v>
      </c>
      <c r="H88" t="s">
        <v>46</v>
      </c>
      <c r="I88">
        <v>1</v>
      </c>
      <c r="J88">
        <v>10</v>
      </c>
      <c r="K88" t="s">
        <v>271</v>
      </c>
      <c r="L88" t="s">
        <v>331</v>
      </c>
      <c r="M88" t="s">
        <v>56</v>
      </c>
      <c r="N88" t="s">
        <v>42</v>
      </c>
      <c r="O88" t="s">
        <v>46</v>
      </c>
      <c r="P88" t="s">
        <v>46</v>
      </c>
      <c r="Q88" t="s">
        <v>46</v>
      </c>
      <c r="R88">
        <v>1</v>
      </c>
      <c r="S88">
        <v>10</v>
      </c>
      <c r="T88" t="s">
        <v>271</v>
      </c>
      <c r="U88" t="s">
        <v>227</v>
      </c>
      <c r="V88" t="s">
        <v>365</v>
      </c>
      <c r="W88" s="3" t="s">
        <v>364</v>
      </c>
      <c r="X88" t="s">
        <v>350</v>
      </c>
      <c r="Y88" t="s">
        <v>351</v>
      </c>
      <c r="Z88" t="s">
        <v>492</v>
      </c>
      <c r="AA88" t="s">
        <v>36</v>
      </c>
      <c r="AB88" t="s">
        <v>37</v>
      </c>
      <c r="AC88" t="s">
        <v>38</v>
      </c>
      <c r="AD88" t="s">
        <v>39</v>
      </c>
      <c r="AE88" t="s">
        <v>75</v>
      </c>
      <c r="AF88">
        <v>96</v>
      </c>
      <c r="AG88" t="s">
        <v>77</v>
      </c>
      <c r="AH88" t="s">
        <v>50</v>
      </c>
      <c r="AI88" t="s">
        <v>46</v>
      </c>
      <c r="AJ88" t="s">
        <v>47</v>
      </c>
      <c r="AK88" t="s">
        <v>61</v>
      </c>
      <c r="AL88">
        <v>22</v>
      </c>
      <c r="AM88">
        <v>7.4</v>
      </c>
      <c r="AN88" t="s">
        <v>46</v>
      </c>
      <c r="AO88" t="s">
        <v>46</v>
      </c>
      <c r="AP88" t="s">
        <v>63</v>
      </c>
      <c r="AQ88">
        <v>40</v>
      </c>
      <c r="AR88" t="s">
        <v>63</v>
      </c>
      <c r="AS88" t="s">
        <v>1633</v>
      </c>
      <c r="AT88" t="s">
        <v>63</v>
      </c>
      <c r="AU88" s="3" t="s">
        <v>46</v>
      </c>
      <c r="AV88">
        <v>1983</v>
      </c>
      <c r="AW88" t="s">
        <v>380</v>
      </c>
    </row>
    <row r="89" spans="1:49" x14ac:dyDescent="0.2">
      <c r="A89">
        <v>88</v>
      </c>
      <c r="B89" t="s">
        <v>252</v>
      </c>
      <c r="C89" t="s">
        <v>253</v>
      </c>
      <c r="D89">
        <v>2.8</v>
      </c>
      <c r="E89" t="s">
        <v>42</v>
      </c>
      <c r="F89">
        <f>D89-1.8</f>
        <v>0.99999999999999978</v>
      </c>
      <c r="G89">
        <f>4.3-D89</f>
        <v>1.5</v>
      </c>
      <c r="H89" t="s">
        <v>69</v>
      </c>
      <c r="I89">
        <v>1</v>
      </c>
      <c r="J89">
        <v>10</v>
      </c>
      <c r="K89" t="s">
        <v>271</v>
      </c>
      <c r="L89" t="s">
        <v>254</v>
      </c>
      <c r="M89">
        <v>1.8</v>
      </c>
      <c r="N89" t="s">
        <v>42</v>
      </c>
      <c r="O89">
        <f>M89-1.2</f>
        <v>0.60000000000000009</v>
      </c>
      <c r="P89">
        <f>2.7-M89</f>
        <v>0.90000000000000013</v>
      </c>
      <c r="Q89" t="s">
        <v>69</v>
      </c>
      <c r="R89">
        <v>1</v>
      </c>
      <c r="S89">
        <v>10</v>
      </c>
      <c r="T89" t="s">
        <v>271</v>
      </c>
      <c r="U89" t="s">
        <v>227</v>
      </c>
      <c r="V89" t="s">
        <v>368</v>
      </c>
      <c r="W89" t="s">
        <v>369</v>
      </c>
      <c r="X89" t="s">
        <v>366</v>
      </c>
      <c r="Y89" t="s">
        <v>367</v>
      </c>
      <c r="Z89" t="s">
        <v>493</v>
      </c>
      <c r="AA89" t="s">
        <v>36</v>
      </c>
      <c r="AB89" t="s">
        <v>37</v>
      </c>
      <c r="AC89" t="s">
        <v>38</v>
      </c>
      <c r="AD89" t="s">
        <v>39</v>
      </c>
      <c r="AE89" t="s">
        <v>75</v>
      </c>
      <c r="AF89">
        <v>96</v>
      </c>
      <c r="AG89" t="s">
        <v>77</v>
      </c>
      <c r="AH89" t="s">
        <v>50</v>
      </c>
      <c r="AI89" t="s">
        <v>46</v>
      </c>
      <c r="AJ89" t="s">
        <v>47</v>
      </c>
      <c r="AK89" t="s">
        <v>61</v>
      </c>
      <c r="AL89">
        <v>22</v>
      </c>
      <c r="AM89">
        <v>7.4</v>
      </c>
      <c r="AN89" t="s">
        <v>46</v>
      </c>
      <c r="AO89" t="s">
        <v>46</v>
      </c>
      <c r="AP89" t="s">
        <v>63</v>
      </c>
      <c r="AQ89">
        <v>40</v>
      </c>
      <c r="AR89" t="s">
        <v>50</v>
      </c>
      <c r="AS89" t="s">
        <v>1630</v>
      </c>
      <c r="AT89" t="s">
        <v>63</v>
      </c>
      <c r="AU89" s="3" t="s">
        <v>46</v>
      </c>
      <c r="AV89">
        <v>1983</v>
      </c>
      <c r="AW89" t="s">
        <v>259</v>
      </c>
    </row>
    <row r="90" spans="1:49" x14ac:dyDescent="0.2">
      <c r="A90">
        <v>89</v>
      </c>
      <c r="B90" t="s">
        <v>252</v>
      </c>
      <c r="C90" t="s">
        <v>253</v>
      </c>
      <c r="D90">
        <v>2.8</v>
      </c>
      <c r="E90" t="s">
        <v>42</v>
      </c>
      <c r="F90">
        <f>D90-1.8</f>
        <v>0.99999999999999978</v>
      </c>
      <c r="G90">
        <f>4.3-D90</f>
        <v>1.5</v>
      </c>
      <c r="H90" t="s">
        <v>69</v>
      </c>
      <c r="I90">
        <v>1</v>
      </c>
      <c r="J90">
        <v>10</v>
      </c>
      <c r="K90" t="s">
        <v>271</v>
      </c>
      <c r="L90" t="s">
        <v>319</v>
      </c>
      <c r="M90">
        <v>1.5</v>
      </c>
      <c r="N90" t="s">
        <v>42</v>
      </c>
      <c r="O90">
        <f>M90-0.89</f>
        <v>0.61</v>
      </c>
      <c r="P90">
        <f>2.5-M90</f>
        <v>1</v>
      </c>
      <c r="Q90" t="s">
        <v>69</v>
      </c>
      <c r="R90">
        <v>1</v>
      </c>
      <c r="S90">
        <v>10</v>
      </c>
      <c r="T90" t="s">
        <v>271</v>
      </c>
      <c r="U90" t="s">
        <v>227</v>
      </c>
      <c r="V90" t="s">
        <v>368</v>
      </c>
      <c r="W90" t="s">
        <v>370</v>
      </c>
      <c r="X90" t="s">
        <v>366</v>
      </c>
      <c r="Y90" t="s">
        <v>367</v>
      </c>
      <c r="Z90" t="s">
        <v>493</v>
      </c>
      <c r="AA90" t="s">
        <v>36</v>
      </c>
      <c r="AB90" t="s">
        <v>37</v>
      </c>
      <c r="AC90" t="s">
        <v>38</v>
      </c>
      <c r="AD90" t="s">
        <v>39</v>
      </c>
      <c r="AE90" t="s">
        <v>75</v>
      </c>
      <c r="AF90">
        <v>96</v>
      </c>
      <c r="AG90" t="s">
        <v>77</v>
      </c>
      <c r="AH90" t="s">
        <v>50</v>
      </c>
      <c r="AI90" t="s">
        <v>46</v>
      </c>
      <c r="AJ90" t="s">
        <v>47</v>
      </c>
      <c r="AK90" t="s">
        <v>61</v>
      </c>
      <c r="AL90">
        <v>22</v>
      </c>
      <c r="AM90">
        <v>7.4</v>
      </c>
      <c r="AN90" t="s">
        <v>46</v>
      </c>
      <c r="AO90" t="s">
        <v>46</v>
      </c>
      <c r="AP90" t="s">
        <v>63</v>
      </c>
      <c r="AQ90">
        <v>40</v>
      </c>
      <c r="AR90" t="s">
        <v>50</v>
      </c>
      <c r="AS90" t="s">
        <v>1630</v>
      </c>
      <c r="AT90" t="s">
        <v>63</v>
      </c>
      <c r="AU90" s="3" t="s">
        <v>46</v>
      </c>
      <c r="AV90">
        <v>1983</v>
      </c>
      <c r="AW90" t="s">
        <v>259</v>
      </c>
    </row>
    <row r="91" spans="1:49" x14ac:dyDescent="0.2">
      <c r="A91">
        <v>90</v>
      </c>
      <c r="B91" t="s">
        <v>252</v>
      </c>
      <c r="C91" t="s">
        <v>273</v>
      </c>
      <c r="D91">
        <v>8.5</v>
      </c>
      <c r="E91" t="s">
        <v>42</v>
      </c>
      <c r="F91">
        <f>D91-6.5</f>
        <v>2</v>
      </c>
      <c r="G91">
        <f>11.1-D91</f>
        <v>2.5999999999999996</v>
      </c>
      <c r="H91" t="s">
        <v>69</v>
      </c>
      <c r="I91">
        <v>1</v>
      </c>
      <c r="J91">
        <v>10</v>
      </c>
      <c r="K91" t="s">
        <v>271</v>
      </c>
      <c r="L91" t="s">
        <v>274</v>
      </c>
      <c r="M91">
        <v>0.08</v>
      </c>
      <c r="N91" t="s">
        <v>42</v>
      </c>
      <c r="O91">
        <f>M91-0.06</f>
        <v>2.0000000000000004E-2</v>
      </c>
      <c r="P91">
        <f>0.09-M91</f>
        <v>9.999999999999995E-3</v>
      </c>
      <c r="Q91" t="s">
        <v>69</v>
      </c>
      <c r="R91">
        <v>1</v>
      </c>
      <c r="S91">
        <v>10</v>
      </c>
      <c r="T91" t="s">
        <v>271</v>
      </c>
      <c r="U91" t="s">
        <v>227</v>
      </c>
      <c r="V91" t="s">
        <v>371</v>
      </c>
      <c r="W91" t="s">
        <v>372</v>
      </c>
      <c r="X91" t="s">
        <v>366</v>
      </c>
      <c r="Y91" t="s">
        <v>367</v>
      </c>
      <c r="Z91" t="s">
        <v>493</v>
      </c>
      <c r="AA91" t="s">
        <v>36</v>
      </c>
      <c r="AB91" t="s">
        <v>37</v>
      </c>
      <c r="AC91" t="s">
        <v>38</v>
      </c>
      <c r="AD91" t="s">
        <v>39</v>
      </c>
      <c r="AE91" t="s">
        <v>75</v>
      </c>
      <c r="AF91">
        <v>96</v>
      </c>
      <c r="AG91" t="s">
        <v>77</v>
      </c>
      <c r="AH91" t="s">
        <v>50</v>
      </c>
      <c r="AI91" t="s">
        <v>46</v>
      </c>
      <c r="AJ91" t="s">
        <v>47</v>
      </c>
      <c r="AK91" t="s">
        <v>61</v>
      </c>
      <c r="AL91">
        <v>22</v>
      </c>
      <c r="AM91">
        <v>7.4</v>
      </c>
      <c r="AN91" t="s">
        <v>46</v>
      </c>
      <c r="AO91" t="s">
        <v>46</v>
      </c>
      <c r="AP91" t="s">
        <v>63</v>
      </c>
      <c r="AQ91">
        <v>40</v>
      </c>
      <c r="AR91" t="s">
        <v>50</v>
      </c>
      <c r="AS91" t="s">
        <v>1630</v>
      </c>
      <c r="AT91" t="s">
        <v>63</v>
      </c>
      <c r="AU91" s="3" t="s">
        <v>46</v>
      </c>
      <c r="AV91">
        <v>1983</v>
      </c>
      <c r="AW91" t="s">
        <v>259</v>
      </c>
    </row>
    <row r="92" spans="1:49" x14ac:dyDescent="0.2">
      <c r="A92">
        <v>91</v>
      </c>
      <c r="B92" t="s">
        <v>252</v>
      </c>
      <c r="C92" t="s">
        <v>277</v>
      </c>
      <c r="D92" t="s">
        <v>373</v>
      </c>
      <c r="E92" t="s">
        <v>42</v>
      </c>
      <c r="F92" t="s">
        <v>46</v>
      </c>
      <c r="G92" t="s">
        <v>46</v>
      </c>
      <c r="H92" t="s">
        <v>46</v>
      </c>
      <c r="I92">
        <v>1</v>
      </c>
      <c r="J92">
        <v>10</v>
      </c>
      <c r="K92" t="s">
        <v>271</v>
      </c>
      <c r="L92" t="s">
        <v>278</v>
      </c>
      <c r="M92" t="s">
        <v>373</v>
      </c>
      <c r="N92" t="s">
        <v>42</v>
      </c>
      <c r="O92" t="s">
        <v>46</v>
      </c>
      <c r="P92" t="s">
        <v>46</v>
      </c>
      <c r="Q92" t="s">
        <v>46</v>
      </c>
      <c r="R92">
        <v>1</v>
      </c>
      <c r="S92">
        <v>10</v>
      </c>
      <c r="T92" t="s">
        <v>271</v>
      </c>
      <c r="U92" t="s">
        <v>227</v>
      </c>
      <c r="V92" t="s">
        <v>374</v>
      </c>
      <c r="W92" t="s">
        <v>375</v>
      </c>
      <c r="X92" t="s">
        <v>366</v>
      </c>
      <c r="Y92" t="s">
        <v>367</v>
      </c>
      <c r="Z92" t="s">
        <v>493</v>
      </c>
      <c r="AA92" t="s">
        <v>36</v>
      </c>
      <c r="AB92" t="s">
        <v>37</v>
      </c>
      <c r="AC92" t="s">
        <v>38</v>
      </c>
      <c r="AD92" t="s">
        <v>39</v>
      </c>
      <c r="AE92" t="s">
        <v>75</v>
      </c>
      <c r="AF92">
        <v>96</v>
      </c>
      <c r="AG92" t="s">
        <v>77</v>
      </c>
      <c r="AH92" t="s">
        <v>50</v>
      </c>
      <c r="AI92" t="s">
        <v>46</v>
      </c>
      <c r="AJ92" t="s">
        <v>47</v>
      </c>
      <c r="AK92" t="s">
        <v>61</v>
      </c>
      <c r="AL92">
        <v>22</v>
      </c>
      <c r="AM92">
        <v>7.4</v>
      </c>
      <c r="AN92" t="s">
        <v>46</v>
      </c>
      <c r="AO92" t="s">
        <v>46</v>
      </c>
      <c r="AP92" t="s">
        <v>63</v>
      </c>
      <c r="AQ92">
        <v>40</v>
      </c>
      <c r="AR92" t="s">
        <v>63</v>
      </c>
      <c r="AS92" t="s">
        <v>1633</v>
      </c>
      <c r="AT92" t="s">
        <v>63</v>
      </c>
      <c r="AU92" s="3" t="s">
        <v>46</v>
      </c>
      <c r="AV92">
        <v>1983</v>
      </c>
      <c r="AW92" t="s">
        <v>380</v>
      </c>
    </row>
    <row r="93" spans="1:49" x14ac:dyDescent="0.2">
      <c r="A93">
        <v>92</v>
      </c>
      <c r="B93" t="s">
        <v>252</v>
      </c>
      <c r="C93" t="s">
        <v>281</v>
      </c>
      <c r="D93">
        <v>3.2</v>
      </c>
      <c r="E93" t="s">
        <v>42</v>
      </c>
      <c r="F93">
        <f>D93-2.4</f>
        <v>0.80000000000000027</v>
      </c>
      <c r="G93">
        <f>4.2-D93</f>
        <v>1</v>
      </c>
      <c r="H93" t="s">
        <v>69</v>
      </c>
      <c r="I93">
        <v>1</v>
      </c>
      <c r="J93">
        <v>10</v>
      </c>
      <c r="K93" t="s">
        <v>271</v>
      </c>
      <c r="L93" t="s">
        <v>325</v>
      </c>
      <c r="M93">
        <v>4.3</v>
      </c>
      <c r="N93" t="s">
        <v>42</v>
      </c>
      <c r="O93">
        <f>M93-2.3</f>
        <v>2</v>
      </c>
      <c r="P93">
        <f>7.9-M93</f>
        <v>3.6000000000000005</v>
      </c>
      <c r="Q93" t="s">
        <v>69</v>
      </c>
      <c r="R93">
        <v>1</v>
      </c>
      <c r="S93">
        <v>10</v>
      </c>
      <c r="T93" t="s">
        <v>271</v>
      </c>
      <c r="U93" t="s">
        <v>227</v>
      </c>
      <c r="V93" t="s">
        <v>376</v>
      </c>
      <c r="W93" t="s">
        <v>377</v>
      </c>
      <c r="X93" t="s">
        <v>366</v>
      </c>
      <c r="Y93" t="s">
        <v>367</v>
      </c>
      <c r="Z93" t="s">
        <v>493</v>
      </c>
      <c r="AA93" t="s">
        <v>36</v>
      </c>
      <c r="AB93" t="s">
        <v>37</v>
      </c>
      <c r="AC93" t="s">
        <v>38</v>
      </c>
      <c r="AD93" t="s">
        <v>39</v>
      </c>
      <c r="AE93" t="s">
        <v>75</v>
      </c>
      <c r="AF93">
        <v>96</v>
      </c>
      <c r="AG93" t="s">
        <v>77</v>
      </c>
      <c r="AH93" t="s">
        <v>50</v>
      </c>
      <c r="AI93" t="s">
        <v>46</v>
      </c>
      <c r="AJ93" t="s">
        <v>47</v>
      </c>
      <c r="AK93" t="s">
        <v>61</v>
      </c>
      <c r="AL93">
        <v>22</v>
      </c>
      <c r="AM93">
        <v>7.4</v>
      </c>
      <c r="AN93" t="s">
        <v>46</v>
      </c>
      <c r="AO93" t="s">
        <v>46</v>
      </c>
      <c r="AP93" t="s">
        <v>63</v>
      </c>
      <c r="AQ93">
        <v>40</v>
      </c>
      <c r="AR93" t="s">
        <v>50</v>
      </c>
      <c r="AS93" t="s">
        <v>1630</v>
      </c>
      <c r="AT93" t="s">
        <v>63</v>
      </c>
      <c r="AU93" s="3" t="s">
        <v>46</v>
      </c>
      <c r="AV93">
        <v>1983</v>
      </c>
      <c r="AW93" t="s">
        <v>259</v>
      </c>
    </row>
    <row r="94" spans="1:49" x14ac:dyDescent="0.2">
      <c r="A94">
        <v>93</v>
      </c>
      <c r="B94" t="s">
        <v>252</v>
      </c>
      <c r="C94" t="s">
        <v>281</v>
      </c>
      <c r="D94">
        <v>3.2</v>
      </c>
      <c r="E94" t="s">
        <v>42</v>
      </c>
      <c r="F94">
        <f>D94-2.4</f>
        <v>0.80000000000000027</v>
      </c>
      <c r="G94">
        <f>4.2-D94</f>
        <v>1</v>
      </c>
      <c r="H94" t="s">
        <v>69</v>
      </c>
      <c r="I94">
        <v>1</v>
      </c>
      <c r="J94">
        <v>10</v>
      </c>
      <c r="K94" t="s">
        <v>271</v>
      </c>
      <c r="L94" t="s">
        <v>282</v>
      </c>
      <c r="M94">
        <v>3.6</v>
      </c>
      <c r="N94" t="s">
        <v>42</v>
      </c>
      <c r="O94">
        <f>M94-2.5</f>
        <v>1.1000000000000001</v>
      </c>
      <c r="P94">
        <f>5.2-M94</f>
        <v>1.6</v>
      </c>
      <c r="Q94" t="s">
        <v>69</v>
      </c>
      <c r="R94">
        <v>1</v>
      </c>
      <c r="S94">
        <v>10</v>
      </c>
      <c r="T94" t="s">
        <v>271</v>
      </c>
      <c r="U94" t="s">
        <v>227</v>
      </c>
      <c r="V94" t="s">
        <v>376</v>
      </c>
      <c r="W94" t="s">
        <v>378</v>
      </c>
      <c r="X94" t="s">
        <v>366</v>
      </c>
      <c r="Y94" t="s">
        <v>367</v>
      </c>
      <c r="Z94" t="s">
        <v>493</v>
      </c>
      <c r="AA94" t="s">
        <v>36</v>
      </c>
      <c r="AB94" t="s">
        <v>37</v>
      </c>
      <c r="AC94" t="s">
        <v>38</v>
      </c>
      <c r="AD94" t="s">
        <v>39</v>
      </c>
      <c r="AE94" t="s">
        <v>75</v>
      </c>
      <c r="AF94">
        <v>96</v>
      </c>
      <c r="AG94" t="s">
        <v>77</v>
      </c>
      <c r="AH94" t="s">
        <v>50</v>
      </c>
      <c r="AI94" t="s">
        <v>46</v>
      </c>
      <c r="AJ94" t="s">
        <v>47</v>
      </c>
      <c r="AK94" t="s">
        <v>61</v>
      </c>
      <c r="AL94">
        <v>22</v>
      </c>
      <c r="AM94">
        <v>7.4</v>
      </c>
      <c r="AN94" t="s">
        <v>46</v>
      </c>
      <c r="AO94" t="s">
        <v>46</v>
      </c>
      <c r="AP94" t="s">
        <v>63</v>
      </c>
      <c r="AQ94">
        <v>40</v>
      </c>
      <c r="AR94" t="s">
        <v>50</v>
      </c>
      <c r="AS94" t="s">
        <v>1630</v>
      </c>
      <c r="AT94" t="s">
        <v>63</v>
      </c>
      <c r="AU94" s="3" t="s">
        <v>46</v>
      </c>
      <c r="AV94">
        <v>1983</v>
      </c>
      <c r="AW94" t="s">
        <v>259</v>
      </c>
    </row>
    <row r="95" spans="1:49" x14ac:dyDescent="0.2">
      <c r="A95">
        <v>94</v>
      </c>
      <c r="B95" t="s">
        <v>252</v>
      </c>
      <c r="C95" t="s">
        <v>205</v>
      </c>
      <c r="D95" t="s">
        <v>56</v>
      </c>
      <c r="E95" t="s">
        <v>42</v>
      </c>
      <c r="F95" t="s">
        <v>46</v>
      </c>
      <c r="G95" t="s">
        <v>46</v>
      </c>
      <c r="H95" t="s">
        <v>46</v>
      </c>
      <c r="I95">
        <v>1</v>
      </c>
      <c r="J95">
        <v>10</v>
      </c>
      <c r="K95" t="s">
        <v>271</v>
      </c>
      <c r="L95" t="s">
        <v>331</v>
      </c>
      <c r="M95" t="s">
        <v>56</v>
      </c>
      <c r="N95" t="s">
        <v>42</v>
      </c>
      <c r="O95" t="s">
        <v>46</v>
      </c>
      <c r="P95" t="s">
        <v>46</v>
      </c>
      <c r="Q95" t="s">
        <v>46</v>
      </c>
      <c r="R95">
        <v>1</v>
      </c>
      <c r="S95">
        <v>10</v>
      </c>
      <c r="T95" t="s">
        <v>271</v>
      </c>
      <c r="U95" t="s">
        <v>227</v>
      </c>
      <c r="V95" t="s">
        <v>379</v>
      </c>
      <c r="W95" t="s">
        <v>381</v>
      </c>
      <c r="X95" t="s">
        <v>366</v>
      </c>
      <c r="Y95" t="s">
        <v>367</v>
      </c>
      <c r="Z95" t="s">
        <v>493</v>
      </c>
      <c r="AA95" t="s">
        <v>36</v>
      </c>
      <c r="AB95" t="s">
        <v>37</v>
      </c>
      <c r="AC95" t="s">
        <v>38</v>
      </c>
      <c r="AD95" t="s">
        <v>39</v>
      </c>
      <c r="AE95" t="s">
        <v>75</v>
      </c>
      <c r="AF95">
        <v>96</v>
      </c>
      <c r="AG95" t="s">
        <v>77</v>
      </c>
      <c r="AH95" t="s">
        <v>50</v>
      </c>
      <c r="AI95" t="s">
        <v>46</v>
      </c>
      <c r="AJ95" t="s">
        <v>47</v>
      </c>
      <c r="AK95" t="s">
        <v>61</v>
      </c>
      <c r="AL95">
        <v>22</v>
      </c>
      <c r="AM95">
        <v>7.4</v>
      </c>
      <c r="AN95" t="s">
        <v>46</v>
      </c>
      <c r="AO95" t="s">
        <v>46</v>
      </c>
      <c r="AP95" t="s">
        <v>63</v>
      </c>
      <c r="AQ95">
        <v>40</v>
      </c>
      <c r="AR95" t="s">
        <v>63</v>
      </c>
      <c r="AS95" t="s">
        <v>1633</v>
      </c>
      <c r="AT95" t="s">
        <v>63</v>
      </c>
      <c r="AU95" s="3" t="s">
        <v>46</v>
      </c>
      <c r="AV95">
        <v>1983</v>
      </c>
      <c r="AW95" t="s">
        <v>380</v>
      </c>
    </row>
    <row r="96" spans="1:49" x14ac:dyDescent="0.2">
      <c r="A96">
        <v>95</v>
      </c>
      <c r="B96" t="s">
        <v>386</v>
      </c>
      <c r="C96" t="s">
        <v>387</v>
      </c>
      <c r="D96">
        <v>57</v>
      </c>
      <c r="E96" t="s">
        <v>68</v>
      </c>
      <c r="F96">
        <f>D96-45</f>
        <v>12</v>
      </c>
      <c r="G96">
        <f>70-D96</f>
        <v>13</v>
      </c>
      <c r="H96" t="s">
        <v>69</v>
      </c>
      <c r="I96">
        <v>1</v>
      </c>
      <c r="J96">
        <v>10</v>
      </c>
      <c r="K96" t="s">
        <v>388</v>
      </c>
      <c r="L96" t="s">
        <v>389</v>
      </c>
      <c r="M96">
        <v>57</v>
      </c>
      <c r="N96" t="s">
        <v>68</v>
      </c>
      <c r="O96">
        <f>M96-45</f>
        <v>12</v>
      </c>
      <c r="P96">
        <f>70-M96</f>
        <v>13</v>
      </c>
      <c r="Q96" t="s">
        <v>69</v>
      </c>
      <c r="R96">
        <v>1</v>
      </c>
      <c r="S96">
        <v>10</v>
      </c>
      <c r="T96" t="s">
        <v>388</v>
      </c>
      <c r="U96" t="s">
        <v>390</v>
      </c>
      <c r="V96" t="s">
        <v>391</v>
      </c>
      <c r="W96" t="s">
        <v>392</v>
      </c>
      <c r="X96" t="s">
        <v>257</v>
      </c>
      <c r="Y96" t="s">
        <v>258</v>
      </c>
      <c r="Z96" t="s">
        <v>46</v>
      </c>
      <c r="AA96" t="s">
        <v>73</v>
      </c>
      <c r="AB96" t="s">
        <v>74</v>
      </c>
      <c r="AC96" t="s">
        <v>38</v>
      </c>
      <c r="AD96" t="s">
        <v>39</v>
      </c>
      <c r="AE96" t="s">
        <v>465</v>
      </c>
      <c r="AF96">
        <v>48</v>
      </c>
      <c r="AG96" t="s">
        <v>40</v>
      </c>
      <c r="AH96" t="s">
        <v>50</v>
      </c>
      <c r="AI96" t="s">
        <v>46</v>
      </c>
      <c r="AJ96" t="s">
        <v>47</v>
      </c>
      <c r="AK96" t="s">
        <v>61</v>
      </c>
      <c r="AL96">
        <v>20</v>
      </c>
      <c r="AM96">
        <v>7.7</v>
      </c>
      <c r="AN96" t="s">
        <v>152</v>
      </c>
      <c r="AO96">
        <v>24</v>
      </c>
      <c r="AP96" t="s">
        <v>63</v>
      </c>
      <c r="AQ96">
        <v>40.200000000000003</v>
      </c>
      <c r="AR96" t="s">
        <v>50</v>
      </c>
      <c r="AS96" t="s">
        <v>1631</v>
      </c>
      <c r="AT96" t="s">
        <v>63</v>
      </c>
      <c r="AU96" s="3" t="s">
        <v>46</v>
      </c>
      <c r="AV96">
        <v>1992</v>
      </c>
      <c r="AW96" t="s">
        <v>393</v>
      </c>
    </row>
    <row r="97" spans="1:49" x14ac:dyDescent="0.2">
      <c r="A97">
        <v>96</v>
      </c>
      <c r="B97" t="s">
        <v>386</v>
      </c>
      <c r="C97" t="s">
        <v>387</v>
      </c>
      <c r="D97">
        <v>57</v>
      </c>
      <c r="E97" t="s">
        <v>68</v>
      </c>
      <c r="F97">
        <f>D97-45</f>
        <v>12</v>
      </c>
      <c r="G97">
        <f>70-D97</f>
        <v>13</v>
      </c>
      <c r="H97" t="s">
        <v>69</v>
      </c>
      <c r="I97">
        <v>1</v>
      </c>
      <c r="J97">
        <v>10</v>
      </c>
      <c r="K97" t="s">
        <v>388</v>
      </c>
      <c r="L97" t="s">
        <v>394</v>
      </c>
      <c r="M97">
        <v>43</v>
      </c>
      <c r="N97" t="s">
        <v>68</v>
      </c>
      <c r="O97">
        <f>M97-35</f>
        <v>8</v>
      </c>
      <c r="P97">
        <f>56-M97</f>
        <v>13</v>
      </c>
      <c r="Q97" t="s">
        <v>69</v>
      </c>
      <c r="R97">
        <v>1</v>
      </c>
      <c r="S97">
        <v>10</v>
      </c>
      <c r="T97" t="s">
        <v>388</v>
      </c>
      <c r="U97" t="s">
        <v>390</v>
      </c>
      <c r="V97" t="s">
        <v>391</v>
      </c>
      <c r="W97" t="s">
        <v>395</v>
      </c>
      <c r="X97" t="s">
        <v>257</v>
      </c>
      <c r="Y97" t="s">
        <v>258</v>
      </c>
      <c r="Z97" t="s">
        <v>46</v>
      </c>
      <c r="AA97" t="s">
        <v>73</v>
      </c>
      <c r="AB97" t="s">
        <v>74</v>
      </c>
      <c r="AC97" t="s">
        <v>38</v>
      </c>
      <c r="AD97" t="s">
        <v>39</v>
      </c>
      <c r="AE97" t="s">
        <v>465</v>
      </c>
      <c r="AF97">
        <v>48</v>
      </c>
      <c r="AG97" t="s">
        <v>40</v>
      </c>
      <c r="AH97" t="s">
        <v>50</v>
      </c>
      <c r="AI97" t="s">
        <v>46</v>
      </c>
      <c r="AJ97" t="s">
        <v>47</v>
      </c>
      <c r="AK97" t="s">
        <v>61</v>
      </c>
      <c r="AL97">
        <v>20</v>
      </c>
      <c r="AM97">
        <v>7.7</v>
      </c>
      <c r="AN97" t="s">
        <v>152</v>
      </c>
      <c r="AO97">
        <v>24</v>
      </c>
      <c r="AP97" t="s">
        <v>63</v>
      </c>
      <c r="AQ97">
        <v>40.200000000000003</v>
      </c>
      <c r="AR97" t="s">
        <v>50</v>
      </c>
      <c r="AS97" t="s">
        <v>1631</v>
      </c>
      <c r="AT97" t="s">
        <v>63</v>
      </c>
      <c r="AU97" s="3" t="s">
        <v>46</v>
      </c>
      <c r="AV97">
        <v>1992</v>
      </c>
      <c r="AW97" t="s">
        <v>393</v>
      </c>
    </row>
    <row r="98" spans="1:49" x14ac:dyDescent="0.2">
      <c r="A98">
        <v>97</v>
      </c>
      <c r="B98" t="s">
        <v>386</v>
      </c>
      <c r="C98" t="s">
        <v>387</v>
      </c>
      <c r="D98">
        <v>65</v>
      </c>
      <c r="E98" t="s">
        <v>68</v>
      </c>
      <c r="F98">
        <f>D98-53</f>
        <v>12</v>
      </c>
      <c r="G98">
        <f>81-D98</f>
        <v>16</v>
      </c>
      <c r="H98" t="s">
        <v>69</v>
      </c>
      <c r="I98">
        <v>1</v>
      </c>
      <c r="J98">
        <v>10</v>
      </c>
      <c r="K98" t="s">
        <v>388</v>
      </c>
      <c r="L98" t="s">
        <v>389</v>
      </c>
      <c r="M98">
        <v>41</v>
      </c>
      <c r="N98" t="s">
        <v>68</v>
      </c>
      <c r="O98">
        <f>M98-34</f>
        <v>7</v>
      </c>
      <c r="P98">
        <f>52-M98</f>
        <v>11</v>
      </c>
      <c r="Q98" t="s">
        <v>69</v>
      </c>
      <c r="R98">
        <v>1</v>
      </c>
      <c r="S98">
        <v>10</v>
      </c>
      <c r="T98" t="s">
        <v>388</v>
      </c>
      <c r="U98" t="s">
        <v>390</v>
      </c>
      <c r="V98" t="s">
        <v>396</v>
      </c>
      <c r="W98" t="s">
        <v>397</v>
      </c>
      <c r="X98" t="s">
        <v>257</v>
      </c>
      <c r="Y98" t="s">
        <v>258</v>
      </c>
      <c r="Z98" t="s">
        <v>46</v>
      </c>
      <c r="AA98" t="s">
        <v>73</v>
      </c>
      <c r="AB98" t="s">
        <v>74</v>
      </c>
      <c r="AC98" t="s">
        <v>38</v>
      </c>
      <c r="AD98" t="s">
        <v>39</v>
      </c>
      <c r="AE98" t="s">
        <v>75</v>
      </c>
      <c r="AF98">
        <v>48</v>
      </c>
      <c r="AG98" t="s">
        <v>40</v>
      </c>
      <c r="AH98" t="s">
        <v>50</v>
      </c>
      <c r="AI98" t="s">
        <v>46</v>
      </c>
      <c r="AJ98" t="s">
        <v>47</v>
      </c>
      <c r="AK98" t="s">
        <v>61</v>
      </c>
      <c r="AL98">
        <v>20</v>
      </c>
      <c r="AM98">
        <v>7.7</v>
      </c>
      <c r="AN98" t="s">
        <v>152</v>
      </c>
      <c r="AO98">
        <v>168</v>
      </c>
      <c r="AP98" t="s">
        <v>63</v>
      </c>
      <c r="AQ98">
        <v>40.200000000000003</v>
      </c>
      <c r="AR98" t="s">
        <v>50</v>
      </c>
      <c r="AS98" t="s">
        <v>1631</v>
      </c>
      <c r="AT98" t="s">
        <v>63</v>
      </c>
      <c r="AU98" s="3" t="s">
        <v>46</v>
      </c>
      <c r="AV98">
        <v>1992</v>
      </c>
      <c r="AW98" t="s">
        <v>393</v>
      </c>
    </row>
    <row r="99" spans="1:49" x14ac:dyDescent="0.2">
      <c r="A99">
        <v>98</v>
      </c>
      <c r="B99" t="s">
        <v>386</v>
      </c>
      <c r="C99" t="s">
        <v>387</v>
      </c>
      <c r="D99">
        <v>65</v>
      </c>
      <c r="E99" t="s">
        <v>68</v>
      </c>
      <c r="F99">
        <f>D99-53</f>
        <v>12</v>
      </c>
      <c r="G99">
        <f>81-D99</f>
        <v>16</v>
      </c>
      <c r="H99" t="s">
        <v>69</v>
      </c>
      <c r="I99">
        <v>1</v>
      </c>
      <c r="J99">
        <v>10</v>
      </c>
      <c r="K99" t="s">
        <v>388</v>
      </c>
      <c r="L99" t="s">
        <v>394</v>
      </c>
      <c r="M99">
        <v>49</v>
      </c>
      <c r="N99" t="s">
        <v>68</v>
      </c>
      <c r="O99">
        <f>M99-38</f>
        <v>11</v>
      </c>
      <c r="P99">
        <f>60-M99</f>
        <v>11</v>
      </c>
      <c r="Q99" t="s">
        <v>69</v>
      </c>
      <c r="R99">
        <v>1</v>
      </c>
      <c r="S99">
        <v>10</v>
      </c>
      <c r="T99" t="s">
        <v>388</v>
      </c>
      <c r="U99" t="s">
        <v>390</v>
      </c>
      <c r="V99" t="s">
        <v>396</v>
      </c>
      <c r="W99" t="s">
        <v>398</v>
      </c>
      <c r="X99" t="s">
        <v>257</v>
      </c>
      <c r="Y99" t="s">
        <v>258</v>
      </c>
      <c r="Z99" t="s">
        <v>46</v>
      </c>
      <c r="AA99" t="s">
        <v>73</v>
      </c>
      <c r="AB99" t="s">
        <v>74</v>
      </c>
      <c r="AC99" t="s">
        <v>38</v>
      </c>
      <c r="AD99" t="s">
        <v>39</v>
      </c>
      <c r="AE99" t="s">
        <v>75</v>
      </c>
      <c r="AF99">
        <v>48</v>
      </c>
      <c r="AG99" t="s">
        <v>40</v>
      </c>
      <c r="AH99" t="s">
        <v>50</v>
      </c>
      <c r="AI99" t="s">
        <v>46</v>
      </c>
      <c r="AJ99" t="s">
        <v>47</v>
      </c>
      <c r="AK99" t="s">
        <v>61</v>
      </c>
      <c r="AL99">
        <v>20</v>
      </c>
      <c r="AM99">
        <v>7.7</v>
      </c>
      <c r="AN99" t="s">
        <v>152</v>
      </c>
      <c r="AO99">
        <v>168</v>
      </c>
      <c r="AP99" t="s">
        <v>63</v>
      </c>
      <c r="AQ99">
        <v>40.200000000000003</v>
      </c>
      <c r="AR99" t="s">
        <v>50</v>
      </c>
      <c r="AS99" t="s">
        <v>1631</v>
      </c>
      <c r="AT99" t="s">
        <v>63</v>
      </c>
      <c r="AU99" s="3" t="s">
        <v>46</v>
      </c>
      <c r="AV99">
        <v>1992</v>
      </c>
      <c r="AW99" t="s">
        <v>399</v>
      </c>
    </row>
    <row r="100" spans="1:49" x14ac:dyDescent="0.2">
      <c r="A100">
        <v>99</v>
      </c>
      <c r="B100" t="s">
        <v>386</v>
      </c>
      <c r="C100" t="s">
        <v>387</v>
      </c>
      <c r="D100">
        <v>105</v>
      </c>
      <c r="E100" t="s">
        <v>68</v>
      </c>
      <c r="F100">
        <f>D100-82</f>
        <v>23</v>
      </c>
      <c r="G100">
        <f>136-D100</f>
        <v>31</v>
      </c>
      <c r="H100" t="s">
        <v>69</v>
      </c>
      <c r="I100">
        <v>1</v>
      </c>
      <c r="J100">
        <v>10</v>
      </c>
      <c r="K100" t="s">
        <v>388</v>
      </c>
      <c r="L100" t="s">
        <v>389</v>
      </c>
      <c r="M100">
        <v>91</v>
      </c>
      <c r="N100" t="s">
        <v>68</v>
      </c>
      <c r="O100">
        <f>M100-72</f>
        <v>19</v>
      </c>
      <c r="P100">
        <f>111-M100</f>
        <v>20</v>
      </c>
      <c r="Q100" t="s">
        <v>69</v>
      </c>
      <c r="R100">
        <v>1</v>
      </c>
      <c r="S100">
        <v>10</v>
      </c>
      <c r="T100" t="s">
        <v>388</v>
      </c>
      <c r="U100" t="s">
        <v>390</v>
      </c>
      <c r="V100" t="s">
        <v>400</v>
      </c>
      <c r="W100" t="s">
        <v>401</v>
      </c>
      <c r="X100" t="s">
        <v>257</v>
      </c>
      <c r="Y100" t="s">
        <v>258</v>
      </c>
      <c r="Z100" t="s">
        <v>46</v>
      </c>
      <c r="AA100" t="s">
        <v>73</v>
      </c>
      <c r="AB100" t="s">
        <v>74</v>
      </c>
      <c r="AC100" t="s">
        <v>38</v>
      </c>
      <c r="AD100" t="s">
        <v>39</v>
      </c>
      <c r="AE100" t="s">
        <v>465</v>
      </c>
      <c r="AF100">
        <v>48</v>
      </c>
      <c r="AG100" t="s">
        <v>40</v>
      </c>
      <c r="AH100" t="s">
        <v>50</v>
      </c>
      <c r="AI100" t="s">
        <v>46</v>
      </c>
      <c r="AJ100" t="s">
        <v>47</v>
      </c>
      <c r="AK100" t="s">
        <v>61</v>
      </c>
      <c r="AL100">
        <v>20</v>
      </c>
      <c r="AM100">
        <v>7.7</v>
      </c>
      <c r="AN100" t="s">
        <v>152</v>
      </c>
      <c r="AO100">
        <v>24</v>
      </c>
      <c r="AP100" t="s">
        <v>63</v>
      </c>
      <c r="AQ100">
        <v>275.60000000000002</v>
      </c>
      <c r="AR100" t="s">
        <v>50</v>
      </c>
      <c r="AS100" t="s">
        <v>1631</v>
      </c>
      <c r="AT100" t="s">
        <v>63</v>
      </c>
      <c r="AU100" s="3" t="s">
        <v>46</v>
      </c>
      <c r="AV100">
        <v>1992</v>
      </c>
      <c r="AW100" t="s">
        <v>393</v>
      </c>
    </row>
    <row r="101" spans="1:49" x14ac:dyDescent="0.2">
      <c r="A101">
        <v>100</v>
      </c>
      <c r="B101" t="s">
        <v>386</v>
      </c>
      <c r="C101" t="s">
        <v>387</v>
      </c>
      <c r="D101">
        <v>105</v>
      </c>
      <c r="E101" t="s">
        <v>68</v>
      </c>
      <c r="F101">
        <f>D101-82</f>
        <v>23</v>
      </c>
      <c r="G101">
        <f>136-D101</f>
        <v>31</v>
      </c>
      <c r="H101" t="s">
        <v>69</v>
      </c>
      <c r="I101">
        <v>1</v>
      </c>
      <c r="J101">
        <v>10</v>
      </c>
      <c r="K101" t="s">
        <v>388</v>
      </c>
      <c r="L101" t="s">
        <v>394</v>
      </c>
      <c r="M101">
        <v>94</v>
      </c>
      <c r="N101" t="s">
        <v>68</v>
      </c>
      <c r="O101">
        <f>M101-75</f>
        <v>19</v>
      </c>
      <c r="P101">
        <f>116-M101</f>
        <v>22</v>
      </c>
      <c r="Q101" t="s">
        <v>69</v>
      </c>
      <c r="R101">
        <v>1</v>
      </c>
      <c r="S101">
        <v>10</v>
      </c>
      <c r="T101" t="s">
        <v>388</v>
      </c>
      <c r="U101" t="s">
        <v>390</v>
      </c>
      <c r="V101" t="s">
        <v>400</v>
      </c>
      <c r="W101" t="s">
        <v>402</v>
      </c>
      <c r="X101" t="s">
        <v>257</v>
      </c>
      <c r="Y101" t="s">
        <v>258</v>
      </c>
      <c r="Z101" t="s">
        <v>46</v>
      </c>
      <c r="AA101" t="s">
        <v>73</v>
      </c>
      <c r="AB101" t="s">
        <v>74</v>
      </c>
      <c r="AC101" t="s">
        <v>38</v>
      </c>
      <c r="AD101" t="s">
        <v>39</v>
      </c>
      <c r="AE101" t="s">
        <v>465</v>
      </c>
      <c r="AF101">
        <v>48</v>
      </c>
      <c r="AG101" t="s">
        <v>40</v>
      </c>
      <c r="AH101" t="s">
        <v>50</v>
      </c>
      <c r="AI101" t="s">
        <v>46</v>
      </c>
      <c r="AJ101" t="s">
        <v>47</v>
      </c>
      <c r="AK101" t="s">
        <v>61</v>
      </c>
      <c r="AL101">
        <v>20</v>
      </c>
      <c r="AM101">
        <v>7.7</v>
      </c>
      <c r="AN101" t="s">
        <v>152</v>
      </c>
      <c r="AO101">
        <v>24</v>
      </c>
      <c r="AP101" t="s">
        <v>63</v>
      </c>
      <c r="AQ101">
        <v>275.60000000000002</v>
      </c>
      <c r="AR101" t="s">
        <v>50</v>
      </c>
      <c r="AS101" t="s">
        <v>1631</v>
      </c>
      <c r="AT101" t="s">
        <v>63</v>
      </c>
      <c r="AU101" s="3" t="s">
        <v>46</v>
      </c>
      <c r="AV101">
        <v>1992</v>
      </c>
      <c r="AW101" t="s">
        <v>393</v>
      </c>
    </row>
    <row r="102" spans="1:49" x14ac:dyDescent="0.2">
      <c r="A102">
        <v>101</v>
      </c>
      <c r="B102" t="s">
        <v>386</v>
      </c>
      <c r="C102" t="s">
        <v>387</v>
      </c>
      <c r="D102">
        <v>75</v>
      </c>
      <c r="E102" t="s">
        <v>68</v>
      </c>
      <c r="F102">
        <f>D102-59</f>
        <v>16</v>
      </c>
      <c r="G102">
        <f>102-D102</f>
        <v>27</v>
      </c>
      <c r="H102" t="s">
        <v>69</v>
      </c>
      <c r="I102">
        <v>1</v>
      </c>
      <c r="J102">
        <v>10</v>
      </c>
      <c r="K102" t="s">
        <v>388</v>
      </c>
      <c r="L102" t="s">
        <v>389</v>
      </c>
      <c r="M102">
        <v>78</v>
      </c>
      <c r="N102" t="s">
        <v>68</v>
      </c>
      <c r="O102">
        <f>M102-57</f>
        <v>21</v>
      </c>
      <c r="P102">
        <f>99-M102</f>
        <v>21</v>
      </c>
      <c r="Q102" t="s">
        <v>69</v>
      </c>
      <c r="R102">
        <v>1</v>
      </c>
      <c r="S102">
        <v>10</v>
      </c>
      <c r="T102" t="s">
        <v>388</v>
      </c>
      <c r="U102" t="s">
        <v>390</v>
      </c>
      <c r="V102" t="s">
        <v>403</v>
      </c>
      <c r="W102" t="s">
        <v>404</v>
      </c>
      <c r="X102" t="s">
        <v>257</v>
      </c>
      <c r="Y102" t="s">
        <v>258</v>
      </c>
      <c r="Z102" t="s">
        <v>46</v>
      </c>
      <c r="AA102" t="s">
        <v>73</v>
      </c>
      <c r="AB102" t="s">
        <v>74</v>
      </c>
      <c r="AC102" t="s">
        <v>38</v>
      </c>
      <c r="AD102" t="s">
        <v>39</v>
      </c>
      <c r="AE102" t="s">
        <v>75</v>
      </c>
      <c r="AF102">
        <v>48</v>
      </c>
      <c r="AG102" t="s">
        <v>40</v>
      </c>
      <c r="AH102" t="s">
        <v>50</v>
      </c>
      <c r="AI102" t="s">
        <v>46</v>
      </c>
      <c r="AJ102" t="s">
        <v>47</v>
      </c>
      <c r="AK102" t="s">
        <v>61</v>
      </c>
      <c r="AL102">
        <v>20</v>
      </c>
      <c r="AM102">
        <v>7.7</v>
      </c>
      <c r="AN102" t="s">
        <v>152</v>
      </c>
      <c r="AO102">
        <v>168</v>
      </c>
      <c r="AP102" t="s">
        <v>63</v>
      </c>
      <c r="AQ102">
        <v>275.60000000000002</v>
      </c>
      <c r="AR102" t="s">
        <v>50</v>
      </c>
      <c r="AS102" t="s">
        <v>1631</v>
      </c>
      <c r="AT102" t="s">
        <v>63</v>
      </c>
      <c r="AU102" s="3" t="s">
        <v>46</v>
      </c>
      <c r="AV102">
        <v>1992</v>
      </c>
      <c r="AW102" t="s">
        <v>393</v>
      </c>
    </row>
    <row r="103" spans="1:49" x14ac:dyDescent="0.2">
      <c r="A103">
        <v>102</v>
      </c>
      <c r="B103" t="s">
        <v>386</v>
      </c>
      <c r="C103" t="s">
        <v>387</v>
      </c>
      <c r="D103">
        <v>75</v>
      </c>
      <c r="E103" t="s">
        <v>68</v>
      </c>
      <c r="F103">
        <f>D103-59</f>
        <v>16</v>
      </c>
      <c r="G103">
        <f>102-D103</f>
        <v>27</v>
      </c>
      <c r="H103" t="s">
        <v>69</v>
      </c>
      <c r="I103">
        <v>1</v>
      </c>
      <c r="J103">
        <v>10</v>
      </c>
      <c r="K103" t="s">
        <v>388</v>
      </c>
      <c r="L103" t="s">
        <v>394</v>
      </c>
      <c r="M103">
        <v>57</v>
      </c>
      <c r="N103" t="s">
        <v>68</v>
      </c>
      <c r="O103">
        <f>M103-46</f>
        <v>11</v>
      </c>
      <c r="P103">
        <f>70-M103</f>
        <v>13</v>
      </c>
      <c r="Q103" t="s">
        <v>69</v>
      </c>
      <c r="R103">
        <v>1</v>
      </c>
      <c r="S103">
        <v>10</v>
      </c>
      <c r="T103" t="s">
        <v>388</v>
      </c>
      <c r="U103" t="s">
        <v>390</v>
      </c>
      <c r="V103" t="s">
        <v>403</v>
      </c>
      <c r="W103" t="s">
        <v>405</v>
      </c>
      <c r="X103" t="s">
        <v>257</v>
      </c>
      <c r="Y103" t="s">
        <v>258</v>
      </c>
      <c r="Z103" t="s">
        <v>46</v>
      </c>
      <c r="AA103" t="s">
        <v>73</v>
      </c>
      <c r="AB103" t="s">
        <v>74</v>
      </c>
      <c r="AC103" t="s">
        <v>38</v>
      </c>
      <c r="AD103" t="s">
        <v>39</v>
      </c>
      <c r="AE103" t="s">
        <v>75</v>
      </c>
      <c r="AF103">
        <v>48</v>
      </c>
      <c r="AG103" t="s">
        <v>40</v>
      </c>
      <c r="AH103" t="s">
        <v>50</v>
      </c>
      <c r="AI103" t="s">
        <v>46</v>
      </c>
      <c r="AJ103" t="s">
        <v>47</v>
      </c>
      <c r="AK103" t="s">
        <v>61</v>
      </c>
      <c r="AL103">
        <v>20</v>
      </c>
      <c r="AM103">
        <v>7.7</v>
      </c>
      <c r="AN103" t="s">
        <v>152</v>
      </c>
      <c r="AO103">
        <v>168</v>
      </c>
      <c r="AP103" t="s">
        <v>63</v>
      </c>
      <c r="AQ103">
        <v>275.60000000000002</v>
      </c>
      <c r="AR103" t="s">
        <v>50</v>
      </c>
      <c r="AS103" t="s">
        <v>1631</v>
      </c>
      <c r="AT103" t="s">
        <v>63</v>
      </c>
      <c r="AU103" s="3" t="s">
        <v>46</v>
      </c>
      <c r="AV103">
        <v>1992</v>
      </c>
      <c r="AW103" t="s">
        <v>393</v>
      </c>
    </row>
    <row r="104" spans="1:49" x14ac:dyDescent="0.2">
      <c r="A104">
        <v>103</v>
      </c>
      <c r="B104" t="s">
        <v>386</v>
      </c>
      <c r="C104" t="s">
        <v>387</v>
      </c>
      <c r="D104">
        <v>161</v>
      </c>
      <c r="E104" t="s">
        <v>68</v>
      </c>
      <c r="F104">
        <f>D104-125</f>
        <v>36</v>
      </c>
      <c r="G104">
        <f>206-D104</f>
        <v>45</v>
      </c>
      <c r="H104" t="s">
        <v>69</v>
      </c>
      <c r="I104">
        <v>1</v>
      </c>
      <c r="J104">
        <v>10</v>
      </c>
      <c r="K104" t="s">
        <v>388</v>
      </c>
      <c r="L104" t="s">
        <v>389</v>
      </c>
      <c r="M104">
        <v>125</v>
      </c>
      <c r="N104" t="s">
        <v>68</v>
      </c>
      <c r="O104">
        <f>M104-102</f>
        <v>23</v>
      </c>
      <c r="P104">
        <f>162-M104</f>
        <v>37</v>
      </c>
      <c r="Q104" t="s">
        <v>69</v>
      </c>
      <c r="R104">
        <v>1</v>
      </c>
      <c r="S104">
        <v>10</v>
      </c>
      <c r="T104" t="s">
        <v>388</v>
      </c>
      <c r="U104" t="s">
        <v>390</v>
      </c>
      <c r="V104" t="s">
        <v>407</v>
      </c>
      <c r="W104" t="s">
        <v>406</v>
      </c>
      <c r="X104" t="s">
        <v>257</v>
      </c>
      <c r="Y104" t="s">
        <v>258</v>
      </c>
      <c r="Z104" t="s">
        <v>46</v>
      </c>
      <c r="AA104" t="s">
        <v>73</v>
      </c>
      <c r="AB104" t="s">
        <v>74</v>
      </c>
      <c r="AC104" t="s">
        <v>38</v>
      </c>
      <c r="AD104" t="s">
        <v>39</v>
      </c>
      <c r="AE104" t="s">
        <v>75</v>
      </c>
      <c r="AF104">
        <v>48</v>
      </c>
      <c r="AG104" t="s">
        <v>40</v>
      </c>
      <c r="AH104" t="s">
        <v>50</v>
      </c>
      <c r="AI104" t="s">
        <v>46</v>
      </c>
      <c r="AJ104" t="s">
        <v>47</v>
      </c>
      <c r="AK104" t="s">
        <v>61</v>
      </c>
      <c r="AL104">
        <v>20</v>
      </c>
      <c r="AM104">
        <v>7.7</v>
      </c>
      <c r="AN104" t="s">
        <v>152</v>
      </c>
      <c r="AO104">
        <v>336</v>
      </c>
      <c r="AP104" t="s">
        <v>63</v>
      </c>
      <c r="AQ104">
        <v>275.60000000000002</v>
      </c>
      <c r="AR104" t="s">
        <v>50</v>
      </c>
      <c r="AS104" t="s">
        <v>1631</v>
      </c>
      <c r="AT104" t="s">
        <v>63</v>
      </c>
      <c r="AU104" s="3" t="s">
        <v>46</v>
      </c>
      <c r="AV104">
        <v>1992</v>
      </c>
      <c r="AW104" t="s">
        <v>393</v>
      </c>
    </row>
    <row r="105" spans="1:49" x14ac:dyDescent="0.2">
      <c r="A105">
        <v>104</v>
      </c>
      <c r="B105" t="s">
        <v>386</v>
      </c>
      <c r="C105" t="s">
        <v>387</v>
      </c>
      <c r="D105">
        <v>161</v>
      </c>
      <c r="E105" t="s">
        <v>68</v>
      </c>
      <c r="F105">
        <f>D105-125</f>
        <v>36</v>
      </c>
      <c r="G105">
        <f>206-D105</f>
        <v>45</v>
      </c>
      <c r="H105" t="s">
        <v>69</v>
      </c>
      <c r="I105">
        <v>1</v>
      </c>
      <c r="J105">
        <v>10</v>
      </c>
      <c r="K105" t="s">
        <v>388</v>
      </c>
      <c r="L105" t="s">
        <v>394</v>
      </c>
      <c r="M105">
        <v>145</v>
      </c>
      <c r="N105" t="s">
        <v>68</v>
      </c>
      <c r="O105">
        <f>M105-114</f>
        <v>31</v>
      </c>
      <c r="P105">
        <f>177-M105</f>
        <v>32</v>
      </c>
      <c r="Q105" t="s">
        <v>69</v>
      </c>
      <c r="R105">
        <v>1</v>
      </c>
      <c r="S105">
        <v>10</v>
      </c>
      <c r="T105" t="s">
        <v>388</v>
      </c>
      <c r="U105" t="s">
        <v>390</v>
      </c>
      <c r="V105" t="s">
        <v>407</v>
      </c>
      <c r="W105" t="s">
        <v>408</v>
      </c>
      <c r="X105" t="s">
        <v>257</v>
      </c>
      <c r="Y105" t="s">
        <v>258</v>
      </c>
      <c r="Z105" t="s">
        <v>46</v>
      </c>
      <c r="AA105" t="s">
        <v>73</v>
      </c>
      <c r="AB105" t="s">
        <v>74</v>
      </c>
      <c r="AC105" t="s">
        <v>38</v>
      </c>
      <c r="AD105" t="s">
        <v>39</v>
      </c>
      <c r="AE105" t="s">
        <v>75</v>
      </c>
      <c r="AF105">
        <v>48</v>
      </c>
      <c r="AG105" t="s">
        <v>40</v>
      </c>
      <c r="AH105" t="s">
        <v>50</v>
      </c>
      <c r="AI105" t="s">
        <v>46</v>
      </c>
      <c r="AJ105" t="s">
        <v>47</v>
      </c>
      <c r="AK105" t="s">
        <v>61</v>
      </c>
      <c r="AL105">
        <v>20</v>
      </c>
      <c r="AM105">
        <v>7.7</v>
      </c>
      <c r="AN105" t="s">
        <v>152</v>
      </c>
      <c r="AO105">
        <v>336</v>
      </c>
      <c r="AP105" t="s">
        <v>63</v>
      </c>
      <c r="AQ105">
        <v>275.60000000000002</v>
      </c>
      <c r="AR105" t="s">
        <v>50</v>
      </c>
      <c r="AS105" t="s">
        <v>1631</v>
      </c>
      <c r="AT105" t="s">
        <v>63</v>
      </c>
      <c r="AU105" s="3" t="s">
        <v>46</v>
      </c>
      <c r="AV105">
        <v>1992</v>
      </c>
      <c r="AW105" t="s">
        <v>393</v>
      </c>
    </row>
    <row r="106" spans="1:49" x14ac:dyDescent="0.2">
      <c r="A106">
        <v>105</v>
      </c>
      <c r="B106" t="s">
        <v>386</v>
      </c>
      <c r="C106" t="s">
        <v>387</v>
      </c>
      <c r="D106">
        <v>81</v>
      </c>
      <c r="E106" t="s">
        <v>68</v>
      </c>
      <c r="F106">
        <f>D106-63</f>
        <v>18</v>
      </c>
      <c r="G106">
        <f>99-D106</f>
        <v>18</v>
      </c>
      <c r="H106" t="s">
        <v>69</v>
      </c>
      <c r="I106">
        <v>1</v>
      </c>
      <c r="J106">
        <v>10</v>
      </c>
      <c r="K106" t="s">
        <v>388</v>
      </c>
      <c r="L106" t="s">
        <v>389</v>
      </c>
      <c r="M106">
        <v>61</v>
      </c>
      <c r="N106" t="s">
        <v>68</v>
      </c>
      <c r="O106">
        <f>M106-47</f>
        <v>14</v>
      </c>
      <c r="P106">
        <f>78-M106</f>
        <v>17</v>
      </c>
      <c r="Q106" t="s">
        <v>69</v>
      </c>
      <c r="R106">
        <v>1</v>
      </c>
      <c r="S106">
        <v>10</v>
      </c>
      <c r="T106" t="s">
        <v>388</v>
      </c>
      <c r="U106" t="s">
        <v>390</v>
      </c>
      <c r="V106" t="s">
        <v>409</v>
      </c>
      <c r="W106" t="s">
        <v>410</v>
      </c>
      <c r="X106" t="s">
        <v>257</v>
      </c>
      <c r="Y106" t="s">
        <v>258</v>
      </c>
      <c r="Z106" t="s">
        <v>46</v>
      </c>
      <c r="AA106" t="s">
        <v>73</v>
      </c>
      <c r="AB106" t="s">
        <v>74</v>
      </c>
      <c r="AC106" t="s">
        <v>38</v>
      </c>
      <c r="AD106" t="s">
        <v>39</v>
      </c>
      <c r="AE106" t="s">
        <v>465</v>
      </c>
      <c r="AF106">
        <v>48</v>
      </c>
      <c r="AG106" t="s">
        <v>40</v>
      </c>
      <c r="AH106" t="s">
        <v>50</v>
      </c>
      <c r="AI106" t="s">
        <v>46</v>
      </c>
      <c r="AJ106" t="s">
        <v>47</v>
      </c>
      <c r="AK106" t="s">
        <v>61</v>
      </c>
      <c r="AL106">
        <v>20</v>
      </c>
      <c r="AM106">
        <v>7.7</v>
      </c>
      <c r="AN106" t="s">
        <v>152</v>
      </c>
      <c r="AO106">
        <v>24</v>
      </c>
      <c r="AP106" t="s">
        <v>63</v>
      </c>
      <c r="AQ106">
        <v>560</v>
      </c>
      <c r="AR106" t="s">
        <v>50</v>
      </c>
      <c r="AS106" t="s">
        <v>1631</v>
      </c>
      <c r="AT106" t="s">
        <v>63</v>
      </c>
      <c r="AU106" s="3" t="s">
        <v>46</v>
      </c>
      <c r="AV106">
        <v>1992</v>
      </c>
      <c r="AW106" t="s">
        <v>393</v>
      </c>
    </row>
    <row r="107" spans="1:49" x14ac:dyDescent="0.2">
      <c r="A107">
        <v>106</v>
      </c>
      <c r="B107" t="s">
        <v>386</v>
      </c>
      <c r="C107" t="s">
        <v>387</v>
      </c>
      <c r="D107">
        <v>81</v>
      </c>
      <c r="E107" t="s">
        <v>68</v>
      </c>
      <c r="F107">
        <f>D107-63</f>
        <v>18</v>
      </c>
      <c r="G107">
        <f>99-D107</f>
        <v>18</v>
      </c>
      <c r="H107" t="s">
        <v>69</v>
      </c>
      <c r="I107">
        <v>1</v>
      </c>
      <c r="J107">
        <v>10</v>
      </c>
      <c r="K107" t="s">
        <v>388</v>
      </c>
      <c r="L107" t="s">
        <v>394</v>
      </c>
      <c r="M107">
        <v>90</v>
      </c>
      <c r="N107" t="s">
        <v>68</v>
      </c>
      <c r="O107">
        <f>M107-68</f>
        <v>22</v>
      </c>
      <c r="P107">
        <f>114-M107</f>
        <v>24</v>
      </c>
      <c r="Q107" t="s">
        <v>69</v>
      </c>
      <c r="R107">
        <v>1</v>
      </c>
      <c r="S107">
        <v>10</v>
      </c>
      <c r="T107" t="s">
        <v>388</v>
      </c>
      <c r="U107" t="s">
        <v>390</v>
      </c>
      <c r="V107" t="s">
        <v>409</v>
      </c>
      <c r="W107" t="s">
        <v>411</v>
      </c>
      <c r="X107" t="s">
        <v>257</v>
      </c>
      <c r="Y107" t="s">
        <v>258</v>
      </c>
      <c r="Z107" t="s">
        <v>46</v>
      </c>
      <c r="AA107" t="s">
        <v>73</v>
      </c>
      <c r="AB107" t="s">
        <v>74</v>
      </c>
      <c r="AC107" t="s">
        <v>38</v>
      </c>
      <c r="AD107" t="s">
        <v>39</v>
      </c>
      <c r="AE107" t="s">
        <v>465</v>
      </c>
      <c r="AF107">
        <v>48</v>
      </c>
      <c r="AG107" t="s">
        <v>40</v>
      </c>
      <c r="AH107" t="s">
        <v>50</v>
      </c>
      <c r="AI107" t="s">
        <v>46</v>
      </c>
      <c r="AJ107" t="s">
        <v>47</v>
      </c>
      <c r="AK107" t="s">
        <v>61</v>
      </c>
      <c r="AL107">
        <v>20</v>
      </c>
      <c r="AM107">
        <v>7.7</v>
      </c>
      <c r="AN107" t="s">
        <v>152</v>
      </c>
      <c r="AO107">
        <v>24</v>
      </c>
      <c r="AP107" t="s">
        <v>63</v>
      </c>
      <c r="AQ107">
        <v>560</v>
      </c>
      <c r="AR107" t="s">
        <v>50</v>
      </c>
      <c r="AS107" t="s">
        <v>1631</v>
      </c>
      <c r="AT107" t="s">
        <v>63</v>
      </c>
      <c r="AU107" s="3" t="s">
        <v>46</v>
      </c>
      <c r="AV107">
        <v>1992</v>
      </c>
      <c r="AW107" t="s">
        <v>393</v>
      </c>
    </row>
    <row r="108" spans="1:49" x14ac:dyDescent="0.2">
      <c r="A108">
        <v>107</v>
      </c>
      <c r="B108" t="s">
        <v>412</v>
      </c>
      <c r="C108" t="s">
        <v>80</v>
      </c>
      <c r="D108">
        <v>162</v>
      </c>
      <c r="E108" t="s">
        <v>413</v>
      </c>
      <c r="F108">
        <f>D108-150</f>
        <v>12</v>
      </c>
      <c r="G108">
        <f>177-D108</f>
        <v>15</v>
      </c>
      <c r="H108" t="s">
        <v>69</v>
      </c>
      <c r="I108">
        <v>2</v>
      </c>
      <c r="J108">
        <v>1</v>
      </c>
      <c r="K108" t="s">
        <v>414</v>
      </c>
      <c r="L108" t="s">
        <v>415</v>
      </c>
      <c r="M108">
        <v>24.9</v>
      </c>
      <c r="N108" t="s">
        <v>413</v>
      </c>
      <c r="O108">
        <f>M108-23.9</f>
        <v>1</v>
      </c>
      <c r="P108">
        <f>26-M108</f>
        <v>1.1000000000000014</v>
      </c>
      <c r="Q108" t="s">
        <v>69</v>
      </c>
      <c r="R108">
        <v>2</v>
      </c>
      <c r="S108">
        <v>1</v>
      </c>
      <c r="T108" t="s">
        <v>414</v>
      </c>
      <c r="U108" t="s">
        <v>156</v>
      </c>
      <c r="V108" t="s">
        <v>416</v>
      </c>
      <c r="W108" s="3" t="s">
        <v>417</v>
      </c>
      <c r="X108" t="s">
        <v>418</v>
      </c>
      <c r="Y108" t="s">
        <v>46</v>
      </c>
      <c r="Z108" t="s">
        <v>494</v>
      </c>
      <c r="AA108" t="s">
        <v>419</v>
      </c>
      <c r="AB108" t="s">
        <v>420</v>
      </c>
      <c r="AC108" t="s">
        <v>421</v>
      </c>
      <c r="AD108" t="s">
        <v>39</v>
      </c>
      <c r="AE108" t="s">
        <v>46</v>
      </c>
      <c r="AF108">
        <v>0.25</v>
      </c>
      <c r="AG108" t="s">
        <v>40</v>
      </c>
      <c r="AH108" t="s">
        <v>50</v>
      </c>
      <c r="AI108" t="s">
        <v>46</v>
      </c>
      <c r="AJ108" t="s">
        <v>47</v>
      </c>
      <c r="AK108" t="s">
        <v>61</v>
      </c>
      <c r="AL108">
        <v>15</v>
      </c>
      <c r="AM108" t="s">
        <v>46</v>
      </c>
      <c r="AN108" t="s">
        <v>46</v>
      </c>
      <c r="AO108" t="s">
        <v>46</v>
      </c>
      <c r="AP108" t="s">
        <v>63</v>
      </c>
      <c r="AQ108" t="s">
        <v>46</v>
      </c>
      <c r="AR108" t="s">
        <v>50</v>
      </c>
      <c r="AS108" t="s">
        <v>1629</v>
      </c>
      <c r="AT108" t="s">
        <v>63</v>
      </c>
      <c r="AU108" s="3" t="s">
        <v>46</v>
      </c>
      <c r="AV108">
        <v>2003</v>
      </c>
      <c r="AW108" t="s">
        <v>46</v>
      </c>
    </row>
    <row r="109" spans="1:49" x14ac:dyDescent="0.2">
      <c r="A109">
        <v>108</v>
      </c>
      <c r="B109" t="s">
        <v>412</v>
      </c>
      <c r="C109" t="s">
        <v>80</v>
      </c>
      <c r="D109">
        <v>41</v>
      </c>
      <c r="E109" t="s">
        <v>413</v>
      </c>
      <c r="F109">
        <f>D109-29.4</f>
        <v>11.600000000000001</v>
      </c>
      <c r="G109">
        <f>59.1-D109</f>
        <v>18.100000000000001</v>
      </c>
      <c r="H109" t="s">
        <v>69</v>
      </c>
      <c r="I109">
        <v>3</v>
      </c>
      <c r="J109">
        <v>1</v>
      </c>
      <c r="K109" t="s">
        <v>422</v>
      </c>
      <c r="L109" t="s">
        <v>415</v>
      </c>
      <c r="M109">
        <v>5.81</v>
      </c>
      <c r="N109" t="s">
        <v>413</v>
      </c>
      <c r="O109">
        <f>M109-2.36</f>
        <v>3.4499999999999997</v>
      </c>
      <c r="P109">
        <f>8.14-M109</f>
        <v>2.330000000000001</v>
      </c>
      <c r="Q109" t="s">
        <v>69</v>
      </c>
      <c r="R109">
        <v>3</v>
      </c>
      <c r="S109">
        <v>1</v>
      </c>
      <c r="T109" t="s">
        <v>422</v>
      </c>
      <c r="U109" t="s">
        <v>156</v>
      </c>
      <c r="V109" t="s">
        <v>423</v>
      </c>
      <c r="W109" t="s">
        <v>424</v>
      </c>
      <c r="X109" t="s">
        <v>425</v>
      </c>
      <c r="Y109" t="s">
        <v>46</v>
      </c>
      <c r="Z109" t="s">
        <v>496</v>
      </c>
      <c r="AA109" t="s">
        <v>426</v>
      </c>
      <c r="AB109" t="s">
        <v>427</v>
      </c>
      <c r="AC109" t="s">
        <v>428</v>
      </c>
      <c r="AD109" t="s">
        <v>39</v>
      </c>
      <c r="AE109" t="s">
        <v>46</v>
      </c>
      <c r="AF109">
        <v>96</v>
      </c>
      <c r="AG109" t="s">
        <v>40</v>
      </c>
      <c r="AH109" t="s">
        <v>50</v>
      </c>
      <c r="AI109" t="s">
        <v>46</v>
      </c>
      <c r="AJ109" t="s">
        <v>47</v>
      </c>
      <c r="AK109" t="s">
        <v>61</v>
      </c>
      <c r="AL109">
        <v>25</v>
      </c>
      <c r="AM109">
        <v>7.5</v>
      </c>
      <c r="AN109" t="s">
        <v>46</v>
      </c>
      <c r="AO109" t="s">
        <v>46</v>
      </c>
      <c r="AP109" t="s">
        <v>63</v>
      </c>
      <c r="AQ109" t="s">
        <v>46</v>
      </c>
      <c r="AR109" t="s">
        <v>50</v>
      </c>
      <c r="AS109" t="s">
        <v>1629</v>
      </c>
      <c r="AT109" t="s">
        <v>63</v>
      </c>
      <c r="AU109" s="3" t="s">
        <v>46</v>
      </c>
      <c r="AV109">
        <v>2003</v>
      </c>
      <c r="AW109" t="s">
        <v>46</v>
      </c>
    </row>
    <row r="110" spans="1:49" x14ac:dyDescent="0.2">
      <c r="A110">
        <v>109</v>
      </c>
      <c r="B110" t="s">
        <v>412</v>
      </c>
      <c r="C110" t="s">
        <v>80</v>
      </c>
      <c r="D110">
        <v>5.89</v>
      </c>
      <c r="E110" t="s">
        <v>413</v>
      </c>
      <c r="F110">
        <f>D110-3.14</f>
        <v>2.7499999999999996</v>
      </c>
      <c r="G110">
        <f>10.4-D110</f>
        <v>4.5100000000000007</v>
      </c>
      <c r="H110" t="s">
        <v>69</v>
      </c>
      <c r="I110">
        <v>3</v>
      </c>
      <c r="J110">
        <v>1</v>
      </c>
      <c r="K110" t="s">
        <v>422</v>
      </c>
      <c r="L110" t="s">
        <v>415</v>
      </c>
      <c r="M110">
        <v>1.85</v>
      </c>
      <c r="N110" t="s">
        <v>413</v>
      </c>
      <c r="O110">
        <f>M110-0.33</f>
        <v>1.52</v>
      </c>
      <c r="P110">
        <f>10.49-1.85</f>
        <v>8.64</v>
      </c>
      <c r="Q110" t="s">
        <v>69</v>
      </c>
      <c r="R110">
        <v>3</v>
      </c>
      <c r="S110">
        <v>1</v>
      </c>
      <c r="T110" t="s">
        <v>422</v>
      </c>
      <c r="U110" t="s">
        <v>156</v>
      </c>
      <c r="V110" t="s">
        <v>429</v>
      </c>
      <c r="W110" t="s">
        <v>430</v>
      </c>
      <c r="X110" t="s">
        <v>431</v>
      </c>
      <c r="Y110" t="s">
        <v>46</v>
      </c>
      <c r="Z110" t="s">
        <v>496</v>
      </c>
      <c r="AA110" t="s">
        <v>432</v>
      </c>
      <c r="AB110" t="s">
        <v>434</v>
      </c>
      <c r="AC110" t="s">
        <v>433</v>
      </c>
      <c r="AD110" t="s">
        <v>39</v>
      </c>
      <c r="AE110" t="s">
        <v>46</v>
      </c>
      <c r="AF110">
        <v>96</v>
      </c>
      <c r="AG110" t="s">
        <v>40</v>
      </c>
      <c r="AH110" t="s">
        <v>50</v>
      </c>
      <c r="AI110" t="s">
        <v>46</v>
      </c>
      <c r="AJ110" t="s">
        <v>47</v>
      </c>
      <c r="AK110" t="s">
        <v>61</v>
      </c>
      <c r="AL110">
        <v>20</v>
      </c>
      <c r="AM110">
        <v>8</v>
      </c>
      <c r="AN110" t="s">
        <v>46</v>
      </c>
      <c r="AO110" t="s">
        <v>46</v>
      </c>
      <c r="AP110" t="s">
        <v>63</v>
      </c>
      <c r="AQ110" t="s">
        <v>46</v>
      </c>
      <c r="AR110" t="s">
        <v>50</v>
      </c>
      <c r="AS110" t="s">
        <v>1629</v>
      </c>
      <c r="AT110" t="s">
        <v>63</v>
      </c>
      <c r="AU110" s="3" t="s">
        <v>46</v>
      </c>
      <c r="AV110">
        <v>2003</v>
      </c>
      <c r="AW110" t="s">
        <v>46</v>
      </c>
    </row>
    <row r="111" spans="1:49" x14ac:dyDescent="0.2">
      <c r="A111">
        <v>110</v>
      </c>
      <c r="B111" t="s">
        <v>412</v>
      </c>
      <c r="C111" t="s">
        <v>80</v>
      </c>
      <c r="D111">
        <v>386</v>
      </c>
      <c r="E111" t="s">
        <v>413</v>
      </c>
      <c r="F111">
        <f>D111-95.2</f>
        <v>290.8</v>
      </c>
      <c r="G111">
        <f>2020-D111</f>
        <v>1634</v>
      </c>
      <c r="H111" t="s">
        <v>69</v>
      </c>
      <c r="I111">
        <v>3</v>
      </c>
      <c r="J111">
        <v>1</v>
      </c>
      <c r="K111" t="s">
        <v>435</v>
      </c>
      <c r="L111" t="s">
        <v>415</v>
      </c>
      <c r="M111">
        <v>29.5</v>
      </c>
      <c r="N111" t="s">
        <v>413</v>
      </c>
      <c r="O111">
        <f>M111-11.3</f>
        <v>18.2</v>
      </c>
      <c r="P111">
        <f>66-M111</f>
        <v>36.5</v>
      </c>
      <c r="Q111" t="s">
        <v>69</v>
      </c>
      <c r="R111">
        <v>3</v>
      </c>
      <c r="S111">
        <v>1</v>
      </c>
      <c r="T111" t="s">
        <v>435</v>
      </c>
      <c r="U111" t="s">
        <v>156</v>
      </c>
      <c r="V111" t="s">
        <v>436</v>
      </c>
      <c r="W111" t="s">
        <v>437</v>
      </c>
      <c r="X111" t="s">
        <v>438</v>
      </c>
      <c r="Y111" t="s">
        <v>46</v>
      </c>
      <c r="Z111" t="s">
        <v>495</v>
      </c>
      <c r="AA111" t="s">
        <v>440</v>
      </c>
      <c r="AB111" t="s">
        <v>439</v>
      </c>
      <c r="AC111" t="s">
        <v>433</v>
      </c>
      <c r="AD111" t="s">
        <v>39</v>
      </c>
      <c r="AE111" t="s">
        <v>46</v>
      </c>
      <c r="AF111">
        <v>40</v>
      </c>
      <c r="AG111" t="s">
        <v>40</v>
      </c>
      <c r="AH111" t="s">
        <v>50</v>
      </c>
      <c r="AI111" t="s">
        <v>46</v>
      </c>
      <c r="AJ111" t="s">
        <v>47</v>
      </c>
      <c r="AK111" t="s">
        <v>61</v>
      </c>
      <c r="AL111">
        <v>27</v>
      </c>
      <c r="AM111">
        <v>7.4</v>
      </c>
      <c r="AN111" t="s">
        <v>46</v>
      </c>
      <c r="AO111" t="s">
        <v>46</v>
      </c>
      <c r="AP111" t="s">
        <v>50</v>
      </c>
      <c r="AQ111" t="s">
        <v>46</v>
      </c>
      <c r="AR111" t="s">
        <v>50</v>
      </c>
      <c r="AS111" t="s">
        <v>1629</v>
      </c>
      <c r="AT111" t="s">
        <v>63</v>
      </c>
      <c r="AU111" s="3" t="s">
        <v>46</v>
      </c>
      <c r="AV111">
        <v>2003</v>
      </c>
      <c r="AW111" t="s">
        <v>46</v>
      </c>
    </row>
    <row r="112" spans="1:49" x14ac:dyDescent="0.2">
      <c r="A112">
        <v>111</v>
      </c>
      <c r="B112" t="s">
        <v>412</v>
      </c>
      <c r="C112" t="s">
        <v>80</v>
      </c>
      <c r="D112">
        <v>64.09</v>
      </c>
      <c r="E112" t="s">
        <v>413</v>
      </c>
      <c r="F112">
        <f>D112-19</f>
        <v>45.09</v>
      </c>
      <c r="G112">
        <f>325-D112</f>
        <v>260.90999999999997</v>
      </c>
      <c r="H112" t="s">
        <v>69</v>
      </c>
      <c r="I112">
        <v>3</v>
      </c>
      <c r="J112">
        <v>1</v>
      </c>
      <c r="K112" t="s">
        <v>441</v>
      </c>
      <c r="L112" t="s">
        <v>415</v>
      </c>
      <c r="M112">
        <v>23.5</v>
      </c>
      <c r="N112" t="s">
        <v>413</v>
      </c>
      <c r="O112" t="s">
        <v>46</v>
      </c>
      <c r="P112" t="s">
        <v>46</v>
      </c>
      <c r="Q112" t="s">
        <v>46</v>
      </c>
      <c r="R112">
        <v>3</v>
      </c>
      <c r="S112">
        <v>1</v>
      </c>
      <c r="T112" t="s">
        <v>441</v>
      </c>
      <c r="U112" t="s">
        <v>156</v>
      </c>
      <c r="V112" t="s">
        <v>442</v>
      </c>
      <c r="W112" t="s">
        <v>443</v>
      </c>
      <c r="X112" t="s">
        <v>444</v>
      </c>
      <c r="Y112" t="s">
        <v>46</v>
      </c>
      <c r="Z112" t="s">
        <v>495</v>
      </c>
      <c r="AA112" t="s">
        <v>445</v>
      </c>
      <c r="AB112" t="s">
        <v>439</v>
      </c>
      <c r="AC112" t="s">
        <v>433</v>
      </c>
      <c r="AD112" t="s">
        <v>39</v>
      </c>
      <c r="AE112" t="s">
        <v>46</v>
      </c>
      <c r="AF112">
        <v>48</v>
      </c>
      <c r="AG112" t="s">
        <v>40</v>
      </c>
      <c r="AH112" t="s">
        <v>50</v>
      </c>
      <c r="AI112" t="s">
        <v>46</v>
      </c>
      <c r="AJ112" t="s">
        <v>47</v>
      </c>
      <c r="AK112" t="s">
        <v>61</v>
      </c>
      <c r="AL112">
        <v>20</v>
      </c>
      <c r="AM112">
        <v>8</v>
      </c>
      <c r="AN112" t="s">
        <v>46</v>
      </c>
      <c r="AO112" t="s">
        <v>46</v>
      </c>
      <c r="AP112" t="s">
        <v>50</v>
      </c>
      <c r="AQ112" t="s">
        <v>46</v>
      </c>
      <c r="AR112" t="s">
        <v>63</v>
      </c>
      <c r="AS112" t="s">
        <v>1629</v>
      </c>
      <c r="AT112" t="s">
        <v>63</v>
      </c>
      <c r="AU112" s="3" t="s">
        <v>46</v>
      </c>
      <c r="AV112">
        <v>2003</v>
      </c>
      <c r="AW112" t="s">
        <v>46</v>
      </c>
    </row>
    <row r="113" spans="1:49" x14ac:dyDescent="0.2">
      <c r="A113">
        <v>112</v>
      </c>
      <c r="B113" t="s">
        <v>412</v>
      </c>
      <c r="C113" t="s">
        <v>80</v>
      </c>
      <c r="D113">
        <v>415</v>
      </c>
      <c r="E113" t="s">
        <v>42</v>
      </c>
      <c r="F113">
        <f>D113-339</f>
        <v>76</v>
      </c>
      <c r="G113">
        <f>508-D113</f>
        <v>93</v>
      </c>
      <c r="H113" t="s">
        <v>69</v>
      </c>
      <c r="I113">
        <v>4</v>
      </c>
      <c r="J113">
        <v>5</v>
      </c>
      <c r="K113" t="s">
        <v>446</v>
      </c>
      <c r="L113" t="s">
        <v>415</v>
      </c>
      <c r="M113">
        <v>5.39</v>
      </c>
      <c r="N113" t="s">
        <v>42</v>
      </c>
      <c r="O113">
        <f>M113-4.81</f>
        <v>0.58000000000000007</v>
      </c>
      <c r="P113">
        <f>6.05-M113</f>
        <v>0.66000000000000014</v>
      </c>
      <c r="Q113" t="s">
        <v>69</v>
      </c>
      <c r="R113">
        <v>4</v>
      </c>
      <c r="S113">
        <v>5</v>
      </c>
      <c r="T113" t="s">
        <v>446</v>
      </c>
      <c r="U113" t="s">
        <v>157</v>
      </c>
      <c r="V113" t="s">
        <v>447</v>
      </c>
      <c r="W113" t="s">
        <v>448</v>
      </c>
      <c r="X113" t="s">
        <v>449</v>
      </c>
      <c r="Y113" t="s">
        <v>46</v>
      </c>
      <c r="Z113" t="s">
        <v>497</v>
      </c>
      <c r="AA113" t="s">
        <v>73</v>
      </c>
      <c r="AB113" t="s">
        <v>74</v>
      </c>
      <c r="AC113" t="s">
        <v>38</v>
      </c>
      <c r="AD113" t="s">
        <v>39</v>
      </c>
      <c r="AE113" t="s">
        <v>465</v>
      </c>
      <c r="AF113">
        <v>48</v>
      </c>
      <c r="AG113" t="s">
        <v>40</v>
      </c>
      <c r="AH113" t="s">
        <v>50</v>
      </c>
      <c r="AI113" t="s">
        <v>46</v>
      </c>
      <c r="AJ113" t="s">
        <v>47</v>
      </c>
      <c r="AK113" t="s">
        <v>61</v>
      </c>
      <c r="AL113">
        <v>25</v>
      </c>
      <c r="AM113">
        <v>8.07</v>
      </c>
      <c r="AN113" t="s">
        <v>46</v>
      </c>
      <c r="AO113" t="s">
        <v>46</v>
      </c>
      <c r="AP113" t="s">
        <v>63</v>
      </c>
      <c r="AQ113" t="s">
        <v>46</v>
      </c>
      <c r="AR113" t="s">
        <v>50</v>
      </c>
      <c r="AS113" t="s">
        <v>1629</v>
      </c>
      <c r="AT113" t="s">
        <v>63</v>
      </c>
      <c r="AU113" s="3" t="s">
        <v>46</v>
      </c>
      <c r="AV113">
        <v>2003</v>
      </c>
      <c r="AW113" t="s">
        <v>46</v>
      </c>
    </row>
    <row r="114" spans="1:49" x14ac:dyDescent="0.2">
      <c r="A114">
        <v>113</v>
      </c>
      <c r="B114" t="s">
        <v>412</v>
      </c>
      <c r="C114" t="s">
        <v>80</v>
      </c>
      <c r="D114">
        <v>49.3</v>
      </c>
      <c r="E114" t="s">
        <v>42</v>
      </c>
      <c r="F114">
        <f>D114-38.4</f>
        <v>10.899999999999999</v>
      </c>
      <c r="G114">
        <f>63.1-D114</f>
        <v>13.800000000000004</v>
      </c>
      <c r="H114" t="s">
        <v>69</v>
      </c>
      <c r="I114">
        <v>4</v>
      </c>
      <c r="J114">
        <v>5</v>
      </c>
      <c r="K114" t="s">
        <v>446</v>
      </c>
      <c r="L114" t="s">
        <v>415</v>
      </c>
      <c r="M114">
        <v>1.77</v>
      </c>
      <c r="N114" t="s">
        <v>42</v>
      </c>
      <c r="O114">
        <f>M114-1.33</f>
        <v>0.43999999999999995</v>
      </c>
      <c r="P114">
        <f>2.34-M114</f>
        <v>0.56999999999999984</v>
      </c>
      <c r="Q114" t="s">
        <v>69</v>
      </c>
      <c r="R114">
        <v>4</v>
      </c>
      <c r="S114">
        <v>5</v>
      </c>
      <c r="T114" t="s">
        <v>446</v>
      </c>
      <c r="U114" t="s">
        <v>157</v>
      </c>
      <c r="V114" t="s">
        <v>450</v>
      </c>
      <c r="W114" t="s">
        <v>451</v>
      </c>
      <c r="X114" t="s">
        <v>452</v>
      </c>
      <c r="Y114" t="s">
        <v>46</v>
      </c>
      <c r="Z114" t="s">
        <v>498</v>
      </c>
      <c r="AA114" t="s">
        <v>453</v>
      </c>
      <c r="AB114" t="s">
        <v>74</v>
      </c>
      <c r="AC114" t="s">
        <v>38</v>
      </c>
      <c r="AD114" t="s">
        <v>39</v>
      </c>
      <c r="AE114" t="s">
        <v>75</v>
      </c>
      <c r="AF114">
        <v>48</v>
      </c>
      <c r="AG114" t="s">
        <v>40</v>
      </c>
      <c r="AH114" t="s">
        <v>50</v>
      </c>
      <c r="AI114" t="s">
        <v>46</v>
      </c>
      <c r="AJ114" t="s">
        <v>47</v>
      </c>
      <c r="AK114" t="s">
        <v>61</v>
      </c>
      <c r="AL114">
        <v>20</v>
      </c>
      <c r="AM114">
        <v>8</v>
      </c>
      <c r="AN114" t="s">
        <v>46</v>
      </c>
      <c r="AO114" t="s">
        <v>46</v>
      </c>
      <c r="AP114" t="s">
        <v>63</v>
      </c>
      <c r="AQ114" t="s">
        <v>46</v>
      </c>
      <c r="AR114" t="s">
        <v>50</v>
      </c>
      <c r="AS114" t="s">
        <v>1629</v>
      </c>
      <c r="AT114" t="s">
        <v>63</v>
      </c>
      <c r="AU114" s="3" t="s">
        <v>46</v>
      </c>
      <c r="AV114">
        <v>2003</v>
      </c>
      <c r="AW114" t="s">
        <v>46</v>
      </c>
    </row>
    <row r="115" spans="1:49" x14ac:dyDescent="0.2">
      <c r="A115">
        <v>114</v>
      </c>
      <c r="B115" t="s">
        <v>454</v>
      </c>
      <c r="C115" t="s">
        <v>455</v>
      </c>
      <c r="D115">
        <v>0.32</v>
      </c>
      <c r="E115" t="s">
        <v>42</v>
      </c>
      <c r="F115">
        <f>D115-0.3</f>
        <v>2.0000000000000018E-2</v>
      </c>
      <c r="G115">
        <f>0.4-D115</f>
        <v>8.0000000000000016E-2</v>
      </c>
      <c r="H115" t="s">
        <v>69</v>
      </c>
      <c r="I115">
        <v>5</v>
      </c>
      <c r="J115">
        <v>10</v>
      </c>
      <c r="K115" t="s">
        <v>456</v>
      </c>
      <c r="L115" t="s">
        <v>457</v>
      </c>
      <c r="M115">
        <v>0.35</v>
      </c>
      <c r="N115" t="s">
        <v>42</v>
      </c>
      <c r="O115">
        <f>M115-0.3</f>
        <v>4.9999999999999989E-2</v>
      </c>
      <c r="P115">
        <f>0.4-M115</f>
        <v>5.0000000000000044E-2</v>
      </c>
      <c r="Q115" t="s">
        <v>69</v>
      </c>
      <c r="R115">
        <v>5</v>
      </c>
      <c r="S115">
        <v>10</v>
      </c>
      <c r="T115" t="s">
        <v>456</v>
      </c>
      <c r="U115" t="s">
        <v>458</v>
      </c>
      <c r="V115" t="s">
        <v>459</v>
      </c>
      <c r="W115" t="s">
        <v>460</v>
      </c>
      <c r="X115" t="s">
        <v>461</v>
      </c>
      <c r="Y115" t="s">
        <v>46</v>
      </c>
      <c r="Z115" t="s">
        <v>499</v>
      </c>
      <c r="AA115" t="s">
        <v>462</v>
      </c>
      <c r="AB115" t="s">
        <v>74</v>
      </c>
      <c r="AC115" t="s">
        <v>38</v>
      </c>
      <c r="AD115" t="s">
        <v>169</v>
      </c>
      <c r="AE115" t="s">
        <v>75</v>
      </c>
      <c r="AF115">
        <v>660</v>
      </c>
      <c r="AG115" t="s">
        <v>77</v>
      </c>
      <c r="AH115" t="s">
        <v>50</v>
      </c>
      <c r="AI115" t="s">
        <v>463</v>
      </c>
      <c r="AJ115" t="s">
        <v>47</v>
      </c>
      <c r="AK115" t="s">
        <v>48</v>
      </c>
      <c r="AL115">
        <v>20</v>
      </c>
      <c r="AM115" t="s">
        <v>46</v>
      </c>
      <c r="AN115" t="s">
        <v>76</v>
      </c>
      <c r="AO115">
        <v>264</v>
      </c>
      <c r="AP115" t="s">
        <v>63</v>
      </c>
      <c r="AQ115" t="s">
        <v>46</v>
      </c>
      <c r="AR115" t="s">
        <v>50</v>
      </c>
      <c r="AS115" t="s">
        <v>1636</v>
      </c>
      <c r="AT115" t="s">
        <v>63</v>
      </c>
      <c r="AU115" s="3" t="s">
        <v>46</v>
      </c>
      <c r="AV115">
        <v>2018</v>
      </c>
      <c r="AW115" t="s">
        <v>464</v>
      </c>
    </row>
    <row r="116" spans="1:49" x14ac:dyDescent="0.2">
      <c r="A116">
        <v>115</v>
      </c>
      <c r="B116" t="s">
        <v>466</v>
      </c>
      <c r="C116" t="s">
        <v>467</v>
      </c>
      <c r="D116">
        <v>18.71</v>
      </c>
      <c r="E116" t="s">
        <v>68</v>
      </c>
      <c r="F116">
        <f>D116-18.19</f>
        <v>0.51999999999999957</v>
      </c>
      <c r="G116">
        <f>19.25-D116</f>
        <v>0.53999999999999915</v>
      </c>
      <c r="H116" t="s">
        <v>69</v>
      </c>
      <c r="I116">
        <v>4</v>
      </c>
      <c r="J116">
        <v>5</v>
      </c>
      <c r="K116" t="s">
        <v>446</v>
      </c>
      <c r="L116" t="s">
        <v>468</v>
      </c>
      <c r="M116">
        <v>23.53</v>
      </c>
      <c r="N116" t="s">
        <v>68</v>
      </c>
      <c r="O116">
        <f>M116-20.6</f>
        <v>2.9299999999999997</v>
      </c>
      <c r="P116">
        <f>28.9-M116</f>
        <v>5.3699999999999974</v>
      </c>
      <c r="Q116" t="s">
        <v>69</v>
      </c>
      <c r="R116">
        <v>4</v>
      </c>
      <c r="S116">
        <v>5</v>
      </c>
      <c r="T116" t="s">
        <v>446</v>
      </c>
      <c r="U116" t="s">
        <v>156</v>
      </c>
      <c r="V116" t="s">
        <v>469</v>
      </c>
      <c r="W116" t="s">
        <v>470</v>
      </c>
      <c r="X116" t="s">
        <v>471</v>
      </c>
      <c r="Y116" t="s">
        <v>46</v>
      </c>
      <c r="Z116" t="s">
        <v>500</v>
      </c>
      <c r="AA116" t="s">
        <v>73</v>
      </c>
      <c r="AB116" t="s">
        <v>74</v>
      </c>
      <c r="AC116" t="s">
        <v>38</v>
      </c>
      <c r="AD116" t="s">
        <v>39</v>
      </c>
      <c r="AE116" t="s">
        <v>465</v>
      </c>
      <c r="AF116">
        <v>48</v>
      </c>
      <c r="AG116" t="s">
        <v>40</v>
      </c>
      <c r="AH116" t="s">
        <v>50</v>
      </c>
      <c r="AI116" t="s">
        <v>46</v>
      </c>
      <c r="AJ116" t="s">
        <v>47</v>
      </c>
      <c r="AK116" t="s">
        <v>61</v>
      </c>
      <c r="AL116">
        <v>20</v>
      </c>
      <c r="AM116" t="s">
        <v>46</v>
      </c>
      <c r="AN116" t="s">
        <v>152</v>
      </c>
      <c r="AO116">
        <v>24</v>
      </c>
      <c r="AP116" t="s">
        <v>63</v>
      </c>
      <c r="AQ116" t="s">
        <v>46</v>
      </c>
      <c r="AR116" t="s">
        <v>50</v>
      </c>
      <c r="AS116" t="s">
        <v>1649</v>
      </c>
      <c r="AT116" t="s">
        <v>63</v>
      </c>
      <c r="AU116" s="3" t="s">
        <v>46</v>
      </c>
      <c r="AV116">
        <v>2015</v>
      </c>
      <c r="AW116" t="s">
        <v>46</v>
      </c>
    </row>
    <row r="117" spans="1:49" x14ac:dyDescent="0.2">
      <c r="A117">
        <v>116</v>
      </c>
      <c r="B117" t="s">
        <v>472</v>
      </c>
      <c r="C117" t="s">
        <v>473</v>
      </c>
      <c r="D117">
        <v>155.02000000000001</v>
      </c>
      <c r="E117" t="s">
        <v>42</v>
      </c>
      <c r="F117">
        <f>D117-132.3</f>
        <v>22.72</v>
      </c>
      <c r="G117">
        <f>183.41-D117</f>
        <v>28.389999999999986</v>
      </c>
      <c r="H117" t="s">
        <v>69</v>
      </c>
      <c r="I117">
        <v>24</v>
      </c>
      <c r="J117">
        <v>1</v>
      </c>
      <c r="K117" t="s">
        <v>474</v>
      </c>
      <c r="L117" t="s">
        <v>475</v>
      </c>
      <c r="M117">
        <v>251.81</v>
      </c>
      <c r="N117" t="s">
        <v>42</v>
      </c>
      <c r="O117">
        <f>M117-206.15</f>
        <v>45.66</v>
      </c>
      <c r="P117">
        <f>311.07-M117</f>
        <v>59.259999999999991</v>
      </c>
      <c r="Q117" t="s">
        <v>69</v>
      </c>
      <c r="R117">
        <v>24</v>
      </c>
      <c r="S117">
        <v>1</v>
      </c>
      <c r="T117" t="s">
        <v>474</v>
      </c>
      <c r="U117" t="s">
        <v>156</v>
      </c>
      <c r="V117" t="s">
        <v>476</v>
      </c>
      <c r="W117" t="s">
        <v>477</v>
      </c>
      <c r="X117" t="s">
        <v>478</v>
      </c>
      <c r="Y117" t="s">
        <v>35</v>
      </c>
      <c r="Z117" t="s">
        <v>501</v>
      </c>
      <c r="AA117" t="s">
        <v>36</v>
      </c>
      <c r="AB117" t="s">
        <v>37</v>
      </c>
      <c r="AC117" t="s">
        <v>38</v>
      </c>
      <c r="AD117" t="s">
        <v>39</v>
      </c>
      <c r="AE117" t="s">
        <v>45</v>
      </c>
      <c r="AF117">
        <v>96</v>
      </c>
      <c r="AG117" t="s">
        <v>77</v>
      </c>
      <c r="AH117" t="s">
        <v>63</v>
      </c>
      <c r="AI117" t="s">
        <v>46</v>
      </c>
      <c r="AJ117" t="s">
        <v>47</v>
      </c>
      <c r="AK117" t="s">
        <v>61</v>
      </c>
      <c r="AL117">
        <v>26</v>
      </c>
      <c r="AM117" t="s">
        <v>46</v>
      </c>
      <c r="AN117" t="s">
        <v>46</v>
      </c>
      <c r="AO117">
        <v>3</v>
      </c>
      <c r="AP117" t="s">
        <v>63</v>
      </c>
      <c r="AQ117" t="s">
        <v>46</v>
      </c>
      <c r="AR117" t="s">
        <v>50</v>
      </c>
      <c r="AS117" t="s">
        <v>1637</v>
      </c>
      <c r="AT117" t="s">
        <v>63</v>
      </c>
      <c r="AU117" s="3" t="s">
        <v>46</v>
      </c>
      <c r="AV117">
        <v>2022</v>
      </c>
      <c r="AW117" t="s">
        <v>46</v>
      </c>
    </row>
    <row r="118" spans="1:49" x14ac:dyDescent="0.2">
      <c r="A118">
        <v>117</v>
      </c>
      <c r="B118" t="s">
        <v>472</v>
      </c>
      <c r="C118" t="s">
        <v>473</v>
      </c>
      <c r="D118">
        <v>155.02000000000001</v>
      </c>
      <c r="E118" t="s">
        <v>42</v>
      </c>
      <c r="F118">
        <f>D118-132.3</f>
        <v>22.72</v>
      </c>
      <c r="G118">
        <f>183.41-D118</f>
        <v>28.389999999999986</v>
      </c>
      <c r="H118" t="s">
        <v>69</v>
      </c>
      <c r="I118">
        <v>24</v>
      </c>
      <c r="J118">
        <v>1</v>
      </c>
      <c r="K118" t="s">
        <v>474</v>
      </c>
      <c r="L118" t="s">
        <v>479</v>
      </c>
      <c r="M118">
        <v>5.27</v>
      </c>
      <c r="N118" t="s">
        <v>42</v>
      </c>
      <c r="O118">
        <f>M118-4.29</f>
        <v>0.97999999999999954</v>
      </c>
      <c r="P118">
        <f>6.45-M118</f>
        <v>1.1800000000000006</v>
      </c>
      <c r="Q118" t="s">
        <v>69</v>
      </c>
      <c r="R118">
        <v>24</v>
      </c>
      <c r="S118">
        <v>1</v>
      </c>
      <c r="T118" t="s">
        <v>474</v>
      </c>
      <c r="U118" t="s">
        <v>156</v>
      </c>
      <c r="V118" t="s">
        <v>476</v>
      </c>
      <c r="W118" t="s">
        <v>480</v>
      </c>
      <c r="X118" t="s">
        <v>478</v>
      </c>
      <c r="Y118" t="s">
        <v>35</v>
      </c>
      <c r="Z118" t="s">
        <v>501</v>
      </c>
      <c r="AA118" t="s">
        <v>36</v>
      </c>
      <c r="AB118" t="s">
        <v>37</v>
      </c>
      <c r="AC118" t="s">
        <v>38</v>
      </c>
      <c r="AD118" t="s">
        <v>39</v>
      </c>
      <c r="AE118" t="s">
        <v>45</v>
      </c>
      <c r="AF118">
        <v>96</v>
      </c>
      <c r="AG118" t="s">
        <v>77</v>
      </c>
      <c r="AH118" t="s">
        <v>50</v>
      </c>
      <c r="AI118" t="s">
        <v>46</v>
      </c>
      <c r="AJ118" t="s">
        <v>47</v>
      </c>
      <c r="AK118" t="s">
        <v>61</v>
      </c>
      <c r="AL118">
        <v>26</v>
      </c>
      <c r="AM118" t="s">
        <v>46</v>
      </c>
      <c r="AN118" t="s">
        <v>46</v>
      </c>
      <c r="AO118">
        <v>3</v>
      </c>
      <c r="AP118" t="s">
        <v>63</v>
      </c>
      <c r="AQ118" t="s">
        <v>46</v>
      </c>
      <c r="AR118" t="s">
        <v>50</v>
      </c>
      <c r="AS118" t="s">
        <v>1631</v>
      </c>
      <c r="AT118" t="s">
        <v>63</v>
      </c>
      <c r="AU118" s="3" t="s">
        <v>46</v>
      </c>
      <c r="AV118">
        <v>2022</v>
      </c>
      <c r="AW118" t="s">
        <v>46</v>
      </c>
    </row>
    <row r="119" spans="1:49" x14ac:dyDescent="0.2">
      <c r="A119">
        <v>118</v>
      </c>
      <c r="B119" t="s">
        <v>502</v>
      </c>
      <c r="C119" t="s">
        <v>80</v>
      </c>
      <c r="D119">
        <v>2.1529745042492898</v>
      </c>
      <c r="E119" t="s">
        <v>42</v>
      </c>
      <c r="F119">
        <f>D119-0.679886685552407</f>
        <v>1.4730878186968828</v>
      </c>
      <c r="G119">
        <f>2.94617563739377-D119</f>
        <v>0.79320113314448015</v>
      </c>
      <c r="H119" t="s">
        <v>69</v>
      </c>
      <c r="I119">
        <v>1</v>
      </c>
      <c r="J119">
        <v>10</v>
      </c>
      <c r="K119" t="s">
        <v>503</v>
      </c>
      <c r="L119" t="s">
        <v>504</v>
      </c>
      <c r="M119">
        <v>4.5325779036827196</v>
      </c>
      <c r="N119" t="s">
        <v>42</v>
      </c>
      <c r="O119">
        <f>M119-2.03966005665722</f>
        <v>2.4929178470254998</v>
      </c>
      <c r="P119">
        <f>6.57223796033994-M119</f>
        <v>2.0396600566572207</v>
      </c>
      <c r="Q119" t="s">
        <v>69</v>
      </c>
      <c r="R119">
        <v>1</v>
      </c>
      <c r="S119">
        <v>10</v>
      </c>
      <c r="T119" t="s">
        <v>503</v>
      </c>
      <c r="U119" t="s">
        <v>156</v>
      </c>
      <c r="V119" t="s">
        <v>505</v>
      </c>
      <c r="W119" t="s">
        <v>506</v>
      </c>
      <c r="X119" t="s">
        <v>257</v>
      </c>
      <c r="Y119" t="s">
        <v>258</v>
      </c>
      <c r="Z119" t="s">
        <v>507</v>
      </c>
      <c r="AA119" t="s">
        <v>73</v>
      </c>
      <c r="AB119" t="s">
        <v>74</v>
      </c>
      <c r="AC119" t="s">
        <v>38</v>
      </c>
      <c r="AD119" t="s">
        <v>39</v>
      </c>
      <c r="AE119" t="s">
        <v>465</v>
      </c>
      <c r="AF119">
        <v>48</v>
      </c>
      <c r="AG119" t="s">
        <v>40</v>
      </c>
      <c r="AH119" t="s">
        <v>50</v>
      </c>
      <c r="AI119" t="s">
        <v>463</v>
      </c>
      <c r="AJ119" t="s">
        <v>47</v>
      </c>
      <c r="AK119" t="s">
        <v>61</v>
      </c>
      <c r="AL119">
        <v>21</v>
      </c>
      <c r="AM119">
        <v>7.5</v>
      </c>
      <c r="AN119" t="s">
        <v>46</v>
      </c>
      <c r="AO119">
        <v>24</v>
      </c>
      <c r="AP119" t="s">
        <v>63</v>
      </c>
      <c r="AQ119" t="s">
        <v>46</v>
      </c>
      <c r="AR119" t="s">
        <v>50</v>
      </c>
      <c r="AS119" t="s">
        <v>1629</v>
      </c>
      <c r="AT119" t="s">
        <v>63</v>
      </c>
      <c r="AU119" s="3" t="s">
        <v>46</v>
      </c>
      <c r="AV119">
        <v>2013</v>
      </c>
      <c r="AW119" t="s">
        <v>508</v>
      </c>
    </row>
    <row r="120" spans="1:49" x14ac:dyDescent="0.2">
      <c r="A120">
        <v>119</v>
      </c>
      <c r="B120" t="s">
        <v>502</v>
      </c>
      <c r="C120" t="s">
        <v>80</v>
      </c>
      <c r="D120">
        <v>7.1388101983002796</v>
      </c>
      <c r="E120" t="s">
        <v>42</v>
      </c>
      <c r="F120">
        <f>D120-5.779036827</f>
        <v>1.35977337130028</v>
      </c>
      <c r="G120">
        <f>9.17847025495751-D120</f>
        <v>2.0396600566572305</v>
      </c>
      <c r="H120" t="s">
        <v>69</v>
      </c>
      <c r="I120">
        <v>1</v>
      </c>
      <c r="J120">
        <v>10</v>
      </c>
      <c r="K120" t="s">
        <v>503</v>
      </c>
      <c r="L120" t="s">
        <v>504</v>
      </c>
      <c r="M120">
        <v>8.15864022662889</v>
      </c>
      <c r="N120" t="s">
        <v>42</v>
      </c>
      <c r="O120">
        <f>M120-6.11898016997166</f>
        <v>2.0396600566572296</v>
      </c>
      <c r="P120">
        <f>11.2181303116147-M120</f>
        <v>3.0594900849858107</v>
      </c>
      <c r="Q120" t="s">
        <v>69</v>
      </c>
      <c r="R120">
        <v>1</v>
      </c>
      <c r="S120">
        <v>10</v>
      </c>
      <c r="T120" t="s">
        <v>503</v>
      </c>
      <c r="U120" t="s">
        <v>156</v>
      </c>
      <c r="V120" t="s">
        <v>509</v>
      </c>
      <c r="W120" t="s">
        <v>510</v>
      </c>
      <c r="X120" t="s">
        <v>257</v>
      </c>
      <c r="Y120" t="s">
        <v>258</v>
      </c>
      <c r="Z120" t="s">
        <v>511</v>
      </c>
      <c r="AA120" t="s">
        <v>73</v>
      </c>
      <c r="AB120" t="s">
        <v>74</v>
      </c>
      <c r="AC120" t="s">
        <v>38</v>
      </c>
      <c r="AD120" t="s">
        <v>39</v>
      </c>
      <c r="AE120" t="s">
        <v>465</v>
      </c>
      <c r="AF120">
        <v>48</v>
      </c>
      <c r="AG120" t="s">
        <v>40</v>
      </c>
      <c r="AH120" t="s">
        <v>50</v>
      </c>
      <c r="AI120" t="s">
        <v>463</v>
      </c>
      <c r="AJ120" t="s">
        <v>47</v>
      </c>
      <c r="AK120" t="s">
        <v>61</v>
      </c>
      <c r="AL120">
        <v>21</v>
      </c>
      <c r="AM120">
        <v>7.5</v>
      </c>
      <c r="AN120" t="s">
        <v>46</v>
      </c>
      <c r="AO120">
        <v>24</v>
      </c>
      <c r="AP120" t="s">
        <v>63</v>
      </c>
      <c r="AQ120" t="s">
        <v>46</v>
      </c>
      <c r="AR120" t="s">
        <v>50</v>
      </c>
      <c r="AS120" t="s">
        <v>1629</v>
      </c>
      <c r="AT120" t="s">
        <v>63</v>
      </c>
      <c r="AU120" s="3" t="s">
        <v>46</v>
      </c>
      <c r="AV120">
        <v>2013</v>
      </c>
      <c r="AW120" t="s">
        <v>508</v>
      </c>
    </row>
    <row r="121" spans="1:49" x14ac:dyDescent="0.2">
      <c r="A121">
        <v>120</v>
      </c>
      <c r="B121" t="s">
        <v>502</v>
      </c>
      <c r="C121" t="s">
        <v>80</v>
      </c>
      <c r="D121">
        <v>10.3116147308781</v>
      </c>
      <c r="E121" t="s">
        <v>42</v>
      </c>
      <c r="F121">
        <f>D121-7.025495751</f>
        <v>3.2861189798780996</v>
      </c>
      <c r="G121">
        <f>14.7308781869688-D121</f>
        <v>4.4192634560907003</v>
      </c>
      <c r="H121" t="s">
        <v>69</v>
      </c>
      <c r="I121">
        <v>1</v>
      </c>
      <c r="J121">
        <v>10</v>
      </c>
      <c r="K121" t="s">
        <v>503</v>
      </c>
      <c r="L121" t="s">
        <v>504</v>
      </c>
      <c r="M121">
        <v>14.0509915014164</v>
      </c>
      <c r="N121" t="s">
        <v>42</v>
      </c>
      <c r="O121">
        <f>M121-12.0113314447592</f>
        <v>2.0396600566571994</v>
      </c>
      <c r="P121">
        <f>16.5439093484419-M121</f>
        <v>2.4929178470255007</v>
      </c>
      <c r="Q121" t="s">
        <v>69</v>
      </c>
      <c r="R121">
        <v>1</v>
      </c>
      <c r="S121">
        <v>10</v>
      </c>
      <c r="T121" t="s">
        <v>503</v>
      </c>
      <c r="U121" t="s">
        <v>156</v>
      </c>
      <c r="V121" t="s">
        <v>512</v>
      </c>
      <c r="W121" t="s">
        <v>513</v>
      </c>
      <c r="X121" t="s">
        <v>257</v>
      </c>
      <c r="Y121" t="s">
        <v>258</v>
      </c>
      <c r="Z121" t="s">
        <v>511</v>
      </c>
      <c r="AA121" t="s">
        <v>73</v>
      </c>
      <c r="AB121" t="s">
        <v>74</v>
      </c>
      <c r="AC121" t="s">
        <v>38</v>
      </c>
      <c r="AD121" t="s">
        <v>39</v>
      </c>
      <c r="AE121" t="s">
        <v>75</v>
      </c>
      <c r="AF121">
        <v>48</v>
      </c>
      <c r="AG121" t="s">
        <v>40</v>
      </c>
      <c r="AH121" t="s">
        <v>50</v>
      </c>
      <c r="AI121" t="s">
        <v>463</v>
      </c>
      <c r="AJ121" t="s">
        <v>47</v>
      </c>
      <c r="AK121" t="s">
        <v>61</v>
      </c>
      <c r="AL121">
        <v>21</v>
      </c>
      <c r="AM121">
        <v>7.5</v>
      </c>
      <c r="AN121" t="s">
        <v>46</v>
      </c>
      <c r="AO121">
        <v>168</v>
      </c>
      <c r="AP121" t="s">
        <v>63</v>
      </c>
      <c r="AQ121" t="s">
        <v>46</v>
      </c>
      <c r="AR121" t="s">
        <v>50</v>
      </c>
      <c r="AS121" t="s">
        <v>1629</v>
      </c>
      <c r="AT121" t="s">
        <v>63</v>
      </c>
      <c r="AU121" s="3" t="s">
        <v>46</v>
      </c>
      <c r="AV121">
        <v>2013</v>
      </c>
      <c r="AW121" t="s">
        <v>508</v>
      </c>
    </row>
    <row r="122" spans="1:49" x14ac:dyDescent="0.2">
      <c r="A122">
        <v>121</v>
      </c>
      <c r="B122" t="s">
        <v>502</v>
      </c>
      <c r="C122" t="s">
        <v>80</v>
      </c>
      <c r="D122">
        <v>22.322946175637298</v>
      </c>
      <c r="E122" t="s">
        <v>42</v>
      </c>
      <c r="F122">
        <f>D122-15.8640226628895</f>
        <v>6.4589235127477984</v>
      </c>
      <c r="G122">
        <f>30.2549575070821-D122</f>
        <v>7.9320113314448015</v>
      </c>
      <c r="H122" t="s">
        <v>69</v>
      </c>
      <c r="I122">
        <v>1</v>
      </c>
      <c r="J122">
        <v>10</v>
      </c>
      <c r="K122" t="s">
        <v>503</v>
      </c>
      <c r="L122" t="s">
        <v>504</v>
      </c>
      <c r="M122">
        <v>31.161473087818699</v>
      </c>
      <c r="N122" t="s">
        <v>42</v>
      </c>
      <c r="O122">
        <f>M122-27.5354107648725</f>
        <v>3.6260623229462006</v>
      </c>
      <c r="P122">
        <f>36.0339943342776-M122</f>
        <v>4.8725212464589021</v>
      </c>
      <c r="Q122" t="s">
        <v>69</v>
      </c>
      <c r="R122">
        <v>1</v>
      </c>
      <c r="S122">
        <v>10</v>
      </c>
      <c r="T122" t="s">
        <v>503</v>
      </c>
      <c r="U122" t="s">
        <v>156</v>
      </c>
      <c r="V122" t="s">
        <v>514</v>
      </c>
      <c r="W122" t="s">
        <v>515</v>
      </c>
      <c r="X122" t="s">
        <v>257</v>
      </c>
      <c r="Y122" t="s">
        <v>258</v>
      </c>
      <c r="Z122" t="s">
        <v>511</v>
      </c>
      <c r="AA122" t="s">
        <v>73</v>
      </c>
      <c r="AB122" t="s">
        <v>74</v>
      </c>
      <c r="AC122" t="s">
        <v>38</v>
      </c>
      <c r="AD122" t="s">
        <v>39</v>
      </c>
      <c r="AE122" t="s">
        <v>75</v>
      </c>
      <c r="AF122">
        <v>48</v>
      </c>
      <c r="AG122" t="s">
        <v>40</v>
      </c>
      <c r="AH122" t="s">
        <v>50</v>
      </c>
      <c r="AI122" t="s">
        <v>463</v>
      </c>
      <c r="AJ122" t="s">
        <v>47</v>
      </c>
      <c r="AK122" t="s">
        <v>61</v>
      </c>
      <c r="AL122">
        <v>21</v>
      </c>
      <c r="AM122">
        <v>7.5</v>
      </c>
      <c r="AN122" t="s">
        <v>46</v>
      </c>
      <c r="AO122">
        <v>504</v>
      </c>
      <c r="AP122" t="s">
        <v>63</v>
      </c>
      <c r="AQ122" t="s">
        <v>46</v>
      </c>
      <c r="AR122" t="s">
        <v>50</v>
      </c>
      <c r="AS122" t="s">
        <v>1629</v>
      </c>
      <c r="AT122" t="s">
        <v>63</v>
      </c>
      <c r="AU122" s="3" t="s">
        <v>46</v>
      </c>
      <c r="AV122">
        <v>2013</v>
      </c>
      <c r="AW122" t="s">
        <v>508</v>
      </c>
    </row>
    <row r="123" spans="1:49" x14ac:dyDescent="0.2">
      <c r="A123">
        <v>122</v>
      </c>
      <c r="B123" t="s">
        <v>502</v>
      </c>
      <c r="C123" t="s">
        <v>80</v>
      </c>
      <c r="D123">
        <v>1.8645</v>
      </c>
      <c r="E123" t="s">
        <v>42</v>
      </c>
      <c r="F123">
        <v>5.2294999999999998</v>
      </c>
      <c r="G123">
        <v>5.2294999999999998</v>
      </c>
      <c r="H123" t="s">
        <v>43</v>
      </c>
      <c r="I123">
        <v>1</v>
      </c>
      <c r="J123">
        <v>10</v>
      </c>
      <c r="K123" t="s">
        <v>516</v>
      </c>
      <c r="L123" t="s">
        <v>504</v>
      </c>
      <c r="M123">
        <v>1.1022000000000001</v>
      </c>
      <c r="N123" t="s">
        <v>42</v>
      </c>
      <c r="O123">
        <v>1.1395999999999999</v>
      </c>
      <c r="P123">
        <v>1.1395999999999999</v>
      </c>
      <c r="Q123" t="s">
        <v>43</v>
      </c>
      <c r="R123">
        <v>1</v>
      </c>
      <c r="S123">
        <v>10</v>
      </c>
      <c r="T123" t="s">
        <v>516</v>
      </c>
      <c r="U123" t="s">
        <v>158</v>
      </c>
      <c r="V123" t="s">
        <v>517</v>
      </c>
      <c r="W123" t="s">
        <v>518</v>
      </c>
      <c r="X123" t="s">
        <v>257</v>
      </c>
      <c r="Y123" t="s">
        <v>258</v>
      </c>
      <c r="Z123" t="s">
        <v>511</v>
      </c>
      <c r="AA123" t="s">
        <v>73</v>
      </c>
      <c r="AB123" t="s">
        <v>74</v>
      </c>
      <c r="AC123" t="s">
        <v>38</v>
      </c>
      <c r="AD123" t="s">
        <v>39</v>
      </c>
      <c r="AE123" t="s">
        <v>465</v>
      </c>
      <c r="AF123">
        <v>1320</v>
      </c>
      <c r="AG123" t="s">
        <v>40</v>
      </c>
      <c r="AH123" t="s">
        <v>50</v>
      </c>
      <c r="AI123" t="s">
        <v>463</v>
      </c>
      <c r="AJ123" t="s">
        <v>47</v>
      </c>
      <c r="AK123" t="s">
        <v>48</v>
      </c>
      <c r="AL123">
        <v>21</v>
      </c>
      <c r="AM123">
        <v>7.5</v>
      </c>
      <c r="AN123" t="s">
        <v>76</v>
      </c>
      <c r="AO123">
        <v>24</v>
      </c>
      <c r="AP123" t="s">
        <v>63</v>
      </c>
      <c r="AQ123" t="s">
        <v>46</v>
      </c>
      <c r="AR123" t="s">
        <v>50</v>
      </c>
      <c r="AS123" t="s">
        <v>1629</v>
      </c>
      <c r="AT123" t="s">
        <v>63</v>
      </c>
      <c r="AU123" s="3" t="s">
        <v>46</v>
      </c>
      <c r="AV123">
        <v>2013</v>
      </c>
      <c r="AW123" t="s">
        <v>508</v>
      </c>
    </row>
    <row r="124" spans="1:49" x14ac:dyDescent="0.2">
      <c r="A124">
        <v>123</v>
      </c>
      <c r="B124" t="s">
        <v>519</v>
      </c>
      <c r="C124" t="s">
        <v>183</v>
      </c>
      <c r="D124" t="s">
        <v>373</v>
      </c>
      <c r="E124" t="s">
        <v>42</v>
      </c>
      <c r="F124" t="s">
        <v>46</v>
      </c>
      <c r="G124" t="s">
        <v>46</v>
      </c>
      <c r="H124" t="s">
        <v>46</v>
      </c>
      <c r="I124">
        <v>5</v>
      </c>
      <c r="J124">
        <v>5</v>
      </c>
      <c r="K124" t="s">
        <v>520</v>
      </c>
      <c r="L124" t="s">
        <v>184</v>
      </c>
      <c r="M124">
        <f>29.4*0.108</f>
        <v>3.1751999999999998</v>
      </c>
      <c r="N124" t="s">
        <v>42</v>
      </c>
      <c r="O124">
        <f>0.89*0.108</f>
        <v>9.6119999999999997E-2</v>
      </c>
      <c r="P124">
        <f>0.89*0.108</f>
        <v>9.6119999999999997E-2</v>
      </c>
      <c r="Q124" t="s">
        <v>43</v>
      </c>
      <c r="R124">
        <v>5</v>
      </c>
      <c r="S124">
        <v>5</v>
      </c>
      <c r="T124" t="s">
        <v>520</v>
      </c>
      <c r="U124" t="s">
        <v>521</v>
      </c>
      <c r="V124" t="s">
        <v>522</v>
      </c>
      <c r="W124" t="s">
        <v>523</v>
      </c>
      <c r="X124" t="s">
        <v>524</v>
      </c>
      <c r="Y124" t="s">
        <v>525</v>
      </c>
      <c r="Z124" t="s">
        <v>526</v>
      </c>
      <c r="AA124" t="s">
        <v>60</v>
      </c>
      <c r="AB124" t="s">
        <v>37</v>
      </c>
      <c r="AC124" t="s">
        <v>38</v>
      </c>
      <c r="AD124" t="s">
        <v>179</v>
      </c>
      <c r="AE124" t="s">
        <v>180</v>
      </c>
      <c r="AF124">
        <v>96</v>
      </c>
      <c r="AG124" t="s">
        <v>40</v>
      </c>
      <c r="AH124" t="s">
        <v>50</v>
      </c>
      <c r="AI124" t="s">
        <v>46</v>
      </c>
      <c r="AJ124" t="s">
        <v>47</v>
      </c>
      <c r="AK124" t="s">
        <v>61</v>
      </c>
      <c r="AL124">
        <v>21</v>
      </c>
      <c r="AM124" t="s">
        <v>46</v>
      </c>
      <c r="AN124" t="s">
        <v>152</v>
      </c>
      <c r="AO124" t="s">
        <v>527</v>
      </c>
      <c r="AP124" t="s">
        <v>50</v>
      </c>
      <c r="AQ124" t="s">
        <v>46</v>
      </c>
      <c r="AR124" t="s">
        <v>63</v>
      </c>
      <c r="AS124" t="s">
        <v>1631</v>
      </c>
      <c r="AT124" t="s">
        <v>50</v>
      </c>
      <c r="AU124" t="s">
        <v>63</v>
      </c>
      <c r="AV124">
        <v>2021</v>
      </c>
      <c r="AW124" t="s">
        <v>46</v>
      </c>
    </row>
    <row r="125" spans="1:49" x14ac:dyDescent="0.2">
      <c r="A125">
        <v>124</v>
      </c>
      <c r="B125" t="s">
        <v>528</v>
      </c>
      <c r="C125" t="s">
        <v>529</v>
      </c>
      <c r="D125">
        <v>0.51</v>
      </c>
      <c r="E125" t="s">
        <v>42</v>
      </c>
      <c r="F125" s="1">
        <f>D125-0.774</f>
        <v>-0.26400000000000001</v>
      </c>
      <c r="G125">
        <f>1.794-D125</f>
        <v>1.284</v>
      </c>
      <c r="H125" t="s">
        <v>69</v>
      </c>
      <c r="I125">
        <v>3</v>
      </c>
      <c r="J125">
        <v>5</v>
      </c>
      <c r="K125" t="s">
        <v>530</v>
      </c>
      <c r="L125" t="s">
        <v>531</v>
      </c>
      <c r="M125">
        <v>3.2000000000000001E-2</v>
      </c>
      <c r="N125" t="s">
        <v>42</v>
      </c>
      <c r="O125">
        <f>M125-0.027</f>
        <v>5.000000000000001E-3</v>
      </c>
      <c r="P125">
        <f>0.036-M125</f>
        <v>3.9999999999999966E-3</v>
      </c>
      <c r="Q125" t="s">
        <v>69</v>
      </c>
      <c r="R125">
        <v>3</v>
      </c>
      <c r="S125">
        <v>5</v>
      </c>
      <c r="T125" t="s">
        <v>530</v>
      </c>
      <c r="U125" t="s">
        <v>194</v>
      </c>
      <c r="V125" t="s">
        <v>532</v>
      </c>
      <c r="W125" t="s">
        <v>533</v>
      </c>
      <c r="X125" t="s">
        <v>534</v>
      </c>
      <c r="Y125" t="s">
        <v>46</v>
      </c>
      <c r="Z125" t="s">
        <v>46</v>
      </c>
      <c r="AA125" t="s">
        <v>535</v>
      </c>
      <c r="AB125" t="s">
        <v>536</v>
      </c>
      <c r="AC125" t="s">
        <v>38</v>
      </c>
      <c r="AD125" t="s">
        <v>169</v>
      </c>
      <c r="AE125" t="s">
        <v>75</v>
      </c>
      <c r="AF125">
        <v>48</v>
      </c>
      <c r="AG125" t="s">
        <v>77</v>
      </c>
      <c r="AH125" t="s">
        <v>50</v>
      </c>
      <c r="AI125" t="s">
        <v>537</v>
      </c>
      <c r="AJ125" t="s">
        <v>47</v>
      </c>
      <c r="AK125" t="s">
        <v>61</v>
      </c>
      <c r="AL125">
        <v>20</v>
      </c>
      <c r="AM125" t="s">
        <v>46</v>
      </c>
      <c r="AN125" t="s">
        <v>46</v>
      </c>
      <c r="AO125" t="s">
        <v>46</v>
      </c>
      <c r="AP125" t="s">
        <v>63</v>
      </c>
      <c r="AQ125" t="s">
        <v>46</v>
      </c>
      <c r="AR125" t="s">
        <v>50</v>
      </c>
      <c r="AS125" t="s">
        <v>1649</v>
      </c>
      <c r="AT125" t="s">
        <v>63</v>
      </c>
      <c r="AU125" t="s">
        <v>46</v>
      </c>
      <c r="AV125">
        <v>2021</v>
      </c>
      <c r="AW125" t="s">
        <v>538</v>
      </c>
    </row>
    <row r="126" spans="1:49" x14ac:dyDescent="0.2">
      <c r="A126">
        <v>125</v>
      </c>
      <c r="B126" t="s">
        <v>528</v>
      </c>
      <c r="C126" t="s">
        <v>539</v>
      </c>
      <c r="D126">
        <v>3.2000000000000001E-2</v>
      </c>
      <c r="E126" t="s">
        <v>42</v>
      </c>
      <c r="F126">
        <f>D126-0.026</f>
        <v>6.0000000000000019E-3</v>
      </c>
      <c r="G126">
        <f>0.04-D126</f>
        <v>8.0000000000000002E-3</v>
      </c>
      <c r="H126" t="s">
        <v>69</v>
      </c>
      <c r="I126">
        <v>3</v>
      </c>
      <c r="J126">
        <v>5</v>
      </c>
      <c r="K126" t="s">
        <v>530</v>
      </c>
      <c r="L126" t="s">
        <v>540</v>
      </c>
      <c r="M126">
        <v>8.4000000000000005E-2</v>
      </c>
      <c r="N126" t="s">
        <v>42</v>
      </c>
      <c r="O126">
        <f>M126-0.034</f>
        <v>0.05</v>
      </c>
      <c r="P126">
        <f>0.134-M126</f>
        <v>0.05</v>
      </c>
      <c r="Q126" t="s">
        <v>69</v>
      </c>
      <c r="R126">
        <v>3</v>
      </c>
      <c r="S126">
        <v>5</v>
      </c>
      <c r="T126" t="s">
        <v>530</v>
      </c>
      <c r="U126" t="s">
        <v>194</v>
      </c>
      <c r="V126" t="s">
        <v>541</v>
      </c>
      <c r="W126" t="s">
        <v>542</v>
      </c>
      <c r="X126" t="s">
        <v>534</v>
      </c>
      <c r="Y126" t="s">
        <v>46</v>
      </c>
      <c r="Z126" t="s">
        <v>46</v>
      </c>
      <c r="AA126" t="s">
        <v>535</v>
      </c>
      <c r="AB126" t="s">
        <v>536</v>
      </c>
      <c r="AC126" t="s">
        <v>38</v>
      </c>
      <c r="AD126" t="s">
        <v>169</v>
      </c>
      <c r="AE126" t="s">
        <v>75</v>
      </c>
      <c r="AF126">
        <v>48</v>
      </c>
      <c r="AG126" t="s">
        <v>77</v>
      </c>
      <c r="AH126" t="s">
        <v>50</v>
      </c>
      <c r="AI126" t="s">
        <v>537</v>
      </c>
      <c r="AJ126" t="s">
        <v>47</v>
      </c>
      <c r="AK126" t="s">
        <v>61</v>
      </c>
      <c r="AL126">
        <v>20</v>
      </c>
      <c r="AM126" t="s">
        <v>46</v>
      </c>
      <c r="AN126" t="s">
        <v>46</v>
      </c>
      <c r="AO126" t="s">
        <v>46</v>
      </c>
      <c r="AP126" t="s">
        <v>63</v>
      </c>
      <c r="AQ126" t="s">
        <v>46</v>
      </c>
      <c r="AR126" t="s">
        <v>50</v>
      </c>
      <c r="AS126" t="s">
        <v>1631</v>
      </c>
      <c r="AT126" t="s">
        <v>63</v>
      </c>
      <c r="AU126" t="s">
        <v>46</v>
      </c>
      <c r="AV126">
        <v>2021</v>
      </c>
      <c r="AW126" t="s">
        <v>538</v>
      </c>
    </row>
    <row r="127" spans="1:49" x14ac:dyDescent="0.2">
      <c r="A127">
        <v>126</v>
      </c>
      <c r="B127" t="s">
        <v>528</v>
      </c>
      <c r="C127" t="s">
        <v>543</v>
      </c>
      <c r="D127">
        <v>6.0419999999999998</v>
      </c>
      <c r="E127" t="s">
        <v>42</v>
      </c>
      <c r="F127">
        <f>D127-5.482</f>
        <v>0.55999999999999961</v>
      </c>
      <c r="G127">
        <f>6.602-D127</f>
        <v>0.5600000000000005</v>
      </c>
      <c r="H127" t="s">
        <v>69</v>
      </c>
      <c r="I127">
        <v>3</v>
      </c>
      <c r="J127">
        <v>5</v>
      </c>
      <c r="K127" t="s">
        <v>530</v>
      </c>
      <c r="L127" t="s">
        <v>544</v>
      </c>
      <c r="M127">
        <v>2.524</v>
      </c>
      <c r="N127" t="s">
        <v>42</v>
      </c>
      <c r="O127">
        <f>M127-1.954</f>
        <v>0.57000000000000006</v>
      </c>
      <c r="P127">
        <f>3.095-M127</f>
        <v>0.57100000000000017</v>
      </c>
      <c r="Q127" t="s">
        <v>69</v>
      </c>
      <c r="R127">
        <v>3</v>
      </c>
      <c r="S127">
        <v>5</v>
      </c>
      <c r="T127" t="s">
        <v>530</v>
      </c>
      <c r="U127" t="s">
        <v>194</v>
      </c>
      <c r="V127" t="s">
        <v>545</v>
      </c>
      <c r="W127" t="s">
        <v>546</v>
      </c>
      <c r="X127" t="s">
        <v>534</v>
      </c>
      <c r="Y127" t="s">
        <v>46</v>
      </c>
      <c r="Z127" t="s">
        <v>46</v>
      </c>
      <c r="AA127" t="s">
        <v>535</v>
      </c>
      <c r="AB127" t="s">
        <v>536</v>
      </c>
      <c r="AC127" t="s">
        <v>38</v>
      </c>
      <c r="AD127" t="s">
        <v>169</v>
      </c>
      <c r="AE127" t="s">
        <v>75</v>
      </c>
      <c r="AF127">
        <v>48</v>
      </c>
      <c r="AG127" t="s">
        <v>40</v>
      </c>
      <c r="AH127" t="s">
        <v>50</v>
      </c>
      <c r="AI127" t="s">
        <v>537</v>
      </c>
      <c r="AJ127" t="s">
        <v>47</v>
      </c>
      <c r="AK127" t="s">
        <v>61</v>
      </c>
      <c r="AL127">
        <v>20</v>
      </c>
      <c r="AM127" t="s">
        <v>46</v>
      </c>
      <c r="AN127" t="s">
        <v>46</v>
      </c>
      <c r="AO127" t="s">
        <v>46</v>
      </c>
      <c r="AP127" t="s">
        <v>63</v>
      </c>
      <c r="AQ127" t="s">
        <v>46</v>
      </c>
      <c r="AR127" t="s">
        <v>50</v>
      </c>
      <c r="AS127" t="s">
        <v>1631</v>
      </c>
      <c r="AT127" t="s">
        <v>63</v>
      </c>
      <c r="AU127" t="s">
        <v>46</v>
      </c>
      <c r="AV127">
        <v>2021</v>
      </c>
      <c r="AW127" t="s">
        <v>538</v>
      </c>
    </row>
    <row r="128" spans="1:49" x14ac:dyDescent="0.2">
      <c r="A128">
        <v>127</v>
      </c>
      <c r="B128" t="s">
        <v>528</v>
      </c>
      <c r="C128" t="s">
        <v>547</v>
      </c>
      <c r="D128">
        <v>12.464</v>
      </c>
      <c r="E128" t="s">
        <v>42</v>
      </c>
      <c r="F128">
        <f>D128-7.257</f>
        <v>5.2070000000000007</v>
      </c>
      <c r="G128">
        <f>17.671-D128</f>
        <v>5.206999999999999</v>
      </c>
      <c r="H128" t="s">
        <v>69</v>
      </c>
      <c r="I128">
        <v>3</v>
      </c>
      <c r="J128">
        <v>5</v>
      </c>
      <c r="K128" t="s">
        <v>530</v>
      </c>
      <c r="L128" t="s">
        <v>548</v>
      </c>
      <c r="M128">
        <v>8.4730000000000008</v>
      </c>
      <c r="N128" t="s">
        <v>42</v>
      </c>
      <c r="O128">
        <f>M128-4.475</f>
        <v>3.9980000000000011</v>
      </c>
      <c r="P128">
        <f>12.47-M128</f>
        <v>3.9969999999999999</v>
      </c>
      <c r="Q128" t="s">
        <v>69</v>
      </c>
      <c r="R128">
        <v>3</v>
      </c>
      <c r="S128">
        <v>5</v>
      </c>
      <c r="T128" t="s">
        <v>530</v>
      </c>
      <c r="U128" t="s">
        <v>194</v>
      </c>
      <c r="V128" t="s">
        <v>549</v>
      </c>
      <c r="W128" t="s">
        <v>550</v>
      </c>
      <c r="X128" t="s">
        <v>534</v>
      </c>
      <c r="Y128" t="s">
        <v>46</v>
      </c>
      <c r="Z128" t="s">
        <v>46</v>
      </c>
      <c r="AA128" t="s">
        <v>535</v>
      </c>
      <c r="AB128" t="s">
        <v>536</v>
      </c>
      <c r="AC128" t="s">
        <v>38</v>
      </c>
      <c r="AD128" t="s">
        <v>169</v>
      </c>
      <c r="AE128" t="s">
        <v>75</v>
      </c>
      <c r="AF128">
        <v>48</v>
      </c>
      <c r="AG128" t="s">
        <v>40</v>
      </c>
      <c r="AH128" t="s">
        <v>50</v>
      </c>
      <c r="AI128" t="s">
        <v>537</v>
      </c>
      <c r="AJ128" t="s">
        <v>47</v>
      </c>
      <c r="AK128" t="s">
        <v>61</v>
      </c>
      <c r="AL128">
        <v>20</v>
      </c>
      <c r="AM128" t="s">
        <v>46</v>
      </c>
      <c r="AN128" t="s">
        <v>46</v>
      </c>
      <c r="AO128" t="s">
        <v>46</v>
      </c>
      <c r="AP128" t="s">
        <v>63</v>
      </c>
      <c r="AQ128" t="s">
        <v>46</v>
      </c>
      <c r="AR128" t="s">
        <v>50</v>
      </c>
      <c r="AS128" t="s">
        <v>1631</v>
      </c>
      <c r="AT128" t="s">
        <v>63</v>
      </c>
      <c r="AU128" t="s">
        <v>46</v>
      </c>
      <c r="AV128">
        <v>2021</v>
      </c>
      <c r="AW128" t="s">
        <v>538</v>
      </c>
    </row>
    <row r="129" spans="1:49" x14ac:dyDescent="0.2">
      <c r="A129">
        <v>128</v>
      </c>
      <c r="B129" t="s">
        <v>551</v>
      </c>
      <c r="C129" t="s">
        <v>552</v>
      </c>
      <c r="D129">
        <v>31.6</v>
      </c>
      <c r="E129" t="s">
        <v>42</v>
      </c>
      <c r="F129">
        <f>D129-29.9</f>
        <v>1.7000000000000028</v>
      </c>
      <c r="G129">
        <f>33.3-D129</f>
        <v>1.6999999999999957</v>
      </c>
      <c r="H129" t="s">
        <v>69</v>
      </c>
      <c r="I129">
        <v>6</v>
      </c>
      <c r="J129">
        <v>5</v>
      </c>
      <c r="K129" t="s">
        <v>554</v>
      </c>
      <c r="L129" t="s">
        <v>553</v>
      </c>
      <c r="M129">
        <v>18.399999999999999</v>
      </c>
      <c r="N129" t="s">
        <v>42</v>
      </c>
      <c r="O129">
        <f>M129-17.4</f>
        <v>1</v>
      </c>
      <c r="P129">
        <f>19.4-M129</f>
        <v>1</v>
      </c>
      <c r="Q129" t="s">
        <v>69</v>
      </c>
      <c r="R129">
        <v>6</v>
      </c>
      <c r="S129">
        <v>5</v>
      </c>
      <c r="T129" t="s">
        <v>554</v>
      </c>
      <c r="U129" t="s">
        <v>156</v>
      </c>
      <c r="V129" t="s">
        <v>555</v>
      </c>
      <c r="W129" t="s">
        <v>556</v>
      </c>
      <c r="X129" t="s">
        <v>59</v>
      </c>
      <c r="Y129" t="s">
        <v>83</v>
      </c>
      <c r="Z129" t="s">
        <v>557</v>
      </c>
      <c r="AA129" t="s">
        <v>60</v>
      </c>
      <c r="AB129" t="s">
        <v>37</v>
      </c>
      <c r="AC129" t="s">
        <v>38</v>
      </c>
      <c r="AD129" t="s">
        <v>39</v>
      </c>
      <c r="AE129" t="s">
        <v>45</v>
      </c>
      <c r="AF129">
        <v>96</v>
      </c>
      <c r="AG129" t="s">
        <v>77</v>
      </c>
      <c r="AH129" t="s">
        <v>50</v>
      </c>
      <c r="AI129" t="s">
        <v>46</v>
      </c>
      <c r="AJ129" t="s">
        <v>47</v>
      </c>
      <c r="AK129" t="s">
        <v>61</v>
      </c>
      <c r="AL129">
        <v>23</v>
      </c>
      <c r="AM129" t="s">
        <v>46</v>
      </c>
      <c r="AN129" t="s">
        <v>46</v>
      </c>
      <c r="AO129" t="s">
        <v>558</v>
      </c>
      <c r="AP129" t="s">
        <v>63</v>
      </c>
      <c r="AQ129" t="s">
        <v>46</v>
      </c>
      <c r="AR129" t="s">
        <v>50</v>
      </c>
      <c r="AS129" t="s">
        <v>1633</v>
      </c>
      <c r="AT129" t="s">
        <v>63</v>
      </c>
      <c r="AU129" t="s">
        <v>46</v>
      </c>
      <c r="AV129">
        <v>2014</v>
      </c>
      <c r="AW129" t="s">
        <v>562</v>
      </c>
    </row>
    <row r="130" spans="1:49" x14ac:dyDescent="0.2">
      <c r="A130">
        <v>129</v>
      </c>
      <c r="B130" t="s">
        <v>551</v>
      </c>
      <c r="C130" t="s">
        <v>552</v>
      </c>
      <c r="D130">
        <v>31.6</v>
      </c>
      <c r="E130" t="s">
        <v>42</v>
      </c>
      <c r="F130">
        <f>D130-30.5</f>
        <v>1.1000000000000014</v>
      </c>
      <c r="G130">
        <f>32.5-D130</f>
        <v>0.89999999999999858</v>
      </c>
      <c r="H130" t="s">
        <v>69</v>
      </c>
      <c r="I130">
        <v>6</v>
      </c>
      <c r="J130">
        <v>5</v>
      </c>
      <c r="K130" t="s">
        <v>554</v>
      </c>
      <c r="L130" t="s">
        <v>553</v>
      </c>
      <c r="M130">
        <v>30.4</v>
      </c>
      <c r="N130" t="s">
        <v>42</v>
      </c>
      <c r="O130">
        <f>M130-28.3</f>
        <v>2.0999999999999979</v>
      </c>
      <c r="P130">
        <f>32.2-M130</f>
        <v>1.8000000000000043</v>
      </c>
      <c r="Q130" t="s">
        <v>69</v>
      </c>
      <c r="R130">
        <v>6</v>
      </c>
      <c r="S130">
        <v>5</v>
      </c>
      <c r="T130" t="s">
        <v>554</v>
      </c>
      <c r="U130" t="s">
        <v>156</v>
      </c>
      <c r="V130" t="s">
        <v>559</v>
      </c>
      <c r="W130" t="s">
        <v>560</v>
      </c>
      <c r="X130" t="s">
        <v>59</v>
      </c>
      <c r="Y130" t="s">
        <v>83</v>
      </c>
      <c r="Z130" t="s">
        <v>557</v>
      </c>
      <c r="AA130" t="s">
        <v>60</v>
      </c>
      <c r="AB130" t="s">
        <v>37</v>
      </c>
      <c r="AC130" t="s">
        <v>38</v>
      </c>
      <c r="AD130" t="s">
        <v>39</v>
      </c>
      <c r="AE130" t="s">
        <v>180</v>
      </c>
      <c r="AF130">
        <v>96</v>
      </c>
      <c r="AG130" t="s">
        <v>77</v>
      </c>
      <c r="AH130" t="s">
        <v>50</v>
      </c>
      <c r="AI130" t="s">
        <v>46</v>
      </c>
      <c r="AJ130" t="s">
        <v>47</v>
      </c>
      <c r="AK130" t="s">
        <v>61</v>
      </c>
      <c r="AL130">
        <v>23</v>
      </c>
      <c r="AM130" t="s">
        <v>46</v>
      </c>
      <c r="AN130" t="s">
        <v>46</v>
      </c>
      <c r="AO130" t="s">
        <v>561</v>
      </c>
      <c r="AP130" t="s">
        <v>63</v>
      </c>
      <c r="AQ130" t="s">
        <v>46</v>
      </c>
      <c r="AR130" t="s">
        <v>50</v>
      </c>
      <c r="AS130" t="s">
        <v>1633</v>
      </c>
      <c r="AT130" t="s">
        <v>63</v>
      </c>
      <c r="AU130" t="s">
        <v>46</v>
      </c>
      <c r="AV130">
        <v>2014</v>
      </c>
      <c r="AW130" t="s">
        <v>563</v>
      </c>
    </row>
    <row r="131" spans="1:49" x14ac:dyDescent="0.2">
      <c r="A131">
        <v>130</v>
      </c>
      <c r="B131" t="s">
        <v>564</v>
      </c>
      <c r="C131" t="s">
        <v>565</v>
      </c>
      <c r="D131">
        <v>3.0000000000000001E-3</v>
      </c>
      <c r="E131" t="s">
        <v>68</v>
      </c>
      <c r="F131">
        <f>D131-0.0027</f>
        <v>2.9999999999999992E-4</v>
      </c>
      <c r="G131">
        <f>0.0032-D131</f>
        <v>2.0000000000000009E-4</v>
      </c>
      <c r="H131" t="s">
        <v>69</v>
      </c>
      <c r="I131">
        <v>3</v>
      </c>
      <c r="J131">
        <v>1</v>
      </c>
      <c r="K131" t="s">
        <v>566</v>
      </c>
      <c r="L131" t="s">
        <v>567</v>
      </c>
      <c r="M131">
        <v>2.2000000000000001E-3</v>
      </c>
      <c r="N131" t="s">
        <v>68</v>
      </c>
      <c r="O131">
        <f>M131-0.0018</f>
        <v>4.0000000000000018E-4</v>
      </c>
      <c r="P131">
        <f>0.0026-M131</f>
        <v>3.9999999999999975E-4</v>
      </c>
      <c r="Q131" t="s">
        <v>69</v>
      </c>
      <c r="R131">
        <v>3</v>
      </c>
      <c r="S131">
        <v>1</v>
      </c>
      <c r="T131" t="s">
        <v>566</v>
      </c>
      <c r="U131" t="s">
        <v>568</v>
      </c>
      <c r="V131" t="s">
        <v>569</v>
      </c>
      <c r="W131" t="s">
        <v>570</v>
      </c>
      <c r="X131" t="s">
        <v>571</v>
      </c>
      <c r="Y131" t="s">
        <v>46</v>
      </c>
      <c r="Z131" t="s">
        <v>572</v>
      </c>
      <c r="AA131" t="s">
        <v>426</v>
      </c>
      <c r="AB131" t="s">
        <v>427</v>
      </c>
      <c r="AC131" t="s">
        <v>428</v>
      </c>
      <c r="AD131" t="s">
        <v>39</v>
      </c>
      <c r="AE131" t="s">
        <v>46</v>
      </c>
      <c r="AF131">
        <v>72</v>
      </c>
      <c r="AG131" t="s">
        <v>40</v>
      </c>
      <c r="AH131" t="s">
        <v>50</v>
      </c>
      <c r="AI131" t="s">
        <v>46</v>
      </c>
      <c r="AJ131" t="s">
        <v>47</v>
      </c>
      <c r="AK131" t="s">
        <v>61</v>
      </c>
      <c r="AL131">
        <v>22.5</v>
      </c>
      <c r="AM131" t="s">
        <v>46</v>
      </c>
      <c r="AN131" t="s">
        <v>46</v>
      </c>
      <c r="AO131" t="s">
        <v>46</v>
      </c>
      <c r="AP131" t="s">
        <v>63</v>
      </c>
      <c r="AQ131" t="s">
        <v>46</v>
      </c>
      <c r="AR131" t="s">
        <v>50</v>
      </c>
      <c r="AS131" t="s">
        <v>1631</v>
      </c>
      <c r="AT131" t="s">
        <v>63</v>
      </c>
      <c r="AU131" t="s">
        <v>46</v>
      </c>
      <c r="AV131">
        <v>2022</v>
      </c>
      <c r="AW131" t="s">
        <v>573</v>
      </c>
    </row>
    <row r="132" spans="1:49" x14ac:dyDescent="0.2">
      <c r="A132">
        <v>131</v>
      </c>
      <c r="B132" t="s">
        <v>564</v>
      </c>
      <c r="C132" t="s">
        <v>565</v>
      </c>
      <c r="D132">
        <v>3.0000000000000001E-3</v>
      </c>
      <c r="E132" t="s">
        <v>68</v>
      </c>
      <c r="F132">
        <f>D132-0.0027</f>
        <v>2.9999999999999992E-4</v>
      </c>
      <c r="G132">
        <f>0.0032-D132</f>
        <v>2.0000000000000009E-4</v>
      </c>
      <c r="H132" t="s">
        <v>69</v>
      </c>
      <c r="I132">
        <v>3</v>
      </c>
      <c r="J132">
        <v>1</v>
      </c>
      <c r="K132" t="s">
        <v>566</v>
      </c>
      <c r="L132" t="s">
        <v>574</v>
      </c>
      <c r="M132">
        <v>2E-3</v>
      </c>
      <c r="N132" t="s">
        <v>68</v>
      </c>
      <c r="O132">
        <f>M132-0.0022</f>
        <v>-2.0000000000000009E-4</v>
      </c>
      <c r="P132">
        <f>0.0035-M132</f>
        <v>1.5E-3</v>
      </c>
      <c r="Q132" t="s">
        <v>69</v>
      </c>
      <c r="R132">
        <v>3</v>
      </c>
      <c r="S132">
        <v>1</v>
      </c>
      <c r="T132" t="s">
        <v>566</v>
      </c>
      <c r="U132" t="s">
        <v>568</v>
      </c>
      <c r="V132" t="s">
        <v>569</v>
      </c>
      <c r="W132" t="s">
        <v>575</v>
      </c>
      <c r="X132" t="s">
        <v>571</v>
      </c>
      <c r="Y132" t="s">
        <v>46</v>
      </c>
      <c r="Z132" t="s">
        <v>572</v>
      </c>
      <c r="AA132" t="s">
        <v>426</v>
      </c>
      <c r="AB132" t="s">
        <v>427</v>
      </c>
      <c r="AC132" t="s">
        <v>428</v>
      </c>
      <c r="AD132" t="s">
        <v>39</v>
      </c>
      <c r="AE132" t="s">
        <v>46</v>
      </c>
      <c r="AF132">
        <v>72</v>
      </c>
      <c r="AG132" t="s">
        <v>40</v>
      </c>
      <c r="AH132" t="s">
        <v>50</v>
      </c>
      <c r="AI132" t="s">
        <v>46</v>
      </c>
      <c r="AJ132" t="s">
        <v>47</v>
      </c>
      <c r="AK132" t="s">
        <v>61</v>
      </c>
      <c r="AL132">
        <v>22.5</v>
      </c>
      <c r="AM132" t="s">
        <v>46</v>
      </c>
      <c r="AN132" t="s">
        <v>46</v>
      </c>
      <c r="AO132" t="s">
        <v>46</v>
      </c>
      <c r="AP132" t="s">
        <v>63</v>
      </c>
      <c r="AQ132" t="s">
        <v>46</v>
      </c>
      <c r="AR132" t="s">
        <v>50</v>
      </c>
      <c r="AS132" t="s">
        <v>1631</v>
      </c>
      <c r="AT132" t="s">
        <v>63</v>
      </c>
      <c r="AU132" t="s">
        <v>46</v>
      </c>
      <c r="AV132">
        <v>2022</v>
      </c>
      <c r="AW132" t="s">
        <v>576</v>
      </c>
    </row>
    <row r="133" spans="1:49" x14ac:dyDescent="0.2">
      <c r="A133">
        <v>132</v>
      </c>
      <c r="B133" t="s">
        <v>564</v>
      </c>
      <c r="C133" t="s">
        <v>577</v>
      </c>
      <c r="D133">
        <v>4.5999999999999999E-2</v>
      </c>
      <c r="E133" t="s">
        <v>68</v>
      </c>
      <c r="F133">
        <f>D133-0.035</f>
        <v>1.0999999999999996E-2</v>
      </c>
      <c r="G133">
        <f>0.057-D133</f>
        <v>1.1000000000000003E-2</v>
      </c>
      <c r="H133" t="s">
        <v>69</v>
      </c>
      <c r="I133">
        <v>3</v>
      </c>
      <c r="J133">
        <v>1</v>
      </c>
      <c r="K133" t="s">
        <v>566</v>
      </c>
      <c r="L133" t="s">
        <v>578</v>
      </c>
      <c r="M133">
        <v>5.0999999999999997E-2</v>
      </c>
      <c r="N133" t="s">
        <v>68</v>
      </c>
      <c r="O133">
        <f>M133-0.043</f>
        <v>8.0000000000000002E-3</v>
      </c>
      <c r="P133">
        <f>0.056-M133</f>
        <v>5.0000000000000044E-3</v>
      </c>
      <c r="Q133" t="s">
        <v>69</v>
      </c>
      <c r="R133">
        <v>3</v>
      </c>
      <c r="S133">
        <v>1</v>
      </c>
      <c r="T133" t="s">
        <v>566</v>
      </c>
      <c r="U133" t="s">
        <v>568</v>
      </c>
      <c r="V133" t="s">
        <v>579</v>
      </c>
      <c r="W133" t="s">
        <v>580</v>
      </c>
      <c r="X133" t="s">
        <v>571</v>
      </c>
      <c r="Y133" t="s">
        <v>46</v>
      </c>
      <c r="Z133" t="s">
        <v>572</v>
      </c>
      <c r="AA133" t="s">
        <v>426</v>
      </c>
      <c r="AB133" t="s">
        <v>427</v>
      </c>
      <c r="AC133" t="s">
        <v>428</v>
      </c>
      <c r="AD133" t="s">
        <v>39</v>
      </c>
      <c r="AE133" t="s">
        <v>46</v>
      </c>
      <c r="AF133">
        <v>72</v>
      </c>
      <c r="AG133" t="s">
        <v>40</v>
      </c>
      <c r="AH133" t="s">
        <v>50</v>
      </c>
      <c r="AI133" t="s">
        <v>46</v>
      </c>
      <c r="AJ133" t="s">
        <v>47</v>
      </c>
      <c r="AK133" t="s">
        <v>61</v>
      </c>
      <c r="AL133">
        <v>22.5</v>
      </c>
      <c r="AM133" t="s">
        <v>46</v>
      </c>
      <c r="AN133" t="s">
        <v>46</v>
      </c>
      <c r="AO133" t="s">
        <v>46</v>
      </c>
      <c r="AP133" t="s">
        <v>63</v>
      </c>
      <c r="AQ133" t="s">
        <v>46</v>
      </c>
      <c r="AR133" t="s">
        <v>50</v>
      </c>
      <c r="AS133" t="s">
        <v>1631</v>
      </c>
      <c r="AT133" t="s">
        <v>63</v>
      </c>
      <c r="AU133" t="s">
        <v>46</v>
      </c>
      <c r="AV133">
        <v>2022</v>
      </c>
      <c r="AW133" t="s">
        <v>573</v>
      </c>
    </row>
    <row r="134" spans="1:49" x14ac:dyDescent="0.2">
      <c r="A134">
        <v>133</v>
      </c>
      <c r="B134" t="s">
        <v>564</v>
      </c>
      <c r="C134" t="s">
        <v>577</v>
      </c>
      <c r="D134">
        <v>4.5999999999999999E-2</v>
      </c>
      <c r="E134" t="s">
        <v>68</v>
      </c>
      <c r="F134">
        <f>D134-0.035</f>
        <v>1.0999999999999996E-2</v>
      </c>
      <c r="G134">
        <f>0.057-D134</f>
        <v>1.1000000000000003E-2</v>
      </c>
      <c r="H134" t="s">
        <v>69</v>
      </c>
      <c r="I134">
        <v>3</v>
      </c>
      <c r="J134">
        <v>1</v>
      </c>
      <c r="K134" t="s">
        <v>566</v>
      </c>
      <c r="L134" t="s">
        <v>1639</v>
      </c>
      <c r="M134">
        <v>0.15</v>
      </c>
      <c r="N134" t="s">
        <v>68</v>
      </c>
      <c r="O134">
        <f>M134-0.13</f>
        <v>1.999999999999999E-2</v>
      </c>
      <c r="P134">
        <f>0.17-M134</f>
        <v>2.0000000000000018E-2</v>
      </c>
      <c r="Q134" t="s">
        <v>69</v>
      </c>
      <c r="R134">
        <v>3</v>
      </c>
      <c r="S134">
        <v>1</v>
      </c>
      <c r="T134" t="s">
        <v>566</v>
      </c>
      <c r="U134" t="s">
        <v>568</v>
      </c>
      <c r="V134" t="s">
        <v>579</v>
      </c>
      <c r="W134" t="s">
        <v>581</v>
      </c>
      <c r="X134" t="s">
        <v>571</v>
      </c>
      <c r="Y134" t="s">
        <v>46</v>
      </c>
      <c r="Z134" t="s">
        <v>572</v>
      </c>
      <c r="AA134" t="s">
        <v>426</v>
      </c>
      <c r="AB134" t="s">
        <v>427</v>
      </c>
      <c r="AC134" t="s">
        <v>428</v>
      </c>
      <c r="AD134" t="s">
        <v>39</v>
      </c>
      <c r="AE134" t="s">
        <v>46</v>
      </c>
      <c r="AF134">
        <v>72</v>
      </c>
      <c r="AG134" t="s">
        <v>40</v>
      </c>
      <c r="AH134" t="s">
        <v>50</v>
      </c>
      <c r="AI134" t="s">
        <v>46</v>
      </c>
      <c r="AJ134" t="s">
        <v>47</v>
      </c>
      <c r="AK134" t="s">
        <v>61</v>
      </c>
      <c r="AL134">
        <v>22.5</v>
      </c>
      <c r="AM134" t="s">
        <v>46</v>
      </c>
      <c r="AN134" t="s">
        <v>46</v>
      </c>
      <c r="AO134" t="s">
        <v>46</v>
      </c>
      <c r="AP134" t="s">
        <v>63</v>
      </c>
      <c r="AQ134" t="s">
        <v>46</v>
      </c>
      <c r="AR134" t="s">
        <v>50</v>
      </c>
      <c r="AS134" t="s">
        <v>1630</v>
      </c>
      <c r="AT134" t="s">
        <v>63</v>
      </c>
      <c r="AU134" t="s">
        <v>46</v>
      </c>
      <c r="AV134">
        <v>2022</v>
      </c>
      <c r="AW134" t="s">
        <v>573</v>
      </c>
    </row>
    <row r="135" spans="1:49" x14ac:dyDescent="0.2">
      <c r="A135">
        <v>134</v>
      </c>
      <c r="B135" t="s">
        <v>589</v>
      </c>
      <c r="C135" t="s">
        <v>585</v>
      </c>
      <c r="D135">
        <v>0.9</v>
      </c>
      <c r="E135" t="s">
        <v>42</v>
      </c>
      <c r="F135">
        <f>D135-0.78</f>
        <v>0.12</v>
      </c>
      <c r="G135">
        <f>1.02-D135</f>
        <v>0.12</v>
      </c>
      <c r="H135" t="s">
        <v>69</v>
      </c>
      <c r="I135">
        <v>6</v>
      </c>
      <c r="J135">
        <v>5</v>
      </c>
      <c r="K135" t="s">
        <v>586</v>
      </c>
      <c r="L135" t="s">
        <v>587</v>
      </c>
      <c r="M135" t="s">
        <v>588</v>
      </c>
      <c r="N135" t="s">
        <v>42</v>
      </c>
      <c r="O135" t="s">
        <v>46</v>
      </c>
      <c r="P135" t="s">
        <v>46</v>
      </c>
      <c r="Q135" t="s">
        <v>46</v>
      </c>
      <c r="R135">
        <v>6</v>
      </c>
      <c r="S135">
        <v>5</v>
      </c>
      <c r="T135" t="s">
        <v>586</v>
      </c>
      <c r="U135" t="s">
        <v>156</v>
      </c>
      <c r="V135" t="s">
        <v>590</v>
      </c>
      <c r="W135" t="s">
        <v>591</v>
      </c>
      <c r="X135" t="s">
        <v>366</v>
      </c>
      <c r="Y135" t="s">
        <v>367</v>
      </c>
      <c r="Z135" t="s">
        <v>582</v>
      </c>
      <c r="AA135" t="s">
        <v>36</v>
      </c>
      <c r="AB135" t="s">
        <v>37</v>
      </c>
      <c r="AC135" t="s">
        <v>38</v>
      </c>
      <c r="AD135" t="s">
        <v>39</v>
      </c>
      <c r="AE135" t="s">
        <v>75</v>
      </c>
      <c r="AF135">
        <v>6</v>
      </c>
      <c r="AG135" t="s">
        <v>583</v>
      </c>
      <c r="AH135" t="s">
        <v>50</v>
      </c>
      <c r="AI135" t="s">
        <v>46</v>
      </c>
      <c r="AJ135" t="s">
        <v>47</v>
      </c>
      <c r="AK135" t="s">
        <v>61</v>
      </c>
      <c r="AL135">
        <v>21</v>
      </c>
      <c r="AM135">
        <v>8.1</v>
      </c>
      <c r="AN135" t="s">
        <v>152</v>
      </c>
      <c r="AO135">
        <f t="shared" ref="AO135:AO144" si="0">45*24</f>
        <v>1080</v>
      </c>
      <c r="AP135" t="s">
        <v>63</v>
      </c>
      <c r="AQ135">
        <v>132</v>
      </c>
      <c r="AR135" t="s">
        <v>63</v>
      </c>
      <c r="AS135" t="s">
        <v>1630</v>
      </c>
      <c r="AT135" t="s">
        <v>63</v>
      </c>
      <c r="AU135" t="s">
        <v>46</v>
      </c>
      <c r="AV135">
        <v>2014</v>
      </c>
      <c r="AW135" t="s">
        <v>584</v>
      </c>
    </row>
    <row r="136" spans="1:49" x14ac:dyDescent="0.2">
      <c r="A136">
        <v>135</v>
      </c>
      <c r="B136" t="s">
        <v>589</v>
      </c>
      <c r="C136" t="s">
        <v>585</v>
      </c>
      <c r="D136">
        <v>0.9</v>
      </c>
      <c r="E136" t="s">
        <v>42</v>
      </c>
      <c r="F136">
        <f>D136-0.78</f>
        <v>0.12</v>
      </c>
      <c r="G136">
        <f>1.02-D136</f>
        <v>0.12</v>
      </c>
      <c r="H136" t="s">
        <v>69</v>
      </c>
      <c r="I136">
        <v>6</v>
      </c>
      <c r="J136">
        <v>5</v>
      </c>
      <c r="K136" t="s">
        <v>586</v>
      </c>
      <c r="L136" t="s">
        <v>592</v>
      </c>
      <c r="M136">
        <v>0.67</v>
      </c>
      <c r="N136" t="s">
        <v>42</v>
      </c>
      <c r="O136">
        <f>M136-0.61</f>
        <v>6.0000000000000053E-2</v>
      </c>
      <c r="P136">
        <f>0.74-M136</f>
        <v>6.9999999999999951E-2</v>
      </c>
      <c r="Q136" t="s">
        <v>69</v>
      </c>
      <c r="R136">
        <v>6</v>
      </c>
      <c r="S136">
        <v>5</v>
      </c>
      <c r="T136" t="s">
        <v>586</v>
      </c>
      <c r="U136" t="s">
        <v>156</v>
      </c>
      <c r="V136" t="s">
        <v>590</v>
      </c>
      <c r="W136" t="s">
        <v>593</v>
      </c>
      <c r="X136" t="s">
        <v>366</v>
      </c>
      <c r="Y136" t="s">
        <v>367</v>
      </c>
      <c r="Z136" t="s">
        <v>582</v>
      </c>
      <c r="AA136" t="s">
        <v>36</v>
      </c>
      <c r="AB136" t="s">
        <v>37</v>
      </c>
      <c r="AC136" t="s">
        <v>38</v>
      </c>
      <c r="AD136" t="s">
        <v>39</v>
      </c>
      <c r="AE136" t="s">
        <v>75</v>
      </c>
      <c r="AF136">
        <v>6</v>
      </c>
      <c r="AG136" t="s">
        <v>583</v>
      </c>
      <c r="AH136" t="s">
        <v>50</v>
      </c>
      <c r="AI136" t="s">
        <v>46</v>
      </c>
      <c r="AJ136" t="s">
        <v>47</v>
      </c>
      <c r="AK136" t="s">
        <v>61</v>
      </c>
      <c r="AL136">
        <v>21</v>
      </c>
      <c r="AM136">
        <v>8.1</v>
      </c>
      <c r="AN136" t="s">
        <v>152</v>
      </c>
      <c r="AO136">
        <f t="shared" si="0"/>
        <v>1080</v>
      </c>
      <c r="AP136" t="s">
        <v>63</v>
      </c>
      <c r="AQ136">
        <v>132</v>
      </c>
      <c r="AR136" t="s">
        <v>50</v>
      </c>
      <c r="AS136" t="s">
        <v>1630</v>
      </c>
      <c r="AT136" t="s">
        <v>63</v>
      </c>
      <c r="AU136" t="s">
        <v>46</v>
      </c>
      <c r="AV136">
        <v>2014</v>
      </c>
      <c r="AW136" t="s">
        <v>584</v>
      </c>
    </row>
    <row r="137" spans="1:49" x14ac:dyDescent="0.2">
      <c r="A137">
        <v>136</v>
      </c>
      <c r="B137" t="s">
        <v>589</v>
      </c>
      <c r="C137" t="s">
        <v>585</v>
      </c>
      <c r="D137">
        <v>0.6</v>
      </c>
      <c r="E137" t="s">
        <v>42</v>
      </c>
      <c r="F137">
        <f>D137-0.55</f>
        <v>4.9999999999999933E-2</v>
      </c>
      <c r="G137">
        <f>0.65-D137</f>
        <v>5.0000000000000044E-2</v>
      </c>
      <c r="H137" t="s">
        <v>69</v>
      </c>
      <c r="I137">
        <v>6</v>
      </c>
      <c r="J137">
        <v>5</v>
      </c>
      <c r="K137" t="s">
        <v>586</v>
      </c>
      <c r="L137" t="s">
        <v>587</v>
      </c>
      <c r="M137">
        <v>1.04</v>
      </c>
      <c r="N137" t="s">
        <v>42</v>
      </c>
      <c r="O137">
        <f>M137-0.9</f>
        <v>0.14000000000000001</v>
      </c>
      <c r="P137">
        <f>1.2-M137</f>
        <v>0.15999999999999992</v>
      </c>
      <c r="Q137" t="s">
        <v>69</v>
      </c>
      <c r="R137">
        <v>6</v>
      </c>
      <c r="S137">
        <v>5</v>
      </c>
      <c r="T137" t="s">
        <v>586</v>
      </c>
      <c r="U137" t="s">
        <v>156</v>
      </c>
      <c r="V137" t="s">
        <v>594</v>
      </c>
      <c r="W137" t="s">
        <v>591</v>
      </c>
      <c r="X137" t="s">
        <v>366</v>
      </c>
      <c r="Y137" t="s">
        <v>367</v>
      </c>
      <c r="Z137" t="s">
        <v>582</v>
      </c>
      <c r="AA137" t="s">
        <v>36</v>
      </c>
      <c r="AB137" t="s">
        <v>37</v>
      </c>
      <c r="AC137" t="s">
        <v>38</v>
      </c>
      <c r="AD137" t="s">
        <v>39</v>
      </c>
      <c r="AE137" t="s">
        <v>75</v>
      </c>
      <c r="AF137">
        <v>24</v>
      </c>
      <c r="AG137" t="s">
        <v>583</v>
      </c>
      <c r="AH137" t="s">
        <v>50</v>
      </c>
      <c r="AI137" t="s">
        <v>46</v>
      </c>
      <c r="AJ137" t="s">
        <v>47</v>
      </c>
      <c r="AK137" t="s">
        <v>61</v>
      </c>
      <c r="AL137">
        <v>21</v>
      </c>
      <c r="AM137">
        <v>8.1</v>
      </c>
      <c r="AN137" t="s">
        <v>152</v>
      </c>
      <c r="AO137">
        <f t="shared" si="0"/>
        <v>1080</v>
      </c>
      <c r="AP137" t="s">
        <v>63</v>
      </c>
      <c r="AQ137">
        <v>132</v>
      </c>
      <c r="AR137" t="s">
        <v>50</v>
      </c>
      <c r="AS137" t="s">
        <v>1630</v>
      </c>
      <c r="AT137" t="s">
        <v>63</v>
      </c>
      <c r="AU137" t="s">
        <v>46</v>
      </c>
      <c r="AV137">
        <v>2014</v>
      </c>
      <c r="AW137" t="s">
        <v>584</v>
      </c>
    </row>
    <row r="138" spans="1:49" x14ac:dyDescent="0.2">
      <c r="A138">
        <v>137</v>
      </c>
      <c r="B138" t="s">
        <v>589</v>
      </c>
      <c r="C138" t="s">
        <v>585</v>
      </c>
      <c r="D138">
        <v>0.6</v>
      </c>
      <c r="E138" t="s">
        <v>42</v>
      </c>
      <c r="F138">
        <f>D138-0.55</f>
        <v>4.9999999999999933E-2</v>
      </c>
      <c r="G138">
        <f>0.65-D138</f>
        <v>5.0000000000000044E-2</v>
      </c>
      <c r="H138" t="s">
        <v>69</v>
      </c>
      <c r="I138">
        <v>6</v>
      </c>
      <c r="J138">
        <v>5</v>
      </c>
      <c r="K138" t="s">
        <v>586</v>
      </c>
      <c r="L138" t="s">
        <v>592</v>
      </c>
      <c r="M138">
        <v>0.48</v>
      </c>
      <c r="N138" t="s">
        <v>42</v>
      </c>
      <c r="O138">
        <f>M138-0.43</f>
        <v>4.9999999999999989E-2</v>
      </c>
      <c r="P138">
        <f>0.53-M138</f>
        <v>5.0000000000000044E-2</v>
      </c>
      <c r="Q138" t="s">
        <v>69</v>
      </c>
      <c r="R138">
        <v>6</v>
      </c>
      <c r="S138">
        <v>5</v>
      </c>
      <c r="T138" t="s">
        <v>586</v>
      </c>
      <c r="U138" t="s">
        <v>156</v>
      </c>
      <c r="V138" t="s">
        <v>594</v>
      </c>
      <c r="W138" t="s">
        <v>593</v>
      </c>
      <c r="X138" t="s">
        <v>366</v>
      </c>
      <c r="Y138" t="s">
        <v>367</v>
      </c>
      <c r="Z138" t="s">
        <v>582</v>
      </c>
      <c r="AA138" t="s">
        <v>36</v>
      </c>
      <c r="AB138" t="s">
        <v>37</v>
      </c>
      <c r="AC138" t="s">
        <v>38</v>
      </c>
      <c r="AD138" t="s">
        <v>39</v>
      </c>
      <c r="AE138" t="s">
        <v>75</v>
      </c>
      <c r="AF138">
        <v>24</v>
      </c>
      <c r="AG138" t="s">
        <v>583</v>
      </c>
      <c r="AH138" t="s">
        <v>50</v>
      </c>
      <c r="AI138" t="s">
        <v>46</v>
      </c>
      <c r="AJ138" t="s">
        <v>47</v>
      </c>
      <c r="AK138" t="s">
        <v>61</v>
      </c>
      <c r="AL138">
        <v>21</v>
      </c>
      <c r="AM138">
        <v>8.1</v>
      </c>
      <c r="AN138" t="s">
        <v>152</v>
      </c>
      <c r="AO138">
        <f t="shared" si="0"/>
        <v>1080</v>
      </c>
      <c r="AP138" t="s">
        <v>63</v>
      </c>
      <c r="AQ138">
        <v>132</v>
      </c>
      <c r="AR138" t="s">
        <v>50</v>
      </c>
      <c r="AS138" t="s">
        <v>1630</v>
      </c>
      <c r="AT138" t="s">
        <v>63</v>
      </c>
      <c r="AU138" t="s">
        <v>46</v>
      </c>
      <c r="AV138">
        <v>2014</v>
      </c>
      <c r="AW138" t="s">
        <v>584</v>
      </c>
    </row>
    <row r="139" spans="1:49" x14ac:dyDescent="0.2">
      <c r="A139">
        <v>138</v>
      </c>
      <c r="B139" t="s">
        <v>589</v>
      </c>
      <c r="C139" t="s">
        <v>585</v>
      </c>
      <c r="D139">
        <v>0.44</v>
      </c>
      <c r="E139" t="s">
        <v>42</v>
      </c>
      <c r="F139">
        <f>D139-0.39</f>
        <v>4.9999999999999989E-2</v>
      </c>
      <c r="G139">
        <f>0.51-D139</f>
        <v>7.0000000000000007E-2</v>
      </c>
      <c r="H139" t="s">
        <v>69</v>
      </c>
      <c r="I139">
        <v>6</v>
      </c>
      <c r="J139">
        <v>5</v>
      </c>
      <c r="K139" t="s">
        <v>586</v>
      </c>
      <c r="L139" t="s">
        <v>587</v>
      </c>
      <c r="M139">
        <v>0.9</v>
      </c>
      <c r="N139" t="s">
        <v>42</v>
      </c>
      <c r="O139">
        <f>M139-0.77</f>
        <v>0.13</v>
      </c>
      <c r="P139">
        <f>1.04-M139</f>
        <v>0.14000000000000001</v>
      </c>
      <c r="Q139" t="s">
        <v>69</v>
      </c>
      <c r="R139">
        <v>6</v>
      </c>
      <c r="S139">
        <v>5</v>
      </c>
      <c r="T139" t="s">
        <v>586</v>
      </c>
      <c r="U139" t="s">
        <v>156</v>
      </c>
      <c r="V139" t="s">
        <v>595</v>
      </c>
      <c r="W139" t="s">
        <v>591</v>
      </c>
      <c r="X139" t="s">
        <v>366</v>
      </c>
      <c r="Y139" t="s">
        <v>367</v>
      </c>
      <c r="Z139" t="s">
        <v>582</v>
      </c>
      <c r="AA139" t="s">
        <v>36</v>
      </c>
      <c r="AB139" t="s">
        <v>37</v>
      </c>
      <c r="AC139" t="s">
        <v>38</v>
      </c>
      <c r="AD139" t="s">
        <v>39</v>
      </c>
      <c r="AE139" t="s">
        <v>75</v>
      </c>
      <c r="AF139">
        <v>48</v>
      </c>
      <c r="AG139" t="s">
        <v>583</v>
      </c>
      <c r="AH139" t="s">
        <v>50</v>
      </c>
      <c r="AI139" t="s">
        <v>46</v>
      </c>
      <c r="AJ139" t="s">
        <v>47</v>
      </c>
      <c r="AK139" t="s">
        <v>61</v>
      </c>
      <c r="AL139">
        <v>21</v>
      </c>
      <c r="AM139">
        <v>8.1</v>
      </c>
      <c r="AN139" t="s">
        <v>152</v>
      </c>
      <c r="AO139">
        <f t="shared" si="0"/>
        <v>1080</v>
      </c>
      <c r="AP139" t="s">
        <v>63</v>
      </c>
      <c r="AQ139">
        <v>132</v>
      </c>
      <c r="AR139" t="s">
        <v>50</v>
      </c>
      <c r="AS139" t="s">
        <v>1630</v>
      </c>
      <c r="AT139" t="s">
        <v>63</v>
      </c>
      <c r="AU139" t="s">
        <v>46</v>
      </c>
      <c r="AV139">
        <v>2014</v>
      </c>
      <c r="AW139" t="s">
        <v>584</v>
      </c>
    </row>
    <row r="140" spans="1:49" x14ac:dyDescent="0.2">
      <c r="A140">
        <v>139</v>
      </c>
      <c r="B140" t="s">
        <v>589</v>
      </c>
      <c r="C140" t="s">
        <v>585</v>
      </c>
      <c r="D140">
        <v>0.44</v>
      </c>
      <c r="E140" t="s">
        <v>42</v>
      </c>
      <c r="F140">
        <f>D140-0.39</f>
        <v>4.9999999999999989E-2</v>
      </c>
      <c r="G140">
        <f>0.51-D140</f>
        <v>7.0000000000000007E-2</v>
      </c>
      <c r="H140" t="s">
        <v>69</v>
      </c>
      <c r="I140">
        <v>6</v>
      </c>
      <c r="J140">
        <v>5</v>
      </c>
      <c r="K140" t="s">
        <v>586</v>
      </c>
      <c r="L140" t="s">
        <v>592</v>
      </c>
      <c r="M140">
        <v>0.41</v>
      </c>
      <c r="N140" t="s">
        <v>42</v>
      </c>
      <c r="O140">
        <f>M140-0.36</f>
        <v>4.9999999999999989E-2</v>
      </c>
      <c r="P140">
        <f>0.46-M140</f>
        <v>5.0000000000000044E-2</v>
      </c>
      <c r="Q140" t="s">
        <v>69</v>
      </c>
      <c r="R140">
        <v>6</v>
      </c>
      <c r="S140">
        <v>5</v>
      </c>
      <c r="T140" t="s">
        <v>586</v>
      </c>
      <c r="U140" t="s">
        <v>156</v>
      </c>
      <c r="V140" t="s">
        <v>595</v>
      </c>
      <c r="W140" t="s">
        <v>593</v>
      </c>
      <c r="X140" t="s">
        <v>366</v>
      </c>
      <c r="Y140" t="s">
        <v>367</v>
      </c>
      <c r="Z140" t="s">
        <v>582</v>
      </c>
      <c r="AA140" t="s">
        <v>36</v>
      </c>
      <c r="AB140" t="s">
        <v>37</v>
      </c>
      <c r="AC140" t="s">
        <v>38</v>
      </c>
      <c r="AD140" t="s">
        <v>39</v>
      </c>
      <c r="AE140" t="s">
        <v>75</v>
      </c>
      <c r="AF140">
        <v>48</v>
      </c>
      <c r="AG140" t="s">
        <v>583</v>
      </c>
      <c r="AH140" t="s">
        <v>50</v>
      </c>
      <c r="AI140" t="s">
        <v>46</v>
      </c>
      <c r="AJ140" t="s">
        <v>47</v>
      </c>
      <c r="AK140" t="s">
        <v>61</v>
      </c>
      <c r="AL140">
        <v>21</v>
      </c>
      <c r="AM140">
        <v>8.1</v>
      </c>
      <c r="AN140" t="s">
        <v>152</v>
      </c>
      <c r="AO140">
        <f t="shared" si="0"/>
        <v>1080</v>
      </c>
      <c r="AP140" t="s">
        <v>63</v>
      </c>
      <c r="AQ140">
        <v>132</v>
      </c>
      <c r="AR140" t="s">
        <v>50</v>
      </c>
      <c r="AS140" t="s">
        <v>1630</v>
      </c>
      <c r="AT140" t="s">
        <v>63</v>
      </c>
      <c r="AU140" t="s">
        <v>46</v>
      </c>
      <c r="AV140">
        <v>2014</v>
      </c>
      <c r="AW140" t="s">
        <v>584</v>
      </c>
    </row>
    <row r="141" spans="1:49" x14ac:dyDescent="0.2">
      <c r="A141">
        <v>140</v>
      </c>
      <c r="B141" t="s">
        <v>589</v>
      </c>
      <c r="C141" t="s">
        <v>585</v>
      </c>
      <c r="D141">
        <v>0.34</v>
      </c>
      <c r="E141" t="s">
        <v>42</v>
      </c>
      <c r="F141">
        <f>D141-0.29</f>
        <v>5.0000000000000044E-2</v>
      </c>
      <c r="G141">
        <f>0.39-D141</f>
        <v>4.9999999999999989E-2</v>
      </c>
      <c r="H141" t="s">
        <v>69</v>
      </c>
      <c r="I141">
        <v>6</v>
      </c>
      <c r="J141">
        <v>5</v>
      </c>
      <c r="K141" t="s">
        <v>586</v>
      </c>
      <c r="L141" t="s">
        <v>587</v>
      </c>
      <c r="M141">
        <v>0.81</v>
      </c>
      <c r="N141" t="s">
        <v>42</v>
      </c>
      <c r="O141">
        <f>M141-0.69</f>
        <v>0.12000000000000011</v>
      </c>
      <c r="P141">
        <f>0.94-M141</f>
        <v>0.12999999999999989</v>
      </c>
      <c r="Q141" t="s">
        <v>69</v>
      </c>
      <c r="R141">
        <v>6</v>
      </c>
      <c r="S141">
        <v>5</v>
      </c>
      <c r="T141" t="s">
        <v>586</v>
      </c>
      <c r="U141" t="s">
        <v>156</v>
      </c>
      <c r="V141" t="s">
        <v>596</v>
      </c>
      <c r="W141" t="s">
        <v>591</v>
      </c>
      <c r="X141" t="s">
        <v>366</v>
      </c>
      <c r="Y141" t="s">
        <v>367</v>
      </c>
      <c r="Z141" t="s">
        <v>582</v>
      </c>
      <c r="AA141" t="s">
        <v>36</v>
      </c>
      <c r="AB141" t="s">
        <v>37</v>
      </c>
      <c r="AC141" t="s">
        <v>38</v>
      </c>
      <c r="AD141" t="s">
        <v>39</v>
      </c>
      <c r="AE141" t="s">
        <v>75</v>
      </c>
      <c r="AF141">
        <v>72</v>
      </c>
      <c r="AG141" t="s">
        <v>583</v>
      </c>
      <c r="AH141" t="s">
        <v>50</v>
      </c>
      <c r="AI141" t="s">
        <v>46</v>
      </c>
      <c r="AJ141" t="s">
        <v>47</v>
      </c>
      <c r="AK141" t="s">
        <v>61</v>
      </c>
      <c r="AL141">
        <v>21</v>
      </c>
      <c r="AM141">
        <v>8.1</v>
      </c>
      <c r="AN141" t="s">
        <v>152</v>
      </c>
      <c r="AO141">
        <f t="shared" si="0"/>
        <v>1080</v>
      </c>
      <c r="AP141" t="s">
        <v>63</v>
      </c>
      <c r="AQ141">
        <v>132</v>
      </c>
      <c r="AR141" t="s">
        <v>50</v>
      </c>
      <c r="AS141" t="s">
        <v>1630</v>
      </c>
      <c r="AT141" t="s">
        <v>63</v>
      </c>
      <c r="AU141" t="s">
        <v>46</v>
      </c>
      <c r="AV141">
        <v>2014</v>
      </c>
      <c r="AW141" t="s">
        <v>584</v>
      </c>
    </row>
    <row r="142" spans="1:49" x14ac:dyDescent="0.2">
      <c r="A142">
        <v>141</v>
      </c>
      <c r="B142" t="s">
        <v>589</v>
      </c>
      <c r="C142" t="s">
        <v>585</v>
      </c>
      <c r="D142">
        <v>0.34</v>
      </c>
      <c r="E142" t="s">
        <v>42</v>
      </c>
      <c r="F142">
        <f>D142-0.29</f>
        <v>5.0000000000000044E-2</v>
      </c>
      <c r="G142">
        <f>0.39-D142</f>
        <v>4.9999999999999989E-2</v>
      </c>
      <c r="H142" t="s">
        <v>69</v>
      </c>
      <c r="I142">
        <v>6</v>
      </c>
      <c r="J142">
        <v>5</v>
      </c>
      <c r="K142" t="s">
        <v>586</v>
      </c>
      <c r="L142" t="s">
        <v>592</v>
      </c>
      <c r="M142">
        <v>0.31</v>
      </c>
      <c r="N142" t="s">
        <v>42</v>
      </c>
      <c r="O142">
        <f>M142-0.27</f>
        <v>3.999999999999998E-2</v>
      </c>
      <c r="P142">
        <f>0.37-M142</f>
        <v>0.06</v>
      </c>
      <c r="Q142" t="s">
        <v>69</v>
      </c>
      <c r="R142">
        <v>6</v>
      </c>
      <c r="S142">
        <v>5</v>
      </c>
      <c r="T142" t="s">
        <v>586</v>
      </c>
      <c r="U142" t="s">
        <v>156</v>
      </c>
      <c r="V142" t="s">
        <v>596</v>
      </c>
      <c r="W142" t="s">
        <v>593</v>
      </c>
      <c r="X142" t="s">
        <v>366</v>
      </c>
      <c r="Y142" t="s">
        <v>367</v>
      </c>
      <c r="Z142" t="s">
        <v>582</v>
      </c>
      <c r="AA142" t="s">
        <v>36</v>
      </c>
      <c r="AB142" t="s">
        <v>37</v>
      </c>
      <c r="AC142" t="s">
        <v>38</v>
      </c>
      <c r="AD142" t="s">
        <v>39</v>
      </c>
      <c r="AE142" t="s">
        <v>75</v>
      </c>
      <c r="AF142">
        <v>72</v>
      </c>
      <c r="AG142" t="s">
        <v>583</v>
      </c>
      <c r="AH142" t="s">
        <v>50</v>
      </c>
      <c r="AI142" t="s">
        <v>46</v>
      </c>
      <c r="AJ142" t="s">
        <v>47</v>
      </c>
      <c r="AK142" t="s">
        <v>61</v>
      </c>
      <c r="AL142">
        <v>21</v>
      </c>
      <c r="AM142">
        <v>8.1</v>
      </c>
      <c r="AN142" t="s">
        <v>152</v>
      </c>
      <c r="AO142">
        <f t="shared" si="0"/>
        <v>1080</v>
      </c>
      <c r="AP142" t="s">
        <v>63</v>
      </c>
      <c r="AQ142">
        <v>132</v>
      </c>
      <c r="AR142" t="s">
        <v>50</v>
      </c>
      <c r="AS142" t="s">
        <v>1630</v>
      </c>
      <c r="AT142" t="s">
        <v>63</v>
      </c>
      <c r="AU142" t="s">
        <v>46</v>
      </c>
      <c r="AV142">
        <v>2014</v>
      </c>
      <c r="AW142" t="s">
        <v>584</v>
      </c>
    </row>
    <row r="143" spans="1:49" x14ac:dyDescent="0.2">
      <c r="A143">
        <v>142</v>
      </c>
      <c r="B143" t="s">
        <v>589</v>
      </c>
      <c r="C143" t="s">
        <v>585</v>
      </c>
      <c r="D143">
        <v>0.28000000000000003</v>
      </c>
      <c r="E143" t="s">
        <v>42</v>
      </c>
      <c r="F143">
        <f>D143-0.25</f>
        <v>3.0000000000000027E-2</v>
      </c>
      <c r="G143">
        <f>0.33-D143</f>
        <v>4.9999999999999989E-2</v>
      </c>
      <c r="H143" t="s">
        <v>69</v>
      </c>
      <c r="I143">
        <v>6</v>
      </c>
      <c r="J143">
        <v>5</v>
      </c>
      <c r="K143" t="s">
        <v>586</v>
      </c>
      <c r="L143" t="s">
        <v>587</v>
      </c>
      <c r="M143">
        <v>0.69</v>
      </c>
      <c r="N143" t="s">
        <v>42</v>
      </c>
      <c r="O143">
        <f>M143-0.59</f>
        <v>9.9999999999999978E-2</v>
      </c>
      <c r="P143">
        <f>0.81-M143</f>
        <v>0.12000000000000011</v>
      </c>
      <c r="Q143" t="s">
        <v>69</v>
      </c>
      <c r="R143">
        <v>6</v>
      </c>
      <c r="S143">
        <v>5</v>
      </c>
      <c r="T143" t="s">
        <v>586</v>
      </c>
      <c r="U143" t="s">
        <v>156</v>
      </c>
      <c r="V143" t="s">
        <v>597</v>
      </c>
      <c r="W143" t="s">
        <v>591</v>
      </c>
      <c r="X143" t="s">
        <v>366</v>
      </c>
      <c r="Y143" t="s">
        <v>367</v>
      </c>
      <c r="Z143" t="s">
        <v>582</v>
      </c>
      <c r="AA143" t="s">
        <v>36</v>
      </c>
      <c r="AB143" t="s">
        <v>37</v>
      </c>
      <c r="AC143" t="s">
        <v>38</v>
      </c>
      <c r="AD143" t="s">
        <v>39</v>
      </c>
      <c r="AE143" t="s">
        <v>75</v>
      </c>
      <c r="AF143">
        <v>96</v>
      </c>
      <c r="AG143" t="s">
        <v>583</v>
      </c>
      <c r="AH143" t="s">
        <v>50</v>
      </c>
      <c r="AI143" t="s">
        <v>46</v>
      </c>
      <c r="AJ143" t="s">
        <v>47</v>
      </c>
      <c r="AK143" t="s">
        <v>61</v>
      </c>
      <c r="AL143">
        <v>21</v>
      </c>
      <c r="AM143">
        <v>8.1</v>
      </c>
      <c r="AN143" t="s">
        <v>152</v>
      </c>
      <c r="AO143">
        <f t="shared" si="0"/>
        <v>1080</v>
      </c>
      <c r="AP143" t="s">
        <v>63</v>
      </c>
      <c r="AQ143">
        <v>132</v>
      </c>
      <c r="AR143" t="s">
        <v>50</v>
      </c>
      <c r="AS143" t="s">
        <v>1630</v>
      </c>
      <c r="AT143" t="s">
        <v>63</v>
      </c>
      <c r="AU143" t="s">
        <v>46</v>
      </c>
      <c r="AV143">
        <v>2014</v>
      </c>
      <c r="AW143" t="s">
        <v>584</v>
      </c>
    </row>
    <row r="144" spans="1:49" x14ac:dyDescent="0.2">
      <c r="A144">
        <v>143</v>
      </c>
      <c r="B144" t="s">
        <v>589</v>
      </c>
      <c r="C144" t="s">
        <v>585</v>
      </c>
      <c r="D144">
        <v>0.28000000000000003</v>
      </c>
      <c r="E144" t="s">
        <v>42</v>
      </c>
      <c r="F144">
        <f>D144-0.25</f>
        <v>3.0000000000000027E-2</v>
      </c>
      <c r="G144">
        <f>0.33-D144</f>
        <v>4.9999999999999989E-2</v>
      </c>
      <c r="H144" t="s">
        <v>69</v>
      </c>
      <c r="I144">
        <v>6</v>
      </c>
      <c r="J144">
        <v>5</v>
      </c>
      <c r="K144" t="s">
        <v>586</v>
      </c>
      <c r="L144" t="s">
        <v>592</v>
      </c>
      <c r="M144">
        <v>0.24</v>
      </c>
      <c r="N144" t="s">
        <v>42</v>
      </c>
      <c r="O144">
        <f>M144-0.2</f>
        <v>3.999999999999998E-2</v>
      </c>
      <c r="P144">
        <f>0.28-M144</f>
        <v>4.0000000000000036E-2</v>
      </c>
      <c r="Q144" t="s">
        <v>69</v>
      </c>
      <c r="R144">
        <v>6</v>
      </c>
      <c r="S144">
        <v>5</v>
      </c>
      <c r="T144" t="s">
        <v>586</v>
      </c>
      <c r="U144" t="s">
        <v>156</v>
      </c>
      <c r="V144" t="s">
        <v>597</v>
      </c>
      <c r="W144" t="s">
        <v>593</v>
      </c>
      <c r="X144" t="s">
        <v>366</v>
      </c>
      <c r="Y144" t="s">
        <v>367</v>
      </c>
      <c r="Z144" t="s">
        <v>582</v>
      </c>
      <c r="AA144" t="s">
        <v>36</v>
      </c>
      <c r="AB144" t="s">
        <v>37</v>
      </c>
      <c r="AC144" t="s">
        <v>38</v>
      </c>
      <c r="AD144" t="s">
        <v>39</v>
      </c>
      <c r="AE144" t="s">
        <v>75</v>
      </c>
      <c r="AF144">
        <v>96</v>
      </c>
      <c r="AG144" t="s">
        <v>583</v>
      </c>
      <c r="AH144" t="s">
        <v>50</v>
      </c>
      <c r="AI144" t="s">
        <v>46</v>
      </c>
      <c r="AJ144" t="s">
        <v>47</v>
      </c>
      <c r="AK144" t="s">
        <v>61</v>
      </c>
      <c r="AL144">
        <v>21</v>
      </c>
      <c r="AM144">
        <v>8.1</v>
      </c>
      <c r="AN144" t="s">
        <v>152</v>
      </c>
      <c r="AO144">
        <f t="shared" si="0"/>
        <v>1080</v>
      </c>
      <c r="AP144" t="s">
        <v>63</v>
      </c>
      <c r="AQ144">
        <v>132</v>
      </c>
      <c r="AR144" t="s">
        <v>50</v>
      </c>
      <c r="AS144" t="s">
        <v>1630</v>
      </c>
      <c r="AT144" t="s">
        <v>63</v>
      </c>
      <c r="AU144" t="s">
        <v>46</v>
      </c>
      <c r="AV144">
        <v>2014</v>
      </c>
      <c r="AW144" t="s">
        <v>584</v>
      </c>
    </row>
    <row r="145" spans="1:49" x14ac:dyDescent="0.2">
      <c r="A145">
        <v>144</v>
      </c>
      <c r="B145" t="s">
        <v>589</v>
      </c>
      <c r="C145" t="s">
        <v>585</v>
      </c>
      <c r="D145" t="s">
        <v>599</v>
      </c>
      <c r="E145" t="s">
        <v>42</v>
      </c>
      <c r="F145" t="s">
        <v>46</v>
      </c>
      <c r="G145" t="s">
        <v>46</v>
      </c>
      <c r="H145" t="s">
        <v>46</v>
      </c>
      <c r="I145">
        <v>6</v>
      </c>
      <c r="J145">
        <v>5</v>
      </c>
      <c r="K145" t="s">
        <v>586</v>
      </c>
      <c r="L145" t="s">
        <v>587</v>
      </c>
      <c r="M145">
        <v>0.84</v>
      </c>
      <c r="N145" t="s">
        <v>42</v>
      </c>
      <c r="O145">
        <f>M145-0.77</f>
        <v>6.9999999999999951E-2</v>
      </c>
      <c r="P145">
        <f>0.92-M145</f>
        <v>8.0000000000000071E-2</v>
      </c>
      <c r="Q145" t="s">
        <v>69</v>
      </c>
      <c r="R145">
        <v>6</v>
      </c>
      <c r="S145">
        <v>5</v>
      </c>
      <c r="T145" t="s">
        <v>586</v>
      </c>
      <c r="U145" t="s">
        <v>156</v>
      </c>
      <c r="V145" t="s">
        <v>600</v>
      </c>
      <c r="W145" t="s">
        <v>601</v>
      </c>
      <c r="X145" t="s">
        <v>602</v>
      </c>
      <c r="Y145" t="s">
        <v>603</v>
      </c>
      <c r="Z145" t="s">
        <v>605</v>
      </c>
      <c r="AA145" t="s">
        <v>36</v>
      </c>
      <c r="AB145" t="s">
        <v>37</v>
      </c>
      <c r="AC145" t="s">
        <v>38</v>
      </c>
      <c r="AD145" t="s">
        <v>39</v>
      </c>
      <c r="AE145" t="s">
        <v>604</v>
      </c>
      <c r="AF145">
        <v>8</v>
      </c>
      <c r="AG145" t="s">
        <v>583</v>
      </c>
      <c r="AH145" t="s">
        <v>50</v>
      </c>
      <c r="AI145" t="s">
        <v>46</v>
      </c>
      <c r="AJ145" t="s">
        <v>47</v>
      </c>
      <c r="AK145" t="s">
        <v>61</v>
      </c>
      <c r="AL145">
        <v>13</v>
      </c>
      <c r="AM145">
        <v>8.1</v>
      </c>
      <c r="AN145" t="s">
        <v>152</v>
      </c>
      <c r="AO145" t="s">
        <v>46</v>
      </c>
      <c r="AP145" t="s">
        <v>63</v>
      </c>
      <c r="AQ145">
        <v>132</v>
      </c>
      <c r="AR145" t="s">
        <v>63</v>
      </c>
      <c r="AS145" t="s">
        <v>1630</v>
      </c>
      <c r="AT145" t="s">
        <v>63</v>
      </c>
      <c r="AU145" t="s">
        <v>46</v>
      </c>
      <c r="AV145">
        <v>2014</v>
      </c>
      <c r="AW145" t="s">
        <v>598</v>
      </c>
    </row>
    <row r="146" spans="1:49" x14ac:dyDescent="0.2">
      <c r="A146">
        <v>145</v>
      </c>
      <c r="B146" t="s">
        <v>589</v>
      </c>
      <c r="C146" t="s">
        <v>585</v>
      </c>
      <c r="D146" t="s">
        <v>599</v>
      </c>
      <c r="E146" t="s">
        <v>42</v>
      </c>
      <c r="F146" t="s">
        <v>46</v>
      </c>
      <c r="G146" t="s">
        <v>46</v>
      </c>
      <c r="H146" t="s">
        <v>46</v>
      </c>
      <c r="I146">
        <v>6</v>
      </c>
      <c r="J146">
        <v>5</v>
      </c>
      <c r="K146" t="s">
        <v>586</v>
      </c>
      <c r="L146" t="s">
        <v>592</v>
      </c>
      <c r="M146" t="s">
        <v>599</v>
      </c>
      <c r="N146" t="s">
        <v>42</v>
      </c>
      <c r="O146" t="s">
        <v>46</v>
      </c>
      <c r="P146" t="s">
        <v>46</v>
      </c>
      <c r="Q146" t="s">
        <v>46</v>
      </c>
      <c r="R146">
        <v>6</v>
      </c>
      <c r="S146">
        <v>5</v>
      </c>
      <c r="T146" t="s">
        <v>586</v>
      </c>
      <c r="U146" t="s">
        <v>156</v>
      </c>
      <c r="V146" t="s">
        <v>600</v>
      </c>
      <c r="W146" t="s">
        <v>606</v>
      </c>
      <c r="X146" t="s">
        <v>602</v>
      </c>
      <c r="Y146" t="s">
        <v>603</v>
      </c>
      <c r="Z146" t="s">
        <v>605</v>
      </c>
      <c r="AA146" t="s">
        <v>36</v>
      </c>
      <c r="AB146" t="s">
        <v>37</v>
      </c>
      <c r="AC146" t="s">
        <v>38</v>
      </c>
      <c r="AD146" t="s">
        <v>39</v>
      </c>
      <c r="AE146" t="s">
        <v>604</v>
      </c>
      <c r="AF146">
        <v>8</v>
      </c>
      <c r="AG146" t="s">
        <v>583</v>
      </c>
      <c r="AH146" t="s">
        <v>50</v>
      </c>
      <c r="AI146" t="s">
        <v>46</v>
      </c>
      <c r="AJ146" t="s">
        <v>47</v>
      </c>
      <c r="AK146" t="s">
        <v>61</v>
      </c>
      <c r="AL146">
        <v>13</v>
      </c>
      <c r="AM146">
        <v>8.1</v>
      </c>
      <c r="AN146" t="s">
        <v>152</v>
      </c>
      <c r="AO146" t="s">
        <v>46</v>
      </c>
      <c r="AP146" t="s">
        <v>63</v>
      </c>
      <c r="AQ146">
        <v>132</v>
      </c>
      <c r="AR146" t="s">
        <v>63</v>
      </c>
      <c r="AS146" t="s">
        <v>1630</v>
      </c>
      <c r="AT146" t="s">
        <v>63</v>
      </c>
      <c r="AU146" t="s">
        <v>46</v>
      </c>
      <c r="AV146">
        <v>2014</v>
      </c>
      <c r="AW146" t="s">
        <v>598</v>
      </c>
    </row>
    <row r="147" spans="1:49" x14ac:dyDescent="0.2">
      <c r="A147">
        <v>146</v>
      </c>
      <c r="B147" t="s">
        <v>589</v>
      </c>
      <c r="C147" t="s">
        <v>585</v>
      </c>
      <c r="D147">
        <v>0.41</v>
      </c>
      <c r="E147" t="s">
        <v>42</v>
      </c>
      <c r="F147">
        <f>D147-0.36</f>
        <v>4.9999999999999989E-2</v>
      </c>
      <c r="G147">
        <f>0.45-D147</f>
        <v>4.0000000000000036E-2</v>
      </c>
      <c r="H147" t="s">
        <v>69</v>
      </c>
      <c r="I147">
        <v>6</v>
      </c>
      <c r="J147">
        <v>5</v>
      </c>
      <c r="K147" t="s">
        <v>586</v>
      </c>
      <c r="L147" t="s">
        <v>587</v>
      </c>
      <c r="M147">
        <v>0.32</v>
      </c>
      <c r="N147" t="s">
        <v>42</v>
      </c>
      <c r="O147">
        <f>M147-0.29</f>
        <v>3.0000000000000027E-2</v>
      </c>
      <c r="P147">
        <f>0.36-M147</f>
        <v>3.999999999999998E-2</v>
      </c>
      <c r="Q147" t="s">
        <v>69</v>
      </c>
      <c r="R147">
        <v>6</v>
      </c>
      <c r="S147">
        <v>5</v>
      </c>
      <c r="T147" t="s">
        <v>586</v>
      </c>
      <c r="U147" t="s">
        <v>156</v>
      </c>
      <c r="V147" t="s">
        <v>607</v>
      </c>
      <c r="W147" t="s">
        <v>601</v>
      </c>
      <c r="X147" t="s">
        <v>602</v>
      </c>
      <c r="Y147" t="s">
        <v>603</v>
      </c>
      <c r="Z147" t="s">
        <v>605</v>
      </c>
      <c r="AA147" t="s">
        <v>36</v>
      </c>
      <c r="AB147" t="s">
        <v>37</v>
      </c>
      <c r="AC147" t="s">
        <v>38</v>
      </c>
      <c r="AD147" t="s">
        <v>39</v>
      </c>
      <c r="AE147" t="s">
        <v>604</v>
      </c>
      <c r="AF147">
        <v>24</v>
      </c>
      <c r="AG147" t="s">
        <v>583</v>
      </c>
      <c r="AH147" t="s">
        <v>50</v>
      </c>
      <c r="AI147" t="s">
        <v>46</v>
      </c>
      <c r="AJ147" t="s">
        <v>47</v>
      </c>
      <c r="AK147" t="s">
        <v>61</v>
      </c>
      <c r="AL147">
        <v>13</v>
      </c>
      <c r="AM147">
        <v>8.1</v>
      </c>
      <c r="AN147" t="s">
        <v>152</v>
      </c>
      <c r="AO147" t="s">
        <v>46</v>
      </c>
      <c r="AP147" t="s">
        <v>63</v>
      </c>
      <c r="AQ147">
        <v>132</v>
      </c>
      <c r="AR147" t="s">
        <v>50</v>
      </c>
      <c r="AS147" t="s">
        <v>1630</v>
      </c>
      <c r="AT147" t="s">
        <v>63</v>
      </c>
      <c r="AU147" t="s">
        <v>46</v>
      </c>
      <c r="AV147">
        <v>2014</v>
      </c>
      <c r="AW147" t="s">
        <v>598</v>
      </c>
    </row>
    <row r="148" spans="1:49" x14ac:dyDescent="0.2">
      <c r="A148">
        <v>147</v>
      </c>
      <c r="B148" t="s">
        <v>589</v>
      </c>
      <c r="C148" t="s">
        <v>585</v>
      </c>
      <c r="D148">
        <v>0.41</v>
      </c>
      <c r="E148" t="s">
        <v>42</v>
      </c>
      <c r="F148">
        <f>D148-0.36</f>
        <v>4.9999999999999989E-2</v>
      </c>
      <c r="G148">
        <f>0.45-D148</f>
        <v>4.0000000000000036E-2</v>
      </c>
      <c r="H148" t="s">
        <v>69</v>
      </c>
      <c r="I148">
        <v>6</v>
      </c>
      <c r="J148">
        <v>5</v>
      </c>
      <c r="K148" t="s">
        <v>586</v>
      </c>
      <c r="L148" t="s">
        <v>592</v>
      </c>
      <c r="M148">
        <v>0.45</v>
      </c>
      <c r="N148" t="s">
        <v>42</v>
      </c>
      <c r="O148">
        <f>M148-0.39</f>
        <v>0.06</v>
      </c>
      <c r="P148">
        <f>0.51-M148</f>
        <v>0.06</v>
      </c>
      <c r="Q148" t="s">
        <v>69</v>
      </c>
      <c r="R148">
        <v>6</v>
      </c>
      <c r="S148">
        <v>5</v>
      </c>
      <c r="T148" t="s">
        <v>586</v>
      </c>
      <c r="U148" t="s">
        <v>156</v>
      </c>
      <c r="V148" t="s">
        <v>607</v>
      </c>
      <c r="W148" t="s">
        <v>606</v>
      </c>
      <c r="X148" t="s">
        <v>602</v>
      </c>
      <c r="Y148" t="s">
        <v>603</v>
      </c>
      <c r="Z148" t="s">
        <v>605</v>
      </c>
      <c r="AA148" t="s">
        <v>36</v>
      </c>
      <c r="AB148" t="s">
        <v>37</v>
      </c>
      <c r="AC148" t="s">
        <v>38</v>
      </c>
      <c r="AD148" t="s">
        <v>39</v>
      </c>
      <c r="AE148" t="s">
        <v>604</v>
      </c>
      <c r="AF148">
        <v>24</v>
      </c>
      <c r="AG148" t="s">
        <v>583</v>
      </c>
      <c r="AH148" t="s">
        <v>50</v>
      </c>
      <c r="AI148" t="s">
        <v>46</v>
      </c>
      <c r="AJ148" t="s">
        <v>47</v>
      </c>
      <c r="AK148" t="s">
        <v>61</v>
      </c>
      <c r="AL148">
        <v>13</v>
      </c>
      <c r="AM148">
        <v>8.1</v>
      </c>
      <c r="AN148" t="s">
        <v>152</v>
      </c>
      <c r="AO148" t="s">
        <v>46</v>
      </c>
      <c r="AP148" t="s">
        <v>63</v>
      </c>
      <c r="AQ148">
        <v>132</v>
      </c>
      <c r="AR148" t="s">
        <v>50</v>
      </c>
      <c r="AS148" t="s">
        <v>1630</v>
      </c>
      <c r="AT148" t="s">
        <v>63</v>
      </c>
      <c r="AU148" t="s">
        <v>46</v>
      </c>
      <c r="AV148">
        <v>2014</v>
      </c>
      <c r="AW148" t="s">
        <v>598</v>
      </c>
    </row>
    <row r="149" spans="1:49" x14ac:dyDescent="0.2">
      <c r="A149">
        <v>148</v>
      </c>
      <c r="B149" t="s">
        <v>589</v>
      </c>
      <c r="C149" t="s">
        <v>585</v>
      </c>
      <c r="D149">
        <v>0.26</v>
      </c>
      <c r="E149" t="s">
        <v>42</v>
      </c>
      <c r="F149">
        <f>D149-0.24</f>
        <v>2.0000000000000018E-2</v>
      </c>
      <c r="G149">
        <f>0.28-D149</f>
        <v>2.0000000000000018E-2</v>
      </c>
      <c r="H149" t="s">
        <v>69</v>
      </c>
      <c r="I149">
        <v>6</v>
      </c>
      <c r="J149">
        <v>5</v>
      </c>
      <c r="K149" t="s">
        <v>586</v>
      </c>
      <c r="L149" t="s">
        <v>587</v>
      </c>
      <c r="M149">
        <v>0.21</v>
      </c>
      <c r="N149" t="s">
        <v>42</v>
      </c>
      <c r="O149">
        <f>M149-0.18</f>
        <v>0.03</v>
      </c>
      <c r="P149">
        <f>0.24-M149</f>
        <v>0.03</v>
      </c>
      <c r="Q149" t="s">
        <v>69</v>
      </c>
      <c r="R149">
        <v>6</v>
      </c>
      <c r="S149">
        <v>5</v>
      </c>
      <c r="T149" t="s">
        <v>586</v>
      </c>
      <c r="U149" t="s">
        <v>156</v>
      </c>
      <c r="V149" t="s">
        <v>608</v>
      </c>
      <c r="W149" t="s">
        <v>601</v>
      </c>
      <c r="X149" t="s">
        <v>602</v>
      </c>
      <c r="Y149" t="s">
        <v>603</v>
      </c>
      <c r="Z149" t="s">
        <v>605</v>
      </c>
      <c r="AA149" t="s">
        <v>36</v>
      </c>
      <c r="AB149" t="s">
        <v>37</v>
      </c>
      <c r="AC149" t="s">
        <v>38</v>
      </c>
      <c r="AD149" t="s">
        <v>39</v>
      </c>
      <c r="AE149" t="s">
        <v>604</v>
      </c>
      <c r="AF149">
        <v>48</v>
      </c>
      <c r="AG149" t="s">
        <v>583</v>
      </c>
      <c r="AH149" t="s">
        <v>50</v>
      </c>
      <c r="AI149" t="s">
        <v>46</v>
      </c>
      <c r="AJ149" t="s">
        <v>47</v>
      </c>
      <c r="AK149" t="s">
        <v>61</v>
      </c>
      <c r="AL149">
        <v>13</v>
      </c>
      <c r="AM149">
        <v>8.1</v>
      </c>
      <c r="AN149" t="s">
        <v>152</v>
      </c>
      <c r="AO149" t="s">
        <v>46</v>
      </c>
      <c r="AP149" t="s">
        <v>63</v>
      </c>
      <c r="AQ149">
        <v>132</v>
      </c>
      <c r="AR149" t="s">
        <v>50</v>
      </c>
      <c r="AS149" t="s">
        <v>1630</v>
      </c>
      <c r="AT149" t="s">
        <v>63</v>
      </c>
      <c r="AU149" t="s">
        <v>46</v>
      </c>
      <c r="AV149">
        <v>2014</v>
      </c>
      <c r="AW149" t="s">
        <v>598</v>
      </c>
    </row>
    <row r="150" spans="1:49" x14ac:dyDescent="0.2">
      <c r="A150">
        <v>149</v>
      </c>
      <c r="B150" t="s">
        <v>589</v>
      </c>
      <c r="C150" t="s">
        <v>585</v>
      </c>
      <c r="D150">
        <v>0.26</v>
      </c>
      <c r="E150" t="s">
        <v>42</v>
      </c>
      <c r="F150">
        <f>D150-0.24</f>
        <v>2.0000000000000018E-2</v>
      </c>
      <c r="G150">
        <f>0.28-D150</f>
        <v>2.0000000000000018E-2</v>
      </c>
      <c r="H150" t="s">
        <v>69</v>
      </c>
      <c r="I150">
        <v>6</v>
      </c>
      <c r="J150">
        <v>5</v>
      </c>
      <c r="K150" t="s">
        <v>586</v>
      </c>
      <c r="L150" t="s">
        <v>592</v>
      </c>
      <c r="M150">
        <v>0.22</v>
      </c>
      <c r="N150" t="s">
        <v>42</v>
      </c>
      <c r="O150">
        <f>M150-0.2</f>
        <v>1.999999999999999E-2</v>
      </c>
      <c r="P150">
        <f>0.24-M150</f>
        <v>1.999999999999999E-2</v>
      </c>
      <c r="Q150" t="s">
        <v>69</v>
      </c>
      <c r="R150">
        <v>6</v>
      </c>
      <c r="S150">
        <v>5</v>
      </c>
      <c r="T150" t="s">
        <v>586</v>
      </c>
      <c r="U150" t="s">
        <v>156</v>
      </c>
      <c r="V150" t="s">
        <v>608</v>
      </c>
      <c r="W150" t="s">
        <v>606</v>
      </c>
      <c r="X150" t="s">
        <v>602</v>
      </c>
      <c r="Y150" t="s">
        <v>603</v>
      </c>
      <c r="Z150" t="s">
        <v>605</v>
      </c>
      <c r="AA150" t="s">
        <v>36</v>
      </c>
      <c r="AB150" t="s">
        <v>37</v>
      </c>
      <c r="AC150" t="s">
        <v>38</v>
      </c>
      <c r="AD150" t="s">
        <v>39</v>
      </c>
      <c r="AE150" t="s">
        <v>604</v>
      </c>
      <c r="AF150">
        <v>48</v>
      </c>
      <c r="AG150" t="s">
        <v>583</v>
      </c>
      <c r="AH150" t="s">
        <v>50</v>
      </c>
      <c r="AI150" t="s">
        <v>46</v>
      </c>
      <c r="AJ150" t="s">
        <v>47</v>
      </c>
      <c r="AK150" t="s">
        <v>61</v>
      </c>
      <c r="AL150">
        <v>13</v>
      </c>
      <c r="AM150">
        <v>8.1</v>
      </c>
      <c r="AN150" t="s">
        <v>152</v>
      </c>
      <c r="AO150" t="s">
        <v>46</v>
      </c>
      <c r="AP150" t="s">
        <v>63</v>
      </c>
      <c r="AQ150">
        <v>132</v>
      </c>
      <c r="AR150" t="s">
        <v>50</v>
      </c>
      <c r="AS150" t="s">
        <v>1630</v>
      </c>
      <c r="AT150" t="s">
        <v>63</v>
      </c>
      <c r="AU150" t="s">
        <v>46</v>
      </c>
      <c r="AV150">
        <v>2014</v>
      </c>
      <c r="AW150" t="s">
        <v>598</v>
      </c>
    </row>
    <row r="151" spans="1:49" x14ac:dyDescent="0.2">
      <c r="A151">
        <v>150</v>
      </c>
      <c r="B151" t="s">
        <v>589</v>
      </c>
      <c r="C151" t="s">
        <v>585</v>
      </c>
      <c r="D151">
        <v>0.25</v>
      </c>
      <c r="E151" t="s">
        <v>42</v>
      </c>
      <c r="F151">
        <f>D151-0.23</f>
        <v>1.999999999999999E-2</v>
      </c>
      <c r="G151">
        <f>0.27-D151</f>
        <v>2.0000000000000018E-2</v>
      </c>
      <c r="H151" t="s">
        <v>69</v>
      </c>
      <c r="I151">
        <v>6</v>
      </c>
      <c r="J151">
        <v>5</v>
      </c>
      <c r="K151" t="s">
        <v>586</v>
      </c>
      <c r="L151" t="s">
        <v>587</v>
      </c>
      <c r="M151">
        <v>0.19</v>
      </c>
      <c r="N151" t="s">
        <v>42</v>
      </c>
      <c r="O151">
        <f>M151-0.16</f>
        <v>0.03</v>
      </c>
      <c r="P151">
        <f>0.21-M151</f>
        <v>1.999999999999999E-2</v>
      </c>
      <c r="Q151" t="s">
        <v>69</v>
      </c>
      <c r="R151">
        <v>6</v>
      </c>
      <c r="S151">
        <v>5</v>
      </c>
      <c r="T151" t="s">
        <v>586</v>
      </c>
      <c r="U151" t="s">
        <v>156</v>
      </c>
      <c r="V151" t="s">
        <v>609</v>
      </c>
      <c r="W151" t="s">
        <v>601</v>
      </c>
      <c r="X151" t="s">
        <v>602</v>
      </c>
      <c r="Y151" t="s">
        <v>603</v>
      </c>
      <c r="Z151" t="s">
        <v>605</v>
      </c>
      <c r="AA151" t="s">
        <v>36</v>
      </c>
      <c r="AB151" t="s">
        <v>37</v>
      </c>
      <c r="AC151" t="s">
        <v>38</v>
      </c>
      <c r="AD151" t="s">
        <v>39</v>
      </c>
      <c r="AE151" t="s">
        <v>604</v>
      </c>
      <c r="AF151">
        <v>72</v>
      </c>
      <c r="AG151" t="s">
        <v>583</v>
      </c>
      <c r="AH151" t="s">
        <v>50</v>
      </c>
      <c r="AI151" t="s">
        <v>46</v>
      </c>
      <c r="AJ151" t="s">
        <v>47</v>
      </c>
      <c r="AK151" t="s">
        <v>61</v>
      </c>
      <c r="AL151">
        <v>13</v>
      </c>
      <c r="AM151">
        <v>8.1</v>
      </c>
      <c r="AN151" t="s">
        <v>152</v>
      </c>
      <c r="AO151" t="s">
        <v>46</v>
      </c>
      <c r="AP151" t="s">
        <v>63</v>
      </c>
      <c r="AQ151">
        <v>132</v>
      </c>
      <c r="AR151" t="s">
        <v>50</v>
      </c>
      <c r="AS151" t="s">
        <v>1630</v>
      </c>
      <c r="AT151" t="s">
        <v>63</v>
      </c>
      <c r="AU151" t="s">
        <v>46</v>
      </c>
      <c r="AV151">
        <v>2014</v>
      </c>
      <c r="AW151" t="s">
        <v>598</v>
      </c>
    </row>
    <row r="152" spans="1:49" x14ac:dyDescent="0.2">
      <c r="A152">
        <v>151</v>
      </c>
      <c r="B152" t="s">
        <v>589</v>
      </c>
      <c r="C152" t="s">
        <v>585</v>
      </c>
      <c r="D152">
        <v>0.25</v>
      </c>
      <c r="E152" t="s">
        <v>42</v>
      </c>
      <c r="F152">
        <f>D152-0.23</f>
        <v>1.999999999999999E-2</v>
      </c>
      <c r="G152">
        <f>0.27-D152</f>
        <v>2.0000000000000018E-2</v>
      </c>
      <c r="H152" t="s">
        <v>69</v>
      </c>
      <c r="I152">
        <v>6</v>
      </c>
      <c r="J152">
        <v>5</v>
      </c>
      <c r="K152" t="s">
        <v>586</v>
      </c>
      <c r="L152" t="s">
        <v>592</v>
      </c>
      <c r="M152">
        <v>0.21</v>
      </c>
      <c r="N152" t="s">
        <v>42</v>
      </c>
      <c r="O152">
        <f>M152-0.19</f>
        <v>1.999999999999999E-2</v>
      </c>
      <c r="P152">
        <f>0.24-M152</f>
        <v>0.03</v>
      </c>
      <c r="Q152" t="s">
        <v>69</v>
      </c>
      <c r="R152">
        <v>6</v>
      </c>
      <c r="S152">
        <v>5</v>
      </c>
      <c r="T152" t="s">
        <v>586</v>
      </c>
      <c r="U152" t="s">
        <v>156</v>
      </c>
      <c r="V152" t="s">
        <v>609</v>
      </c>
      <c r="W152" t="s">
        <v>606</v>
      </c>
      <c r="X152" t="s">
        <v>602</v>
      </c>
      <c r="Y152" t="s">
        <v>603</v>
      </c>
      <c r="Z152" t="s">
        <v>605</v>
      </c>
      <c r="AA152" t="s">
        <v>36</v>
      </c>
      <c r="AB152" t="s">
        <v>37</v>
      </c>
      <c r="AC152" t="s">
        <v>38</v>
      </c>
      <c r="AD152" t="s">
        <v>39</v>
      </c>
      <c r="AE152" t="s">
        <v>604</v>
      </c>
      <c r="AF152">
        <v>72</v>
      </c>
      <c r="AG152" t="s">
        <v>583</v>
      </c>
      <c r="AH152" t="s">
        <v>50</v>
      </c>
      <c r="AI152" t="s">
        <v>46</v>
      </c>
      <c r="AJ152" t="s">
        <v>47</v>
      </c>
      <c r="AK152" t="s">
        <v>61</v>
      </c>
      <c r="AL152">
        <v>13</v>
      </c>
      <c r="AM152">
        <v>8.1</v>
      </c>
      <c r="AN152" t="s">
        <v>152</v>
      </c>
      <c r="AO152" t="s">
        <v>46</v>
      </c>
      <c r="AP152" t="s">
        <v>63</v>
      </c>
      <c r="AQ152">
        <v>132</v>
      </c>
      <c r="AR152" t="s">
        <v>50</v>
      </c>
      <c r="AS152" t="s">
        <v>1630</v>
      </c>
      <c r="AT152" t="s">
        <v>63</v>
      </c>
      <c r="AU152" t="s">
        <v>46</v>
      </c>
      <c r="AV152">
        <v>2014</v>
      </c>
      <c r="AW152" t="s">
        <v>598</v>
      </c>
    </row>
    <row r="153" spans="1:49" x14ac:dyDescent="0.2">
      <c r="A153">
        <v>152</v>
      </c>
      <c r="B153" t="s">
        <v>589</v>
      </c>
      <c r="C153" t="s">
        <v>585</v>
      </c>
      <c r="D153">
        <v>0.25</v>
      </c>
      <c r="E153" t="s">
        <v>42</v>
      </c>
      <c r="F153">
        <f>D153-0.23</f>
        <v>1.999999999999999E-2</v>
      </c>
      <c r="G153">
        <f>0.27-D153</f>
        <v>2.0000000000000018E-2</v>
      </c>
      <c r="H153" t="s">
        <v>69</v>
      </c>
      <c r="I153">
        <v>6</v>
      </c>
      <c r="J153">
        <v>5</v>
      </c>
      <c r="K153" t="s">
        <v>586</v>
      </c>
      <c r="L153" t="s">
        <v>587</v>
      </c>
      <c r="M153">
        <v>0.18</v>
      </c>
      <c r="N153" t="s">
        <v>42</v>
      </c>
      <c r="O153">
        <f>M153-0.16</f>
        <v>1.999999999999999E-2</v>
      </c>
      <c r="P153">
        <f>0.21-M153</f>
        <v>0.03</v>
      </c>
      <c r="Q153" t="s">
        <v>69</v>
      </c>
      <c r="R153">
        <v>6</v>
      </c>
      <c r="S153">
        <v>5</v>
      </c>
      <c r="T153" t="s">
        <v>586</v>
      </c>
      <c r="U153" t="s">
        <v>156</v>
      </c>
      <c r="V153" t="s">
        <v>610</v>
      </c>
      <c r="W153" t="s">
        <v>601</v>
      </c>
      <c r="X153" t="s">
        <v>602</v>
      </c>
      <c r="Y153" t="s">
        <v>603</v>
      </c>
      <c r="Z153" t="s">
        <v>605</v>
      </c>
      <c r="AA153" t="s">
        <v>36</v>
      </c>
      <c r="AB153" t="s">
        <v>37</v>
      </c>
      <c r="AC153" t="s">
        <v>38</v>
      </c>
      <c r="AD153" t="s">
        <v>39</v>
      </c>
      <c r="AE153" t="s">
        <v>604</v>
      </c>
      <c r="AF153">
        <v>96</v>
      </c>
      <c r="AG153" t="s">
        <v>583</v>
      </c>
      <c r="AH153" t="s">
        <v>50</v>
      </c>
      <c r="AI153" t="s">
        <v>46</v>
      </c>
      <c r="AJ153" t="s">
        <v>47</v>
      </c>
      <c r="AK153" t="s">
        <v>61</v>
      </c>
      <c r="AL153">
        <v>13</v>
      </c>
      <c r="AM153">
        <v>8.1</v>
      </c>
      <c r="AN153" t="s">
        <v>152</v>
      </c>
      <c r="AO153" t="s">
        <v>46</v>
      </c>
      <c r="AP153" t="s">
        <v>63</v>
      </c>
      <c r="AQ153">
        <v>132</v>
      </c>
      <c r="AR153" t="s">
        <v>50</v>
      </c>
      <c r="AS153" t="s">
        <v>1630</v>
      </c>
      <c r="AT153" t="s">
        <v>63</v>
      </c>
      <c r="AU153" t="s">
        <v>46</v>
      </c>
      <c r="AV153">
        <v>2014</v>
      </c>
      <c r="AW153" t="s">
        <v>598</v>
      </c>
    </row>
    <row r="154" spans="1:49" x14ac:dyDescent="0.2">
      <c r="A154">
        <v>153</v>
      </c>
      <c r="B154" t="s">
        <v>589</v>
      </c>
      <c r="C154" t="s">
        <v>585</v>
      </c>
      <c r="D154">
        <v>0.25</v>
      </c>
      <c r="E154" t="s">
        <v>42</v>
      </c>
      <c r="F154">
        <f>D154-0.23</f>
        <v>1.999999999999999E-2</v>
      </c>
      <c r="G154">
        <f>0.27-D154</f>
        <v>2.0000000000000018E-2</v>
      </c>
      <c r="H154" t="s">
        <v>69</v>
      </c>
      <c r="I154">
        <v>6</v>
      </c>
      <c r="J154">
        <v>5</v>
      </c>
      <c r="K154" t="s">
        <v>586</v>
      </c>
      <c r="L154" t="s">
        <v>592</v>
      </c>
      <c r="M154">
        <v>0.2</v>
      </c>
      <c r="N154" t="s">
        <v>42</v>
      </c>
      <c r="O154">
        <f>M154-0.19</f>
        <v>1.0000000000000009E-2</v>
      </c>
      <c r="P154">
        <f>0.22-M154</f>
        <v>1.999999999999999E-2</v>
      </c>
      <c r="Q154" t="s">
        <v>69</v>
      </c>
      <c r="R154">
        <v>6</v>
      </c>
      <c r="S154">
        <v>5</v>
      </c>
      <c r="T154" t="s">
        <v>586</v>
      </c>
      <c r="U154" t="s">
        <v>156</v>
      </c>
      <c r="V154" t="s">
        <v>610</v>
      </c>
      <c r="W154" t="s">
        <v>606</v>
      </c>
      <c r="X154" t="s">
        <v>602</v>
      </c>
      <c r="Y154" t="s">
        <v>603</v>
      </c>
      <c r="Z154" t="s">
        <v>605</v>
      </c>
      <c r="AA154" t="s">
        <v>36</v>
      </c>
      <c r="AB154" t="s">
        <v>37</v>
      </c>
      <c r="AC154" t="s">
        <v>38</v>
      </c>
      <c r="AD154" t="s">
        <v>39</v>
      </c>
      <c r="AE154" t="s">
        <v>604</v>
      </c>
      <c r="AF154">
        <v>96</v>
      </c>
      <c r="AG154" t="s">
        <v>583</v>
      </c>
      <c r="AH154" t="s">
        <v>50</v>
      </c>
      <c r="AI154" t="s">
        <v>46</v>
      </c>
      <c r="AJ154" t="s">
        <v>47</v>
      </c>
      <c r="AK154" t="s">
        <v>61</v>
      </c>
      <c r="AL154">
        <v>13</v>
      </c>
      <c r="AM154">
        <v>8.1</v>
      </c>
      <c r="AN154" t="s">
        <v>152</v>
      </c>
      <c r="AO154" t="s">
        <v>46</v>
      </c>
      <c r="AP154" t="s">
        <v>63</v>
      </c>
      <c r="AQ154">
        <v>132</v>
      </c>
      <c r="AR154" t="s">
        <v>50</v>
      </c>
      <c r="AS154" t="s">
        <v>1630</v>
      </c>
      <c r="AT154" t="s">
        <v>63</v>
      </c>
      <c r="AU154" t="s">
        <v>46</v>
      </c>
      <c r="AV154">
        <v>2014</v>
      </c>
      <c r="AW154" t="s">
        <v>598</v>
      </c>
    </row>
    <row r="155" spans="1:49" x14ac:dyDescent="0.2">
      <c r="A155">
        <v>154</v>
      </c>
      <c r="B155" t="s">
        <v>589</v>
      </c>
      <c r="C155" t="s">
        <v>585</v>
      </c>
      <c r="D155">
        <v>0.53</v>
      </c>
      <c r="E155" t="s">
        <v>42</v>
      </c>
      <c r="F155">
        <f>D155-0.49</f>
        <v>4.0000000000000036E-2</v>
      </c>
      <c r="G155">
        <f>0.57-D155</f>
        <v>3.9999999999999925E-2</v>
      </c>
      <c r="H155" t="s">
        <v>69</v>
      </c>
      <c r="I155">
        <v>6</v>
      </c>
      <c r="J155">
        <v>5</v>
      </c>
      <c r="K155" t="s">
        <v>586</v>
      </c>
      <c r="L155" t="s">
        <v>587</v>
      </c>
      <c r="M155">
        <v>0.71</v>
      </c>
      <c r="N155" t="s">
        <v>42</v>
      </c>
      <c r="O155">
        <f>M155-0.65</f>
        <v>5.9999999999999942E-2</v>
      </c>
      <c r="P155">
        <f>0.77-M155</f>
        <v>6.0000000000000053E-2</v>
      </c>
      <c r="Q155" t="s">
        <v>69</v>
      </c>
      <c r="R155">
        <v>6</v>
      </c>
      <c r="S155">
        <v>5</v>
      </c>
      <c r="T155" t="s">
        <v>586</v>
      </c>
      <c r="U155" t="s">
        <v>156</v>
      </c>
      <c r="V155" t="s">
        <v>611</v>
      </c>
      <c r="W155" t="s">
        <v>612</v>
      </c>
      <c r="X155" t="s">
        <v>602</v>
      </c>
      <c r="Y155" t="s">
        <v>603</v>
      </c>
      <c r="Z155" t="s">
        <v>605</v>
      </c>
      <c r="AA155" t="s">
        <v>36</v>
      </c>
      <c r="AB155" t="s">
        <v>37</v>
      </c>
      <c r="AC155" t="s">
        <v>38</v>
      </c>
      <c r="AD155" t="s">
        <v>39</v>
      </c>
      <c r="AE155" t="s">
        <v>614</v>
      </c>
      <c r="AF155">
        <v>24</v>
      </c>
      <c r="AG155" t="s">
        <v>583</v>
      </c>
      <c r="AH155" t="s">
        <v>50</v>
      </c>
      <c r="AI155" t="s">
        <v>46</v>
      </c>
      <c r="AJ155" t="s">
        <v>47</v>
      </c>
      <c r="AK155" t="s">
        <v>61</v>
      </c>
      <c r="AL155">
        <v>13</v>
      </c>
      <c r="AM155">
        <v>8.1</v>
      </c>
      <c r="AN155" t="s">
        <v>152</v>
      </c>
      <c r="AO155" t="s">
        <v>46</v>
      </c>
      <c r="AP155" t="s">
        <v>63</v>
      </c>
      <c r="AQ155">
        <v>132</v>
      </c>
      <c r="AR155" t="s">
        <v>50</v>
      </c>
      <c r="AS155" t="s">
        <v>1630</v>
      </c>
      <c r="AT155" t="s">
        <v>63</v>
      </c>
      <c r="AU155" t="s">
        <v>46</v>
      </c>
      <c r="AV155">
        <v>2014</v>
      </c>
      <c r="AW155" t="s">
        <v>615</v>
      </c>
    </row>
    <row r="156" spans="1:49" x14ac:dyDescent="0.2">
      <c r="A156">
        <v>155</v>
      </c>
      <c r="B156" t="s">
        <v>589</v>
      </c>
      <c r="C156" t="s">
        <v>585</v>
      </c>
      <c r="D156">
        <v>0.53</v>
      </c>
      <c r="E156" t="s">
        <v>42</v>
      </c>
      <c r="F156">
        <f>D156-0.49</f>
        <v>4.0000000000000036E-2</v>
      </c>
      <c r="G156">
        <f>0.57-D156</f>
        <v>3.9999999999999925E-2</v>
      </c>
      <c r="H156" t="s">
        <v>69</v>
      </c>
      <c r="I156">
        <v>6</v>
      </c>
      <c r="J156">
        <v>5</v>
      </c>
      <c r="K156" t="s">
        <v>586</v>
      </c>
      <c r="L156" t="s">
        <v>592</v>
      </c>
      <c r="M156">
        <v>0.5</v>
      </c>
      <c r="N156" t="s">
        <v>42</v>
      </c>
      <c r="O156">
        <f>M156-0.45</f>
        <v>4.9999999999999989E-2</v>
      </c>
      <c r="P156">
        <f>0.56-M156</f>
        <v>6.0000000000000053E-2</v>
      </c>
      <c r="Q156" t="s">
        <v>69</v>
      </c>
      <c r="R156">
        <v>6</v>
      </c>
      <c r="S156">
        <v>5</v>
      </c>
      <c r="T156" t="s">
        <v>586</v>
      </c>
      <c r="U156" t="s">
        <v>156</v>
      </c>
      <c r="V156" t="s">
        <v>611</v>
      </c>
      <c r="W156" t="s">
        <v>613</v>
      </c>
      <c r="X156" t="s">
        <v>602</v>
      </c>
      <c r="Y156" t="s">
        <v>603</v>
      </c>
      <c r="Z156" t="s">
        <v>605</v>
      </c>
      <c r="AA156" t="s">
        <v>36</v>
      </c>
      <c r="AB156" t="s">
        <v>37</v>
      </c>
      <c r="AC156" t="s">
        <v>38</v>
      </c>
      <c r="AD156" t="s">
        <v>39</v>
      </c>
      <c r="AE156" t="s">
        <v>614</v>
      </c>
      <c r="AF156">
        <v>24</v>
      </c>
      <c r="AG156" t="s">
        <v>583</v>
      </c>
      <c r="AH156" t="s">
        <v>50</v>
      </c>
      <c r="AI156" t="s">
        <v>46</v>
      </c>
      <c r="AJ156" t="s">
        <v>47</v>
      </c>
      <c r="AK156" t="s">
        <v>61</v>
      </c>
      <c r="AL156">
        <v>13</v>
      </c>
      <c r="AM156">
        <v>8.1</v>
      </c>
      <c r="AN156" t="s">
        <v>152</v>
      </c>
      <c r="AO156" t="s">
        <v>46</v>
      </c>
      <c r="AP156" t="s">
        <v>63</v>
      </c>
      <c r="AQ156">
        <v>132</v>
      </c>
      <c r="AR156" t="s">
        <v>50</v>
      </c>
      <c r="AS156" t="s">
        <v>1630</v>
      </c>
      <c r="AT156" t="s">
        <v>63</v>
      </c>
      <c r="AU156" t="s">
        <v>46</v>
      </c>
      <c r="AV156">
        <v>2014</v>
      </c>
      <c r="AW156" t="s">
        <v>615</v>
      </c>
    </row>
    <row r="157" spans="1:49" x14ac:dyDescent="0.2">
      <c r="A157">
        <v>156</v>
      </c>
      <c r="B157" t="s">
        <v>589</v>
      </c>
      <c r="C157" t="s">
        <v>585</v>
      </c>
      <c r="D157">
        <v>0.48</v>
      </c>
      <c r="E157" t="s">
        <v>42</v>
      </c>
      <c r="F157">
        <f t="shared" ref="F157:F162" si="1">D157-0.44</f>
        <v>3.999999999999998E-2</v>
      </c>
      <c r="G157">
        <f t="shared" ref="G157:G162" si="2">0.52-D157</f>
        <v>4.0000000000000036E-2</v>
      </c>
      <c r="H157" t="s">
        <v>69</v>
      </c>
      <c r="I157">
        <v>6</v>
      </c>
      <c r="J157">
        <v>5</v>
      </c>
      <c r="K157" t="s">
        <v>586</v>
      </c>
      <c r="L157" t="s">
        <v>587</v>
      </c>
      <c r="M157">
        <v>0.39</v>
      </c>
      <c r="N157" t="s">
        <v>42</v>
      </c>
      <c r="O157">
        <f>M157-0.35</f>
        <v>4.0000000000000036E-2</v>
      </c>
      <c r="P157">
        <f>0.43-M157</f>
        <v>3.999999999999998E-2</v>
      </c>
      <c r="Q157" t="s">
        <v>69</v>
      </c>
      <c r="R157">
        <v>6</v>
      </c>
      <c r="S157">
        <v>5</v>
      </c>
      <c r="T157" t="s">
        <v>586</v>
      </c>
      <c r="U157" t="s">
        <v>156</v>
      </c>
      <c r="V157" t="s">
        <v>616</v>
      </c>
      <c r="W157" t="s">
        <v>612</v>
      </c>
      <c r="X157" t="s">
        <v>602</v>
      </c>
      <c r="Y157" t="s">
        <v>603</v>
      </c>
      <c r="Z157" t="s">
        <v>605</v>
      </c>
      <c r="AA157" t="s">
        <v>36</v>
      </c>
      <c r="AB157" t="s">
        <v>37</v>
      </c>
      <c r="AC157" t="s">
        <v>38</v>
      </c>
      <c r="AD157" t="s">
        <v>39</v>
      </c>
      <c r="AE157" t="s">
        <v>614</v>
      </c>
      <c r="AF157">
        <v>48</v>
      </c>
      <c r="AG157" t="s">
        <v>583</v>
      </c>
      <c r="AH157" t="s">
        <v>50</v>
      </c>
      <c r="AI157" t="s">
        <v>46</v>
      </c>
      <c r="AJ157" t="s">
        <v>47</v>
      </c>
      <c r="AK157" t="s">
        <v>61</v>
      </c>
      <c r="AL157">
        <v>13</v>
      </c>
      <c r="AM157">
        <v>8.1</v>
      </c>
      <c r="AN157" t="s">
        <v>152</v>
      </c>
      <c r="AO157" t="s">
        <v>46</v>
      </c>
      <c r="AP157" t="s">
        <v>63</v>
      </c>
      <c r="AQ157">
        <v>132</v>
      </c>
      <c r="AR157" t="s">
        <v>50</v>
      </c>
      <c r="AS157" t="s">
        <v>1630</v>
      </c>
      <c r="AT157" t="s">
        <v>63</v>
      </c>
      <c r="AU157" t="s">
        <v>46</v>
      </c>
      <c r="AV157">
        <v>2014</v>
      </c>
      <c r="AW157" t="s">
        <v>615</v>
      </c>
    </row>
    <row r="158" spans="1:49" x14ac:dyDescent="0.2">
      <c r="A158">
        <v>157</v>
      </c>
      <c r="B158" t="s">
        <v>589</v>
      </c>
      <c r="C158" t="s">
        <v>585</v>
      </c>
      <c r="D158">
        <v>0.48</v>
      </c>
      <c r="E158" t="s">
        <v>42</v>
      </c>
      <c r="F158">
        <f t="shared" si="1"/>
        <v>3.999999999999998E-2</v>
      </c>
      <c r="G158">
        <f t="shared" si="2"/>
        <v>4.0000000000000036E-2</v>
      </c>
      <c r="H158" t="s">
        <v>69</v>
      </c>
      <c r="I158">
        <v>6</v>
      </c>
      <c r="J158">
        <v>5</v>
      </c>
      <c r="K158" t="s">
        <v>586</v>
      </c>
      <c r="L158" t="s">
        <v>592</v>
      </c>
      <c r="M158">
        <v>0.32</v>
      </c>
      <c r="N158" t="s">
        <v>42</v>
      </c>
      <c r="O158">
        <f>M158-0.29</f>
        <v>3.0000000000000027E-2</v>
      </c>
      <c r="P158">
        <f>0.35-M158</f>
        <v>2.9999999999999971E-2</v>
      </c>
      <c r="Q158" t="s">
        <v>69</v>
      </c>
      <c r="R158">
        <v>6</v>
      </c>
      <c r="S158">
        <v>5</v>
      </c>
      <c r="T158" t="s">
        <v>586</v>
      </c>
      <c r="U158" t="s">
        <v>156</v>
      </c>
      <c r="V158" t="s">
        <v>616</v>
      </c>
      <c r="W158" t="s">
        <v>613</v>
      </c>
      <c r="X158" t="s">
        <v>602</v>
      </c>
      <c r="Y158" t="s">
        <v>603</v>
      </c>
      <c r="Z158" t="s">
        <v>605</v>
      </c>
      <c r="AA158" t="s">
        <v>36</v>
      </c>
      <c r="AB158" t="s">
        <v>37</v>
      </c>
      <c r="AC158" t="s">
        <v>38</v>
      </c>
      <c r="AD158" t="s">
        <v>39</v>
      </c>
      <c r="AE158" t="s">
        <v>614</v>
      </c>
      <c r="AF158">
        <v>48</v>
      </c>
      <c r="AG158" t="s">
        <v>583</v>
      </c>
      <c r="AH158" t="s">
        <v>50</v>
      </c>
      <c r="AI158" t="s">
        <v>46</v>
      </c>
      <c r="AJ158" t="s">
        <v>47</v>
      </c>
      <c r="AK158" t="s">
        <v>61</v>
      </c>
      <c r="AL158">
        <v>13</v>
      </c>
      <c r="AM158">
        <v>8.1</v>
      </c>
      <c r="AN158" t="s">
        <v>152</v>
      </c>
      <c r="AO158" t="s">
        <v>46</v>
      </c>
      <c r="AP158" t="s">
        <v>63</v>
      </c>
      <c r="AQ158">
        <v>132</v>
      </c>
      <c r="AR158" t="s">
        <v>50</v>
      </c>
      <c r="AS158" t="s">
        <v>1630</v>
      </c>
      <c r="AT158" t="s">
        <v>63</v>
      </c>
      <c r="AU158" t="s">
        <v>46</v>
      </c>
      <c r="AV158">
        <v>2014</v>
      </c>
      <c r="AW158" t="s">
        <v>615</v>
      </c>
    </row>
    <row r="159" spans="1:49" x14ac:dyDescent="0.2">
      <c r="A159">
        <v>158</v>
      </c>
      <c r="B159" t="s">
        <v>589</v>
      </c>
      <c r="C159" t="s">
        <v>585</v>
      </c>
      <c r="D159">
        <v>0.48</v>
      </c>
      <c r="E159" t="s">
        <v>42</v>
      </c>
      <c r="F159">
        <f t="shared" si="1"/>
        <v>3.999999999999998E-2</v>
      </c>
      <c r="G159">
        <f t="shared" si="2"/>
        <v>4.0000000000000036E-2</v>
      </c>
      <c r="H159" t="s">
        <v>69</v>
      </c>
      <c r="I159">
        <v>6</v>
      </c>
      <c r="J159">
        <v>5</v>
      </c>
      <c r="K159" t="s">
        <v>586</v>
      </c>
      <c r="L159" t="s">
        <v>587</v>
      </c>
      <c r="M159">
        <v>0.36</v>
      </c>
      <c r="N159" t="s">
        <v>42</v>
      </c>
      <c r="O159">
        <f>M159-0.33</f>
        <v>2.9999999999999971E-2</v>
      </c>
      <c r="P159">
        <f>0.39-M159</f>
        <v>3.0000000000000027E-2</v>
      </c>
      <c r="Q159" t="s">
        <v>69</v>
      </c>
      <c r="R159">
        <v>6</v>
      </c>
      <c r="S159">
        <v>5</v>
      </c>
      <c r="T159" t="s">
        <v>586</v>
      </c>
      <c r="U159" t="s">
        <v>156</v>
      </c>
      <c r="V159" t="s">
        <v>617</v>
      </c>
      <c r="W159" t="s">
        <v>612</v>
      </c>
      <c r="X159" t="s">
        <v>602</v>
      </c>
      <c r="Y159" t="s">
        <v>603</v>
      </c>
      <c r="Z159" t="s">
        <v>605</v>
      </c>
      <c r="AA159" t="s">
        <v>36</v>
      </c>
      <c r="AB159" t="s">
        <v>37</v>
      </c>
      <c r="AC159" t="s">
        <v>38</v>
      </c>
      <c r="AD159" t="s">
        <v>39</v>
      </c>
      <c r="AE159" t="s">
        <v>614</v>
      </c>
      <c r="AF159">
        <v>72</v>
      </c>
      <c r="AG159" t="s">
        <v>583</v>
      </c>
      <c r="AH159" t="s">
        <v>50</v>
      </c>
      <c r="AI159" t="s">
        <v>46</v>
      </c>
      <c r="AJ159" t="s">
        <v>47</v>
      </c>
      <c r="AK159" t="s">
        <v>61</v>
      </c>
      <c r="AL159">
        <v>13</v>
      </c>
      <c r="AM159">
        <v>8.1</v>
      </c>
      <c r="AN159" t="s">
        <v>152</v>
      </c>
      <c r="AO159" t="s">
        <v>46</v>
      </c>
      <c r="AP159" t="s">
        <v>63</v>
      </c>
      <c r="AQ159">
        <v>132</v>
      </c>
      <c r="AR159" t="s">
        <v>50</v>
      </c>
      <c r="AS159" t="s">
        <v>1630</v>
      </c>
      <c r="AT159" t="s">
        <v>63</v>
      </c>
      <c r="AU159" t="s">
        <v>46</v>
      </c>
      <c r="AV159">
        <v>2014</v>
      </c>
      <c r="AW159" t="s">
        <v>615</v>
      </c>
    </row>
    <row r="160" spans="1:49" x14ac:dyDescent="0.2">
      <c r="A160">
        <v>159</v>
      </c>
      <c r="B160" t="s">
        <v>589</v>
      </c>
      <c r="C160" t="s">
        <v>585</v>
      </c>
      <c r="D160">
        <v>0.48</v>
      </c>
      <c r="E160" t="s">
        <v>42</v>
      </c>
      <c r="F160">
        <f t="shared" si="1"/>
        <v>3.999999999999998E-2</v>
      </c>
      <c r="G160">
        <f t="shared" si="2"/>
        <v>4.0000000000000036E-2</v>
      </c>
      <c r="H160" t="s">
        <v>69</v>
      </c>
      <c r="I160">
        <v>6</v>
      </c>
      <c r="J160">
        <v>5</v>
      </c>
      <c r="K160" t="s">
        <v>586</v>
      </c>
      <c r="L160" t="s">
        <v>592</v>
      </c>
      <c r="M160">
        <v>0.31</v>
      </c>
      <c r="N160" t="s">
        <v>42</v>
      </c>
      <c r="O160">
        <f>M160-0.28</f>
        <v>2.9999999999999971E-2</v>
      </c>
      <c r="P160">
        <f>0.34-M160</f>
        <v>3.0000000000000027E-2</v>
      </c>
      <c r="Q160" t="s">
        <v>69</v>
      </c>
      <c r="R160">
        <v>6</v>
      </c>
      <c r="S160">
        <v>5</v>
      </c>
      <c r="T160" t="s">
        <v>586</v>
      </c>
      <c r="U160" t="s">
        <v>156</v>
      </c>
      <c r="V160" t="s">
        <v>617</v>
      </c>
      <c r="W160" t="s">
        <v>613</v>
      </c>
      <c r="X160" t="s">
        <v>602</v>
      </c>
      <c r="Y160" t="s">
        <v>603</v>
      </c>
      <c r="Z160" t="s">
        <v>605</v>
      </c>
      <c r="AA160" t="s">
        <v>36</v>
      </c>
      <c r="AB160" t="s">
        <v>37</v>
      </c>
      <c r="AC160" t="s">
        <v>38</v>
      </c>
      <c r="AD160" t="s">
        <v>39</v>
      </c>
      <c r="AE160" t="s">
        <v>614</v>
      </c>
      <c r="AF160">
        <v>72</v>
      </c>
      <c r="AG160" t="s">
        <v>583</v>
      </c>
      <c r="AH160" t="s">
        <v>50</v>
      </c>
      <c r="AI160" t="s">
        <v>46</v>
      </c>
      <c r="AJ160" t="s">
        <v>47</v>
      </c>
      <c r="AK160" t="s">
        <v>61</v>
      </c>
      <c r="AL160">
        <v>13</v>
      </c>
      <c r="AM160">
        <v>8.1</v>
      </c>
      <c r="AN160" t="s">
        <v>152</v>
      </c>
      <c r="AO160" t="s">
        <v>46</v>
      </c>
      <c r="AP160" t="s">
        <v>63</v>
      </c>
      <c r="AQ160">
        <v>132</v>
      </c>
      <c r="AR160" t="s">
        <v>50</v>
      </c>
      <c r="AS160" t="s">
        <v>1630</v>
      </c>
      <c r="AT160" t="s">
        <v>63</v>
      </c>
      <c r="AU160" t="s">
        <v>46</v>
      </c>
      <c r="AV160">
        <v>2014</v>
      </c>
      <c r="AW160" t="s">
        <v>615</v>
      </c>
    </row>
    <row r="161" spans="1:49" x14ac:dyDescent="0.2">
      <c r="A161">
        <v>160</v>
      </c>
      <c r="B161" t="s">
        <v>589</v>
      </c>
      <c r="C161" t="s">
        <v>585</v>
      </c>
      <c r="D161">
        <v>0.48</v>
      </c>
      <c r="E161" t="s">
        <v>42</v>
      </c>
      <c r="F161">
        <f t="shared" si="1"/>
        <v>3.999999999999998E-2</v>
      </c>
      <c r="G161">
        <f t="shared" si="2"/>
        <v>4.0000000000000036E-2</v>
      </c>
      <c r="H161" t="s">
        <v>69</v>
      </c>
      <c r="I161">
        <v>6</v>
      </c>
      <c r="J161">
        <v>5</v>
      </c>
      <c r="K161" t="s">
        <v>586</v>
      </c>
      <c r="L161" t="s">
        <v>587</v>
      </c>
      <c r="M161">
        <v>0.36</v>
      </c>
      <c r="N161" t="s">
        <v>42</v>
      </c>
      <c r="O161">
        <f>M161-0.33</f>
        <v>2.9999999999999971E-2</v>
      </c>
      <c r="P161">
        <f>0.39-M161</f>
        <v>3.0000000000000027E-2</v>
      </c>
      <c r="Q161" t="s">
        <v>69</v>
      </c>
      <c r="R161">
        <v>6</v>
      </c>
      <c r="S161">
        <v>5</v>
      </c>
      <c r="T161" t="s">
        <v>586</v>
      </c>
      <c r="U161" t="s">
        <v>156</v>
      </c>
      <c r="V161" t="s">
        <v>618</v>
      </c>
      <c r="W161" t="s">
        <v>612</v>
      </c>
      <c r="X161" t="s">
        <v>602</v>
      </c>
      <c r="Y161" t="s">
        <v>603</v>
      </c>
      <c r="Z161" t="s">
        <v>605</v>
      </c>
      <c r="AA161" t="s">
        <v>36</v>
      </c>
      <c r="AB161" t="s">
        <v>37</v>
      </c>
      <c r="AC161" t="s">
        <v>38</v>
      </c>
      <c r="AD161" t="s">
        <v>39</v>
      </c>
      <c r="AE161" t="s">
        <v>614</v>
      </c>
      <c r="AF161">
        <v>96</v>
      </c>
      <c r="AG161" t="s">
        <v>583</v>
      </c>
      <c r="AH161" t="s">
        <v>50</v>
      </c>
      <c r="AI161" t="s">
        <v>46</v>
      </c>
      <c r="AJ161" t="s">
        <v>47</v>
      </c>
      <c r="AK161" t="s">
        <v>61</v>
      </c>
      <c r="AL161">
        <v>13</v>
      </c>
      <c r="AM161">
        <v>8.1</v>
      </c>
      <c r="AN161" t="s">
        <v>152</v>
      </c>
      <c r="AO161" t="s">
        <v>46</v>
      </c>
      <c r="AP161" t="s">
        <v>63</v>
      </c>
      <c r="AQ161">
        <v>132</v>
      </c>
      <c r="AR161" t="s">
        <v>50</v>
      </c>
      <c r="AS161" t="s">
        <v>1630</v>
      </c>
      <c r="AT161" t="s">
        <v>63</v>
      </c>
      <c r="AU161" t="s">
        <v>46</v>
      </c>
      <c r="AV161">
        <v>2014</v>
      </c>
      <c r="AW161" t="s">
        <v>615</v>
      </c>
    </row>
    <row r="162" spans="1:49" x14ac:dyDescent="0.2">
      <c r="A162">
        <v>161</v>
      </c>
      <c r="B162" t="s">
        <v>589</v>
      </c>
      <c r="C162" t="s">
        <v>585</v>
      </c>
      <c r="D162">
        <v>0.48</v>
      </c>
      <c r="E162" t="s">
        <v>42</v>
      </c>
      <c r="F162">
        <f t="shared" si="1"/>
        <v>3.999999999999998E-2</v>
      </c>
      <c r="G162">
        <f t="shared" si="2"/>
        <v>4.0000000000000036E-2</v>
      </c>
      <c r="H162" t="s">
        <v>69</v>
      </c>
      <c r="I162">
        <v>6</v>
      </c>
      <c r="J162">
        <v>5</v>
      </c>
      <c r="K162" t="s">
        <v>586</v>
      </c>
      <c r="L162" t="s">
        <v>592</v>
      </c>
      <c r="M162">
        <v>0.31</v>
      </c>
      <c r="N162" t="s">
        <v>42</v>
      </c>
      <c r="O162">
        <f>M162-0.28</f>
        <v>2.9999999999999971E-2</v>
      </c>
      <c r="P162">
        <f>0.34-M162</f>
        <v>3.0000000000000027E-2</v>
      </c>
      <c r="Q162" t="s">
        <v>69</v>
      </c>
      <c r="R162">
        <v>6</v>
      </c>
      <c r="S162">
        <v>5</v>
      </c>
      <c r="T162" t="s">
        <v>586</v>
      </c>
      <c r="U162" t="s">
        <v>156</v>
      </c>
      <c r="V162" t="s">
        <v>618</v>
      </c>
      <c r="W162" t="s">
        <v>613</v>
      </c>
      <c r="X162" t="s">
        <v>602</v>
      </c>
      <c r="Y162" t="s">
        <v>603</v>
      </c>
      <c r="Z162" t="s">
        <v>605</v>
      </c>
      <c r="AA162" t="s">
        <v>36</v>
      </c>
      <c r="AB162" t="s">
        <v>37</v>
      </c>
      <c r="AC162" t="s">
        <v>38</v>
      </c>
      <c r="AD162" t="s">
        <v>39</v>
      </c>
      <c r="AE162" t="s">
        <v>614</v>
      </c>
      <c r="AF162">
        <v>96</v>
      </c>
      <c r="AG162" t="s">
        <v>583</v>
      </c>
      <c r="AH162" t="s">
        <v>50</v>
      </c>
      <c r="AI162" t="s">
        <v>46</v>
      </c>
      <c r="AJ162" t="s">
        <v>47</v>
      </c>
      <c r="AK162" t="s">
        <v>61</v>
      </c>
      <c r="AL162">
        <v>13</v>
      </c>
      <c r="AM162">
        <v>8.1</v>
      </c>
      <c r="AN162" t="s">
        <v>152</v>
      </c>
      <c r="AO162" t="s">
        <v>46</v>
      </c>
      <c r="AP162" t="s">
        <v>63</v>
      </c>
      <c r="AQ162">
        <v>132</v>
      </c>
      <c r="AR162" t="s">
        <v>50</v>
      </c>
      <c r="AS162" t="s">
        <v>1630</v>
      </c>
      <c r="AT162" t="s">
        <v>63</v>
      </c>
      <c r="AU162" t="s">
        <v>46</v>
      </c>
      <c r="AV162">
        <v>2014</v>
      </c>
      <c r="AW162" t="s">
        <v>615</v>
      </c>
    </row>
    <row r="163" spans="1:49" x14ac:dyDescent="0.2">
      <c r="A163">
        <v>162</v>
      </c>
      <c r="B163" t="s">
        <v>619</v>
      </c>
      <c r="C163" t="s">
        <v>620</v>
      </c>
      <c r="D163">
        <v>9.74</v>
      </c>
      <c r="E163" t="s">
        <v>42</v>
      </c>
      <c r="F163">
        <f>D163-8.1</f>
        <v>1.6400000000000006</v>
      </c>
      <c r="G163">
        <f>11.35-D163</f>
        <v>1.6099999999999994</v>
      </c>
      <c r="H163" t="s">
        <v>69</v>
      </c>
      <c r="I163">
        <v>3</v>
      </c>
      <c r="J163">
        <v>5</v>
      </c>
      <c r="K163" t="s">
        <v>530</v>
      </c>
      <c r="L163" t="s">
        <v>621</v>
      </c>
      <c r="M163">
        <v>4.8499999999999996</v>
      </c>
      <c r="N163" t="s">
        <v>42</v>
      </c>
      <c r="O163">
        <f>M163-4.02</f>
        <v>0.83000000000000007</v>
      </c>
      <c r="P163">
        <f>5.68-M163</f>
        <v>0.83000000000000007</v>
      </c>
      <c r="Q163" t="s">
        <v>69</v>
      </c>
      <c r="R163">
        <v>3</v>
      </c>
      <c r="S163">
        <v>5</v>
      </c>
      <c r="T163" t="s">
        <v>530</v>
      </c>
      <c r="U163" t="s">
        <v>156</v>
      </c>
      <c r="V163" t="s">
        <v>622</v>
      </c>
      <c r="W163" t="s">
        <v>623</v>
      </c>
      <c r="X163" t="s">
        <v>149</v>
      </c>
      <c r="Y163" t="s">
        <v>150</v>
      </c>
      <c r="Z163" t="s">
        <v>486</v>
      </c>
      <c r="AA163" t="s">
        <v>151</v>
      </c>
      <c r="AB163" t="s">
        <v>37</v>
      </c>
      <c r="AC163" t="s">
        <v>38</v>
      </c>
      <c r="AD163" t="s">
        <v>39</v>
      </c>
      <c r="AE163" t="s">
        <v>75</v>
      </c>
      <c r="AF163">
        <v>96</v>
      </c>
      <c r="AG163" t="s">
        <v>77</v>
      </c>
      <c r="AH163" t="s">
        <v>50</v>
      </c>
      <c r="AI163" t="s">
        <v>46</v>
      </c>
      <c r="AJ163" t="s">
        <v>47</v>
      </c>
      <c r="AK163" t="s">
        <v>61</v>
      </c>
      <c r="AL163">
        <v>31</v>
      </c>
      <c r="AM163">
        <v>7.2</v>
      </c>
      <c r="AN163" t="s">
        <v>152</v>
      </c>
      <c r="AO163" t="s">
        <v>46</v>
      </c>
      <c r="AP163" t="s">
        <v>50</v>
      </c>
      <c r="AQ163">
        <v>141.44</v>
      </c>
      <c r="AR163" t="s">
        <v>50</v>
      </c>
      <c r="AS163" t="s">
        <v>1631</v>
      </c>
      <c r="AT163" t="s">
        <v>63</v>
      </c>
      <c r="AU163" t="s">
        <v>46</v>
      </c>
      <c r="AV163">
        <v>2017</v>
      </c>
      <c r="AW163" t="s">
        <v>46</v>
      </c>
    </row>
    <row r="164" spans="1:49" x14ac:dyDescent="0.2">
      <c r="A164">
        <v>163</v>
      </c>
      <c r="B164" t="s">
        <v>624</v>
      </c>
      <c r="C164" t="s">
        <v>55</v>
      </c>
      <c r="D164" t="s">
        <v>625</v>
      </c>
      <c r="E164" t="s">
        <v>68</v>
      </c>
      <c r="F164" t="s">
        <v>46</v>
      </c>
      <c r="G164" t="s">
        <v>46</v>
      </c>
      <c r="H164" t="s">
        <v>46</v>
      </c>
      <c r="I164">
        <v>3</v>
      </c>
      <c r="J164">
        <v>1</v>
      </c>
      <c r="K164" t="s">
        <v>626</v>
      </c>
      <c r="L164" t="s">
        <v>631</v>
      </c>
      <c r="M164">
        <v>450</v>
      </c>
      <c r="N164" t="s">
        <v>68</v>
      </c>
      <c r="O164">
        <f>M164-((450/606) * 559)</f>
        <v>34.900990099009903</v>
      </c>
      <c r="P164">
        <f>((450/606)*655)-M164</f>
        <v>36.386138613861363</v>
      </c>
      <c r="Q164" t="s">
        <v>69</v>
      </c>
      <c r="R164">
        <v>3</v>
      </c>
      <c r="S164">
        <v>1</v>
      </c>
      <c r="T164" t="s">
        <v>626</v>
      </c>
      <c r="U164" t="s">
        <v>194</v>
      </c>
      <c r="V164" t="s">
        <v>627</v>
      </c>
      <c r="W164" t="s">
        <v>628</v>
      </c>
      <c r="X164" t="s">
        <v>629</v>
      </c>
      <c r="Y164" t="s">
        <v>46</v>
      </c>
      <c r="Z164" t="s">
        <v>630</v>
      </c>
      <c r="AA164" t="s">
        <v>419</v>
      </c>
      <c r="AB164" t="s">
        <v>420</v>
      </c>
      <c r="AC164" t="s">
        <v>421</v>
      </c>
      <c r="AD164" t="s">
        <v>39</v>
      </c>
      <c r="AE164" t="s">
        <v>46</v>
      </c>
      <c r="AF164">
        <v>0.5</v>
      </c>
      <c r="AG164" t="s">
        <v>40</v>
      </c>
      <c r="AH164" t="s">
        <v>50</v>
      </c>
      <c r="AI164" t="s">
        <v>46</v>
      </c>
      <c r="AJ164" t="s">
        <v>47</v>
      </c>
      <c r="AK164" t="s">
        <v>61</v>
      </c>
      <c r="AL164">
        <v>20</v>
      </c>
      <c r="AM164" t="s">
        <v>46</v>
      </c>
      <c r="AN164" t="s">
        <v>46</v>
      </c>
      <c r="AO164" t="s">
        <v>46</v>
      </c>
      <c r="AP164" t="s">
        <v>63</v>
      </c>
      <c r="AQ164" t="s">
        <v>46</v>
      </c>
      <c r="AR164" t="s">
        <v>63</v>
      </c>
      <c r="AS164" t="s">
        <v>1629</v>
      </c>
      <c r="AT164" t="s">
        <v>63</v>
      </c>
      <c r="AU164" t="s">
        <v>46</v>
      </c>
      <c r="AV164">
        <v>2020</v>
      </c>
      <c r="AW164" t="s">
        <v>638</v>
      </c>
    </row>
    <row r="165" spans="1:49" x14ac:dyDescent="0.2">
      <c r="A165">
        <v>164</v>
      </c>
      <c r="B165" t="s">
        <v>624</v>
      </c>
      <c r="C165" t="s">
        <v>55</v>
      </c>
      <c r="D165" t="s">
        <v>625</v>
      </c>
      <c r="E165" t="s">
        <v>68</v>
      </c>
      <c r="F165" t="s">
        <v>46</v>
      </c>
      <c r="G165" t="s">
        <v>46</v>
      </c>
      <c r="H165" t="s">
        <v>46</v>
      </c>
      <c r="I165">
        <v>3</v>
      </c>
      <c r="J165">
        <v>1</v>
      </c>
      <c r="K165" t="s">
        <v>626</v>
      </c>
      <c r="L165" t="s">
        <v>632</v>
      </c>
      <c r="M165">
        <v>450</v>
      </c>
      <c r="N165" t="s">
        <v>68</v>
      </c>
      <c r="O165">
        <f>M165-((450/600)*528)</f>
        <v>54</v>
      </c>
      <c r="P165">
        <f>((450/600)*672)-M165</f>
        <v>54</v>
      </c>
      <c r="Q165" t="s">
        <v>69</v>
      </c>
      <c r="R165">
        <v>3</v>
      </c>
      <c r="S165">
        <v>1</v>
      </c>
      <c r="T165" t="s">
        <v>626</v>
      </c>
      <c r="U165" t="s">
        <v>194</v>
      </c>
      <c r="V165" t="s">
        <v>627</v>
      </c>
      <c r="W165" t="s">
        <v>645</v>
      </c>
      <c r="X165" t="s">
        <v>629</v>
      </c>
      <c r="Y165" t="s">
        <v>46</v>
      </c>
      <c r="Z165" t="s">
        <v>630</v>
      </c>
      <c r="AA165" t="s">
        <v>419</v>
      </c>
      <c r="AB165" t="s">
        <v>420</v>
      </c>
      <c r="AC165" t="s">
        <v>421</v>
      </c>
      <c r="AD165" t="s">
        <v>39</v>
      </c>
      <c r="AE165" t="s">
        <v>46</v>
      </c>
      <c r="AF165">
        <v>0.5</v>
      </c>
      <c r="AG165" t="s">
        <v>40</v>
      </c>
      <c r="AH165" t="s">
        <v>50</v>
      </c>
      <c r="AI165" t="s">
        <v>46</v>
      </c>
      <c r="AJ165" t="s">
        <v>47</v>
      </c>
      <c r="AK165" t="s">
        <v>61</v>
      </c>
      <c r="AL165">
        <v>20</v>
      </c>
      <c r="AM165" t="s">
        <v>46</v>
      </c>
      <c r="AN165" t="s">
        <v>46</v>
      </c>
      <c r="AO165" t="s">
        <v>46</v>
      </c>
      <c r="AP165" t="s">
        <v>63</v>
      </c>
      <c r="AQ165" t="s">
        <v>46</v>
      </c>
      <c r="AR165" t="s">
        <v>63</v>
      </c>
      <c r="AS165" t="s">
        <v>1629</v>
      </c>
      <c r="AT165" t="s">
        <v>63</v>
      </c>
      <c r="AU165" t="s">
        <v>46</v>
      </c>
      <c r="AV165">
        <v>2020</v>
      </c>
      <c r="AW165" t="s">
        <v>638</v>
      </c>
    </row>
    <row r="166" spans="1:49" x14ac:dyDescent="0.2">
      <c r="A166">
        <v>165</v>
      </c>
      <c r="B166" t="s">
        <v>624</v>
      </c>
      <c r="C166" t="s">
        <v>55</v>
      </c>
      <c r="D166" t="s">
        <v>625</v>
      </c>
      <c r="E166" t="s">
        <v>68</v>
      </c>
      <c r="F166" t="s">
        <v>46</v>
      </c>
      <c r="G166" t="s">
        <v>46</v>
      </c>
      <c r="H166" t="s">
        <v>46</v>
      </c>
      <c r="I166">
        <v>3</v>
      </c>
      <c r="J166">
        <v>1</v>
      </c>
      <c r="K166" t="s">
        <v>626</v>
      </c>
      <c r="L166" t="s">
        <v>633</v>
      </c>
      <c r="M166">
        <v>108</v>
      </c>
      <c r="N166" t="s">
        <v>68</v>
      </c>
      <c r="O166">
        <f>M166-((108/144)*144)</f>
        <v>0</v>
      </c>
      <c r="P166">
        <f>((108/144)*168)-M166</f>
        <v>18</v>
      </c>
      <c r="Q166" t="s">
        <v>69</v>
      </c>
      <c r="R166">
        <v>3</v>
      </c>
      <c r="S166">
        <v>1</v>
      </c>
      <c r="T166" t="s">
        <v>626</v>
      </c>
      <c r="U166" t="s">
        <v>194</v>
      </c>
      <c r="V166" t="s">
        <v>627</v>
      </c>
      <c r="W166" t="s">
        <v>646</v>
      </c>
      <c r="X166" t="s">
        <v>629</v>
      </c>
      <c r="Y166" t="s">
        <v>46</v>
      </c>
      <c r="Z166" t="s">
        <v>630</v>
      </c>
      <c r="AA166" t="s">
        <v>419</v>
      </c>
      <c r="AB166" t="s">
        <v>420</v>
      </c>
      <c r="AC166" t="s">
        <v>421</v>
      </c>
      <c r="AD166" t="s">
        <v>39</v>
      </c>
      <c r="AE166" t="s">
        <v>46</v>
      </c>
      <c r="AF166">
        <v>0.5</v>
      </c>
      <c r="AG166" t="s">
        <v>40</v>
      </c>
      <c r="AH166" t="s">
        <v>50</v>
      </c>
      <c r="AI166" t="s">
        <v>46</v>
      </c>
      <c r="AJ166" t="s">
        <v>47</v>
      </c>
      <c r="AK166" t="s">
        <v>61</v>
      </c>
      <c r="AL166">
        <v>20</v>
      </c>
      <c r="AM166" t="s">
        <v>46</v>
      </c>
      <c r="AN166" t="s">
        <v>46</v>
      </c>
      <c r="AO166" t="s">
        <v>46</v>
      </c>
      <c r="AP166" t="s">
        <v>63</v>
      </c>
      <c r="AQ166" t="s">
        <v>46</v>
      </c>
      <c r="AR166" t="s">
        <v>63</v>
      </c>
      <c r="AS166" t="s">
        <v>1629</v>
      </c>
      <c r="AT166" t="s">
        <v>63</v>
      </c>
      <c r="AU166" t="s">
        <v>46</v>
      </c>
      <c r="AV166">
        <v>2020</v>
      </c>
      <c r="AW166" t="s">
        <v>638</v>
      </c>
    </row>
    <row r="167" spans="1:49" x14ac:dyDescent="0.2">
      <c r="A167">
        <v>166</v>
      </c>
      <c r="B167" t="s">
        <v>624</v>
      </c>
      <c r="C167" t="s">
        <v>55</v>
      </c>
      <c r="D167" t="s">
        <v>625</v>
      </c>
      <c r="E167" t="s">
        <v>68</v>
      </c>
      <c r="F167" t="s">
        <v>46</v>
      </c>
      <c r="G167" t="s">
        <v>46</v>
      </c>
      <c r="H167" t="s">
        <v>46</v>
      </c>
      <c r="I167">
        <v>3</v>
      </c>
      <c r="J167">
        <v>1</v>
      </c>
      <c r="K167" t="s">
        <v>626</v>
      </c>
      <c r="L167" t="s">
        <v>634</v>
      </c>
      <c r="M167">
        <v>108</v>
      </c>
      <c r="N167" t="s">
        <v>68</v>
      </c>
      <c r="O167">
        <f>M167-((108/144)*144)</f>
        <v>0</v>
      </c>
      <c r="P167">
        <f>((108/144)*192)-M167</f>
        <v>36</v>
      </c>
      <c r="Q167" t="s">
        <v>69</v>
      </c>
      <c r="R167">
        <v>3</v>
      </c>
      <c r="S167">
        <v>1</v>
      </c>
      <c r="T167" t="s">
        <v>626</v>
      </c>
      <c r="U167" t="s">
        <v>194</v>
      </c>
      <c r="V167" t="s">
        <v>627</v>
      </c>
      <c r="W167" t="s">
        <v>647</v>
      </c>
      <c r="X167" t="s">
        <v>629</v>
      </c>
      <c r="Y167" t="s">
        <v>46</v>
      </c>
      <c r="Z167" t="s">
        <v>630</v>
      </c>
      <c r="AA167" t="s">
        <v>419</v>
      </c>
      <c r="AB167" t="s">
        <v>420</v>
      </c>
      <c r="AC167" t="s">
        <v>421</v>
      </c>
      <c r="AD167" t="s">
        <v>39</v>
      </c>
      <c r="AE167" t="s">
        <v>46</v>
      </c>
      <c r="AF167">
        <v>0.5</v>
      </c>
      <c r="AG167" t="s">
        <v>40</v>
      </c>
      <c r="AH167" t="s">
        <v>50</v>
      </c>
      <c r="AI167" t="s">
        <v>46</v>
      </c>
      <c r="AJ167" t="s">
        <v>47</v>
      </c>
      <c r="AK167" t="s">
        <v>61</v>
      </c>
      <c r="AL167">
        <v>20</v>
      </c>
      <c r="AM167" t="s">
        <v>46</v>
      </c>
      <c r="AN167" t="s">
        <v>46</v>
      </c>
      <c r="AO167" t="s">
        <v>46</v>
      </c>
      <c r="AP167" t="s">
        <v>63</v>
      </c>
      <c r="AQ167" t="s">
        <v>46</v>
      </c>
      <c r="AR167" t="s">
        <v>63</v>
      </c>
      <c r="AS167" t="s">
        <v>1629</v>
      </c>
      <c r="AT167" t="s">
        <v>63</v>
      </c>
      <c r="AU167" t="s">
        <v>46</v>
      </c>
      <c r="AV167">
        <v>2020</v>
      </c>
      <c r="AW167" t="s">
        <v>638</v>
      </c>
    </row>
    <row r="168" spans="1:49" x14ac:dyDescent="0.2">
      <c r="A168">
        <v>167</v>
      </c>
      <c r="B168" t="s">
        <v>624</v>
      </c>
      <c r="C168" t="s">
        <v>55</v>
      </c>
      <c r="D168" t="s">
        <v>625</v>
      </c>
      <c r="E168" t="s">
        <v>68</v>
      </c>
      <c r="F168" t="s">
        <v>46</v>
      </c>
      <c r="G168" t="s">
        <v>46</v>
      </c>
      <c r="H168" t="s">
        <v>46</v>
      </c>
      <c r="I168">
        <v>3</v>
      </c>
      <c r="J168">
        <v>1</v>
      </c>
      <c r="K168" t="s">
        <v>626</v>
      </c>
      <c r="L168" t="s">
        <v>635</v>
      </c>
      <c r="M168">
        <v>3</v>
      </c>
      <c r="N168" t="s">
        <v>68</v>
      </c>
      <c r="O168">
        <f>M168-((3/3.8)*2.9)</f>
        <v>0.71052631578947389</v>
      </c>
      <c r="P168">
        <f>((3/3.8)*4.8)-M168</f>
        <v>0.78947368421052611</v>
      </c>
      <c r="Q168" t="s">
        <v>69</v>
      </c>
      <c r="R168">
        <v>3</v>
      </c>
      <c r="S168">
        <v>1</v>
      </c>
      <c r="T168" t="s">
        <v>626</v>
      </c>
      <c r="U168" t="s">
        <v>194</v>
      </c>
      <c r="V168" t="s">
        <v>627</v>
      </c>
      <c r="W168" t="s">
        <v>648</v>
      </c>
      <c r="X168" t="s">
        <v>629</v>
      </c>
      <c r="Y168" t="s">
        <v>46</v>
      </c>
      <c r="Z168" t="s">
        <v>630</v>
      </c>
      <c r="AA168" t="s">
        <v>419</v>
      </c>
      <c r="AB168" t="s">
        <v>420</v>
      </c>
      <c r="AC168" t="s">
        <v>421</v>
      </c>
      <c r="AD168" t="s">
        <v>39</v>
      </c>
      <c r="AE168" t="s">
        <v>46</v>
      </c>
      <c r="AF168">
        <v>0.5</v>
      </c>
      <c r="AG168" t="s">
        <v>40</v>
      </c>
      <c r="AH168" t="s">
        <v>50</v>
      </c>
      <c r="AI168" t="s">
        <v>46</v>
      </c>
      <c r="AJ168" t="s">
        <v>47</v>
      </c>
      <c r="AK168" t="s">
        <v>61</v>
      </c>
      <c r="AL168">
        <v>20</v>
      </c>
      <c r="AM168" t="s">
        <v>46</v>
      </c>
      <c r="AN168" t="s">
        <v>46</v>
      </c>
      <c r="AO168" t="s">
        <v>46</v>
      </c>
      <c r="AP168" t="s">
        <v>63</v>
      </c>
      <c r="AQ168" t="s">
        <v>46</v>
      </c>
      <c r="AR168" t="s">
        <v>63</v>
      </c>
      <c r="AS168" t="s">
        <v>1640</v>
      </c>
      <c r="AT168" t="s">
        <v>63</v>
      </c>
      <c r="AU168" t="s">
        <v>46</v>
      </c>
      <c r="AV168">
        <v>2020</v>
      </c>
      <c r="AW168" t="s">
        <v>638</v>
      </c>
    </row>
    <row r="169" spans="1:49" x14ac:dyDescent="0.2">
      <c r="A169">
        <v>168</v>
      </c>
      <c r="B169" t="s">
        <v>624</v>
      </c>
      <c r="C169" t="s">
        <v>55</v>
      </c>
      <c r="D169" t="s">
        <v>625</v>
      </c>
      <c r="E169" t="s">
        <v>68</v>
      </c>
      <c r="F169" t="s">
        <v>46</v>
      </c>
      <c r="G169" t="s">
        <v>46</v>
      </c>
      <c r="H169" t="s">
        <v>46</v>
      </c>
      <c r="I169">
        <v>3</v>
      </c>
      <c r="J169">
        <v>1</v>
      </c>
      <c r="K169" t="s">
        <v>626</v>
      </c>
      <c r="L169" t="s">
        <v>636</v>
      </c>
      <c r="M169">
        <v>216</v>
      </c>
      <c r="N169" t="s">
        <v>68</v>
      </c>
      <c r="O169">
        <f>M169-((216/292)*292)</f>
        <v>0</v>
      </c>
      <c r="P169">
        <f>((216/292)*316)-M169</f>
        <v>17.753424657534225</v>
      </c>
      <c r="Q169" t="s">
        <v>69</v>
      </c>
      <c r="R169">
        <v>3</v>
      </c>
      <c r="S169">
        <v>1</v>
      </c>
      <c r="T169" t="s">
        <v>626</v>
      </c>
      <c r="U169" t="s">
        <v>194</v>
      </c>
      <c r="V169" t="s">
        <v>627</v>
      </c>
      <c r="W169" t="s">
        <v>649</v>
      </c>
      <c r="X169" t="s">
        <v>629</v>
      </c>
      <c r="Y169" t="s">
        <v>46</v>
      </c>
      <c r="Z169" t="s">
        <v>630</v>
      </c>
      <c r="AA169" t="s">
        <v>419</v>
      </c>
      <c r="AB169" t="s">
        <v>420</v>
      </c>
      <c r="AC169" t="s">
        <v>421</v>
      </c>
      <c r="AD169" t="s">
        <v>39</v>
      </c>
      <c r="AE169" t="s">
        <v>46</v>
      </c>
      <c r="AF169">
        <v>0.5</v>
      </c>
      <c r="AG169" t="s">
        <v>40</v>
      </c>
      <c r="AH169" t="s">
        <v>50</v>
      </c>
      <c r="AI169" t="s">
        <v>46</v>
      </c>
      <c r="AJ169" t="s">
        <v>47</v>
      </c>
      <c r="AK169" t="s">
        <v>61</v>
      </c>
      <c r="AL169">
        <v>20</v>
      </c>
      <c r="AM169" t="s">
        <v>46</v>
      </c>
      <c r="AN169" t="s">
        <v>46</v>
      </c>
      <c r="AO169" t="s">
        <v>46</v>
      </c>
      <c r="AP169" t="s">
        <v>63</v>
      </c>
      <c r="AQ169" t="s">
        <v>46</v>
      </c>
      <c r="AR169" t="s">
        <v>63</v>
      </c>
      <c r="AS169" t="s">
        <v>1629</v>
      </c>
      <c r="AT169" t="s">
        <v>63</v>
      </c>
      <c r="AU169" t="s">
        <v>46</v>
      </c>
      <c r="AV169">
        <v>2020</v>
      </c>
      <c r="AW169" t="s">
        <v>638</v>
      </c>
    </row>
    <row r="170" spans="1:49" x14ac:dyDescent="0.2">
      <c r="A170">
        <v>169</v>
      </c>
      <c r="B170" t="s">
        <v>624</v>
      </c>
      <c r="C170" t="s">
        <v>55</v>
      </c>
      <c r="D170" t="s">
        <v>625</v>
      </c>
      <c r="E170" t="s">
        <v>68</v>
      </c>
      <c r="F170" t="s">
        <v>46</v>
      </c>
      <c r="G170" t="s">
        <v>46</v>
      </c>
      <c r="H170" t="s">
        <v>46</v>
      </c>
      <c r="I170">
        <v>3</v>
      </c>
      <c r="J170">
        <v>1</v>
      </c>
      <c r="K170" t="s">
        <v>626</v>
      </c>
      <c r="L170" t="s">
        <v>637</v>
      </c>
      <c r="M170">
        <v>40.5</v>
      </c>
      <c r="N170" t="s">
        <v>68</v>
      </c>
      <c r="O170">
        <f>M170-((40.5/54.7)*36.5)</f>
        <v>13.475319926873858</v>
      </c>
      <c r="P170">
        <f>((40.5/54.7)*54.7)-M170</f>
        <v>0</v>
      </c>
      <c r="Q170" t="s">
        <v>69</v>
      </c>
      <c r="R170">
        <v>3</v>
      </c>
      <c r="S170">
        <v>1</v>
      </c>
      <c r="T170" t="s">
        <v>626</v>
      </c>
      <c r="U170" t="s">
        <v>194</v>
      </c>
      <c r="V170" t="s">
        <v>627</v>
      </c>
      <c r="W170" t="s">
        <v>650</v>
      </c>
      <c r="X170" t="s">
        <v>629</v>
      </c>
      <c r="Y170" t="s">
        <v>46</v>
      </c>
      <c r="Z170" t="s">
        <v>630</v>
      </c>
      <c r="AA170" t="s">
        <v>419</v>
      </c>
      <c r="AB170" t="s">
        <v>420</v>
      </c>
      <c r="AC170" t="s">
        <v>421</v>
      </c>
      <c r="AD170" t="s">
        <v>39</v>
      </c>
      <c r="AE170" t="s">
        <v>46</v>
      </c>
      <c r="AF170">
        <v>0.5</v>
      </c>
      <c r="AG170" t="s">
        <v>40</v>
      </c>
      <c r="AH170" t="s">
        <v>50</v>
      </c>
      <c r="AI170" t="s">
        <v>46</v>
      </c>
      <c r="AJ170" t="s">
        <v>47</v>
      </c>
      <c r="AK170" t="s">
        <v>61</v>
      </c>
      <c r="AL170">
        <v>20</v>
      </c>
      <c r="AM170" t="s">
        <v>46</v>
      </c>
      <c r="AN170" t="s">
        <v>46</v>
      </c>
      <c r="AO170" t="s">
        <v>46</v>
      </c>
      <c r="AP170" t="s">
        <v>63</v>
      </c>
      <c r="AQ170" t="s">
        <v>46</v>
      </c>
      <c r="AR170" t="s">
        <v>63</v>
      </c>
      <c r="AS170" t="s">
        <v>1629</v>
      </c>
      <c r="AT170" t="s">
        <v>63</v>
      </c>
      <c r="AU170" t="s">
        <v>46</v>
      </c>
      <c r="AV170">
        <v>2020</v>
      </c>
      <c r="AW170" t="s">
        <v>638</v>
      </c>
    </row>
    <row r="171" spans="1:49" x14ac:dyDescent="0.2">
      <c r="A171">
        <v>170</v>
      </c>
      <c r="B171" t="s">
        <v>624</v>
      </c>
      <c r="C171" t="s">
        <v>55</v>
      </c>
      <c r="D171" t="s">
        <v>625</v>
      </c>
      <c r="E171" t="s">
        <v>68</v>
      </c>
      <c r="F171" t="s">
        <v>46</v>
      </c>
      <c r="G171" t="s">
        <v>46</v>
      </c>
      <c r="H171" t="s">
        <v>46</v>
      </c>
      <c r="I171">
        <v>3</v>
      </c>
      <c r="J171">
        <v>1</v>
      </c>
      <c r="K171" t="s">
        <v>626</v>
      </c>
      <c r="L171" t="s">
        <v>639</v>
      </c>
      <c r="M171">
        <v>54</v>
      </c>
      <c r="N171" t="s">
        <v>68</v>
      </c>
      <c r="O171">
        <f>M171-((54/73)*73)</f>
        <v>0</v>
      </c>
      <c r="P171">
        <f>((54/73)*73)-M171</f>
        <v>0</v>
      </c>
      <c r="Q171" t="s">
        <v>69</v>
      </c>
      <c r="R171">
        <v>3</v>
      </c>
      <c r="S171">
        <v>1</v>
      </c>
      <c r="T171" t="s">
        <v>626</v>
      </c>
      <c r="U171" t="s">
        <v>194</v>
      </c>
      <c r="V171" t="s">
        <v>627</v>
      </c>
      <c r="W171" t="s">
        <v>651</v>
      </c>
      <c r="X171" t="s">
        <v>629</v>
      </c>
      <c r="Y171" t="s">
        <v>46</v>
      </c>
      <c r="Z171" t="s">
        <v>630</v>
      </c>
      <c r="AA171" t="s">
        <v>419</v>
      </c>
      <c r="AB171" t="s">
        <v>420</v>
      </c>
      <c r="AC171" t="s">
        <v>421</v>
      </c>
      <c r="AD171" t="s">
        <v>39</v>
      </c>
      <c r="AE171" t="s">
        <v>46</v>
      </c>
      <c r="AF171">
        <v>0.5</v>
      </c>
      <c r="AG171" t="s">
        <v>40</v>
      </c>
      <c r="AH171" t="s">
        <v>50</v>
      </c>
      <c r="AI171" t="s">
        <v>46</v>
      </c>
      <c r="AJ171" t="s">
        <v>47</v>
      </c>
      <c r="AK171" t="s">
        <v>61</v>
      </c>
      <c r="AL171">
        <v>20</v>
      </c>
      <c r="AM171" t="s">
        <v>46</v>
      </c>
      <c r="AN171" t="s">
        <v>46</v>
      </c>
      <c r="AO171" t="s">
        <v>46</v>
      </c>
      <c r="AP171" t="s">
        <v>63</v>
      </c>
      <c r="AQ171" t="s">
        <v>46</v>
      </c>
      <c r="AR171" t="s">
        <v>63</v>
      </c>
      <c r="AS171" t="s">
        <v>1629</v>
      </c>
      <c r="AT171" t="s">
        <v>63</v>
      </c>
      <c r="AU171" t="s">
        <v>46</v>
      </c>
      <c r="AV171">
        <v>2020</v>
      </c>
      <c r="AW171" t="s">
        <v>638</v>
      </c>
    </row>
    <row r="172" spans="1:49" x14ac:dyDescent="0.2">
      <c r="A172">
        <v>171</v>
      </c>
      <c r="B172" t="s">
        <v>624</v>
      </c>
      <c r="C172" t="s">
        <v>55</v>
      </c>
      <c r="D172" t="s">
        <v>625</v>
      </c>
      <c r="E172" t="s">
        <v>68</v>
      </c>
      <c r="F172" t="s">
        <v>46</v>
      </c>
      <c r="G172" t="s">
        <v>46</v>
      </c>
      <c r="H172" t="s">
        <v>46</v>
      </c>
      <c r="I172">
        <v>3</v>
      </c>
      <c r="J172">
        <v>1</v>
      </c>
      <c r="K172" t="s">
        <v>626</v>
      </c>
      <c r="L172" t="s">
        <v>640</v>
      </c>
      <c r="M172">
        <v>126</v>
      </c>
      <c r="N172" t="s">
        <v>68</v>
      </c>
      <c r="O172">
        <f>M172-((126/159)*152)</f>
        <v>5.5471698113207424</v>
      </c>
      <c r="P172">
        <f>((126/159)*167)-M172</f>
        <v>6.3396226415094361</v>
      </c>
      <c r="Q172" t="s">
        <v>69</v>
      </c>
      <c r="R172">
        <v>3</v>
      </c>
      <c r="S172">
        <v>1</v>
      </c>
      <c r="T172" t="s">
        <v>626</v>
      </c>
      <c r="U172" t="s">
        <v>194</v>
      </c>
      <c r="V172" t="s">
        <v>627</v>
      </c>
      <c r="W172" t="s">
        <v>652</v>
      </c>
      <c r="X172" t="s">
        <v>629</v>
      </c>
      <c r="Y172" t="s">
        <v>46</v>
      </c>
      <c r="Z172" t="s">
        <v>630</v>
      </c>
      <c r="AA172" t="s">
        <v>419</v>
      </c>
      <c r="AB172" t="s">
        <v>420</v>
      </c>
      <c r="AC172" t="s">
        <v>421</v>
      </c>
      <c r="AD172" t="s">
        <v>39</v>
      </c>
      <c r="AE172" t="s">
        <v>46</v>
      </c>
      <c r="AF172">
        <v>0.5</v>
      </c>
      <c r="AG172" t="s">
        <v>40</v>
      </c>
      <c r="AH172" t="s">
        <v>50</v>
      </c>
      <c r="AI172" t="s">
        <v>46</v>
      </c>
      <c r="AJ172" t="s">
        <v>47</v>
      </c>
      <c r="AK172" t="s">
        <v>61</v>
      </c>
      <c r="AL172">
        <v>20</v>
      </c>
      <c r="AM172" t="s">
        <v>46</v>
      </c>
      <c r="AN172" t="s">
        <v>46</v>
      </c>
      <c r="AO172" t="s">
        <v>46</v>
      </c>
      <c r="AP172" t="s">
        <v>63</v>
      </c>
      <c r="AQ172" t="s">
        <v>46</v>
      </c>
      <c r="AR172" t="s">
        <v>63</v>
      </c>
      <c r="AS172" t="s">
        <v>1629</v>
      </c>
      <c r="AT172" t="s">
        <v>63</v>
      </c>
      <c r="AU172" t="s">
        <v>46</v>
      </c>
      <c r="AV172">
        <v>2020</v>
      </c>
      <c r="AW172" t="s">
        <v>638</v>
      </c>
    </row>
    <row r="173" spans="1:49" x14ac:dyDescent="0.2">
      <c r="A173">
        <v>172</v>
      </c>
      <c r="B173" t="s">
        <v>624</v>
      </c>
      <c r="C173" t="s">
        <v>55</v>
      </c>
      <c r="D173" t="s">
        <v>625</v>
      </c>
      <c r="E173" t="s">
        <v>68</v>
      </c>
      <c r="F173" t="s">
        <v>46</v>
      </c>
      <c r="G173" t="s">
        <v>46</v>
      </c>
      <c r="H173" t="s">
        <v>46</v>
      </c>
      <c r="I173">
        <v>3</v>
      </c>
      <c r="J173">
        <v>1</v>
      </c>
      <c r="K173" t="s">
        <v>626</v>
      </c>
      <c r="L173" t="s">
        <v>641</v>
      </c>
      <c r="M173">
        <v>72</v>
      </c>
      <c r="N173" t="s">
        <v>68</v>
      </c>
      <c r="O173">
        <f>M173-((72/88.2)*88.2)</f>
        <v>0</v>
      </c>
      <c r="P173">
        <f>((72/88.2)*110)-M173</f>
        <v>17.795918367346943</v>
      </c>
      <c r="Q173" t="s">
        <v>69</v>
      </c>
      <c r="R173">
        <v>3</v>
      </c>
      <c r="S173">
        <v>1</v>
      </c>
      <c r="T173" t="s">
        <v>626</v>
      </c>
      <c r="U173" t="s">
        <v>194</v>
      </c>
      <c r="V173" t="s">
        <v>627</v>
      </c>
      <c r="W173" t="s">
        <v>653</v>
      </c>
      <c r="X173" t="s">
        <v>629</v>
      </c>
      <c r="Y173" t="s">
        <v>46</v>
      </c>
      <c r="Z173" t="s">
        <v>630</v>
      </c>
      <c r="AA173" t="s">
        <v>419</v>
      </c>
      <c r="AB173" t="s">
        <v>420</v>
      </c>
      <c r="AC173" t="s">
        <v>421</v>
      </c>
      <c r="AD173" t="s">
        <v>39</v>
      </c>
      <c r="AE173" t="s">
        <v>46</v>
      </c>
      <c r="AF173">
        <v>0.5</v>
      </c>
      <c r="AG173" t="s">
        <v>40</v>
      </c>
      <c r="AH173" t="s">
        <v>50</v>
      </c>
      <c r="AI173" t="s">
        <v>46</v>
      </c>
      <c r="AJ173" t="s">
        <v>47</v>
      </c>
      <c r="AK173" t="s">
        <v>61</v>
      </c>
      <c r="AL173">
        <v>20</v>
      </c>
      <c r="AM173" t="s">
        <v>46</v>
      </c>
      <c r="AN173" t="s">
        <v>46</v>
      </c>
      <c r="AO173" t="s">
        <v>46</v>
      </c>
      <c r="AP173" t="s">
        <v>63</v>
      </c>
      <c r="AQ173" t="s">
        <v>46</v>
      </c>
      <c r="AR173" t="s">
        <v>63</v>
      </c>
      <c r="AS173" t="s">
        <v>1629</v>
      </c>
      <c r="AT173" t="s">
        <v>63</v>
      </c>
      <c r="AU173" t="s">
        <v>46</v>
      </c>
      <c r="AV173">
        <v>2020</v>
      </c>
      <c r="AW173" t="s">
        <v>638</v>
      </c>
    </row>
    <row r="174" spans="1:49" x14ac:dyDescent="0.2">
      <c r="A174">
        <v>173</v>
      </c>
      <c r="B174" t="s">
        <v>624</v>
      </c>
      <c r="C174" t="s">
        <v>55</v>
      </c>
      <c r="D174" t="s">
        <v>625</v>
      </c>
      <c r="E174" t="s">
        <v>68</v>
      </c>
      <c r="F174" t="s">
        <v>46</v>
      </c>
      <c r="G174" t="s">
        <v>46</v>
      </c>
      <c r="H174" t="s">
        <v>46</v>
      </c>
      <c r="I174">
        <v>3</v>
      </c>
      <c r="J174">
        <v>1</v>
      </c>
      <c r="K174" t="s">
        <v>626</v>
      </c>
      <c r="L174" t="s">
        <v>642</v>
      </c>
      <c r="M174">
        <v>67.5</v>
      </c>
      <c r="N174" t="s">
        <v>68</v>
      </c>
      <c r="O174">
        <f>M174-((67.5/82.7)*82.7)</f>
        <v>0</v>
      </c>
      <c r="P174">
        <f>((67.5/82.7)*82.7)-M174</f>
        <v>0</v>
      </c>
      <c r="Q174" t="s">
        <v>69</v>
      </c>
      <c r="R174">
        <v>3</v>
      </c>
      <c r="S174">
        <v>1</v>
      </c>
      <c r="T174" t="s">
        <v>626</v>
      </c>
      <c r="U174" t="s">
        <v>194</v>
      </c>
      <c r="V174" t="s">
        <v>627</v>
      </c>
      <c r="W174" t="s">
        <v>654</v>
      </c>
      <c r="X174" t="s">
        <v>629</v>
      </c>
      <c r="Y174" t="s">
        <v>46</v>
      </c>
      <c r="Z174" t="s">
        <v>630</v>
      </c>
      <c r="AA174" t="s">
        <v>419</v>
      </c>
      <c r="AB174" t="s">
        <v>420</v>
      </c>
      <c r="AC174" t="s">
        <v>421</v>
      </c>
      <c r="AD174" t="s">
        <v>39</v>
      </c>
      <c r="AE174" t="s">
        <v>46</v>
      </c>
      <c r="AF174">
        <v>0.5</v>
      </c>
      <c r="AG174" t="s">
        <v>40</v>
      </c>
      <c r="AH174" t="s">
        <v>50</v>
      </c>
      <c r="AI174" t="s">
        <v>46</v>
      </c>
      <c r="AJ174" t="s">
        <v>47</v>
      </c>
      <c r="AK174" t="s">
        <v>61</v>
      </c>
      <c r="AL174">
        <v>20</v>
      </c>
      <c r="AM174" t="s">
        <v>46</v>
      </c>
      <c r="AN174" t="s">
        <v>46</v>
      </c>
      <c r="AO174" t="s">
        <v>46</v>
      </c>
      <c r="AP174" t="s">
        <v>63</v>
      </c>
      <c r="AQ174" t="s">
        <v>46</v>
      </c>
      <c r="AR174" t="s">
        <v>63</v>
      </c>
      <c r="AS174" t="s">
        <v>1629</v>
      </c>
      <c r="AT174" t="s">
        <v>63</v>
      </c>
      <c r="AU174" t="s">
        <v>46</v>
      </c>
      <c r="AV174">
        <v>2020</v>
      </c>
      <c r="AW174" s="3" t="s">
        <v>638</v>
      </c>
    </row>
    <row r="175" spans="1:49" x14ac:dyDescent="0.2">
      <c r="A175">
        <v>174</v>
      </c>
      <c r="B175" t="s">
        <v>624</v>
      </c>
      <c r="C175" t="s">
        <v>55</v>
      </c>
      <c r="D175" t="s">
        <v>625</v>
      </c>
      <c r="E175" t="s">
        <v>68</v>
      </c>
      <c r="F175" t="s">
        <v>46</v>
      </c>
      <c r="G175" t="s">
        <v>46</v>
      </c>
      <c r="H175" t="s">
        <v>46</v>
      </c>
      <c r="I175">
        <v>3</v>
      </c>
      <c r="J175">
        <v>1</v>
      </c>
      <c r="K175" t="s">
        <v>626</v>
      </c>
      <c r="L175" t="s">
        <v>643</v>
      </c>
      <c r="M175">
        <v>243</v>
      </c>
      <c r="N175" t="s">
        <v>68</v>
      </c>
      <c r="O175">
        <f>M175-((243/299)*299)</f>
        <v>0</v>
      </c>
      <c r="P175">
        <f>((243/299)*299)-M175</f>
        <v>0</v>
      </c>
      <c r="Q175" t="s">
        <v>69</v>
      </c>
      <c r="R175">
        <v>3</v>
      </c>
      <c r="S175">
        <v>1</v>
      </c>
      <c r="T175" t="s">
        <v>626</v>
      </c>
      <c r="U175" t="s">
        <v>194</v>
      </c>
      <c r="V175" t="s">
        <v>627</v>
      </c>
      <c r="W175" t="s">
        <v>655</v>
      </c>
      <c r="X175" t="s">
        <v>629</v>
      </c>
      <c r="Y175" t="s">
        <v>46</v>
      </c>
      <c r="Z175" t="s">
        <v>630</v>
      </c>
      <c r="AA175" t="s">
        <v>419</v>
      </c>
      <c r="AB175" t="s">
        <v>420</v>
      </c>
      <c r="AC175" t="s">
        <v>421</v>
      </c>
      <c r="AD175" t="s">
        <v>39</v>
      </c>
      <c r="AE175" t="s">
        <v>46</v>
      </c>
      <c r="AF175">
        <v>0.5</v>
      </c>
      <c r="AG175" t="s">
        <v>40</v>
      </c>
      <c r="AH175" t="s">
        <v>50</v>
      </c>
      <c r="AI175" t="s">
        <v>46</v>
      </c>
      <c r="AJ175" t="s">
        <v>47</v>
      </c>
      <c r="AK175" t="s">
        <v>61</v>
      </c>
      <c r="AL175">
        <v>20</v>
      </c>
      <c r="AM175" t="s">
        <v>46</v>
      </c>
      <c r="AN175" t="s">
        <v>46</v>
      </c>
      <c r="AO175" t="s">
        <v>46</v>
      </c>
      <c r="AP175" t="s">
        <v>63</v>
      </c>
      <c r="AQ175" t="s">
        <v>46</v>
      </c>
      <c r="AR175" t="s">
        <v>63</v>
      </c>
      <c r="AS175" t="s">
        <v>1641</v>
      </c>
      <c r="AT175" t="s">
        <v>63</v>
      </c>
      <c r="AU175" t="s">
        <v>46</v>
      </c>
      <c r="AV175">
        <v>2020</v>
      </c>
      <c r="AW175" s="3" t="s">
        <v>638</v>
      </c>
    </row>
    <row r="176" spans="1:49" x14ac:dyDescent="0.2">
      <c r="A176">
        <v>175</v>
      </c>
      <c r="B176" t="s">
        <v>624</v>
      </c>
      <c r="C176" t="s">
        <v>55</v>
      </c>
      <c r="D176" t="s">
        <v>625</v>
      </c>
      <c r="E176" t="s">
        <v>68</v>
      </c>
      <c r="F176" t="s">
        <v>46</v>
      </c>
      <c r="G176" t="s">
        <v>46</v>
      </c>
      <c r="H176" t="s">
        <v>46</v>
      </c>
      <c r="I176">
        <v>3</v>
      </c>
      <c r="J176">
        <v>1</v>
      </c>
      <c r="K176" t="s">
        <v>626</v>
      </c>
      <c r="L176" t="s">
        <v>644</v>
      </c>
      <c r="M176">
        <v>72</v>
      </c>
      <c r="N176" t="s">
        <v>68</v>
      </c>
      <c r="O176">
        <f>M176-((72/88)*66)</f>
        <v>18</v>
      </c>
      <c r="P176">
        <f>((72/88)*88)-M176</f>
        <v>0</v>
      </c>
      <c r="Q176" t="s">
        <v>69</v>
      </c>
      <c r="R176">
        <v>3</v>
      </c>
      <c r="S176">
        <v>1</v>
      </c>
      <c r="T176" t="s">
        <v>626</v>
      </c>
      <c r="U176" t="s">
        <v>194</v>
      </c>
      <c r="V176" t="s">
        <v>627</v>
      </c>
      <c r="W176" t="s">
        <v>656</v>
      </c>
      <c r="X176" t="s">
        <v>629</v>
      </c>
      <c r="Y176" t="s">
        <v>46</v>
      </c>
      <c r="Z176" t="s">
        <v>630</v>
      </c>
      <c r="AA176" t="s">
        <v>419</v>
      </c>
      <c r="AB176" t="s">
        <v>420</v>
      </c>
      <c r="AC176" t="s">
        <v>421</v>
      </c>
      <c r="AD176" t="s">
        <v>39</v>
      </c>
      <c r="AE176" t="s">
        <v>46</v>
      </c>
      <c r="AF176">
        <v>0.5</v>
      </c>
      <c r="AG176" t="s">
        <v>40</v>
      </c>
      <c r="AH176" t="s">
        <v>50</v>
      </c>
      <c r="AI176" t="s">
        <v>46</v>
      </c>
      <c r="AJ176" t="s">
        <v>47</v>
      </c>
      <c r="AK176" t="s">
        <v>61</v>
      </c>
      <c r="AL176">
        <v>20</v>
      </c>
      <c r="AM176" t="s">
        <v>46</v>
      </c>
      <c r="AN176" t="s">
        <v>46</v>
      </c>
      <c r="AO176" t="s">
        <v>46</v>
      </c>
      <c r="AP176" t="s">
        <v>63</v>
      </c>
      <c r="AQ176" t="s">
        <v>46</v>
      </c>
      <c r="AR176" t="s">
        <v>63</v>
      </c>
      <c r="AS176" t="s">
        <v>1629</v>
      </c>
      <c r="AT176" t="s">
        <v>63</v>
      </c>
      <c r="AU176" t="s">
        <v>46</v>
      </c>
      <c r="AV176">
        <v>2020</v>
      </c>
      <c r="AW176" s="3" t="s">
        <v>638</v>
      </c>
    </row>
    <row r="177" spans="1:49" x14ac:dyDescent="0.2">
      <c r="A177">
        <v>176</v>
      </c>
      <c r="B177" t="s">
        <v>624</v>
      </c>
      <c r="C177" t="s">
        <v>55</v>
      </c>
      <c r="D177" t="s">
        <v>625</v>
      </c>
      <c r="E177" t="s">
        <v>68</v>
      </c>
      <c r="F177" t="s">
        <v>46</v>
      </c>
      <c r="G177" t="s">
        <v>46</v>
      </c>
      <c r="H177" t="s">
        <v>46</v>
      </c>
      <c r="I177">
        <v>3</v>
      </c>
      <c r="J177">
        <v>1</v>
      </c>
      <c r="K177" t="s">
        <v>626</v>
      </c>
      <c r="L177" t="s">
        <v>631</v>
      </c>
      <c r="M177">
        <v>3.4</v>
      </c>
      <c r="N177" t="s">
        <v>68</v>
      </c>
      <c r="O177">
        <f>M177-((3.4/4.5)*0.22)</f>
        <v>3.2337777777777776</v>
      </c>
      <c r="P177">
        <f>((3.4/4.5)*93.4)-M177</f>
        <v>67.168888888888887</v>
      </c>
      <c r="Q177" t="s">
        <v>69</v>
      </c>
      <c r="R177">
        <v>3</v>
      </c>
      <c r="S177">
        <v>1</v>
      </c>
      <c r="T177" t="s">
        <v>626</v>
      </c>
      <c r="U177" t="s">
        <v>194</v>
      </c>
      <c r="V177" t="s">
        <v>670</v>
      </c>
      <c r="W177" t="s">
        <v>657</v>
      </c>
      <c r="X177" t="s">
        <v>629</v>
      </c>
      <c r="Y177" t="s">
        <v>46</v>
      </c>
      <c r="Z177" t="s">
        <v>630</v>
      </c>
      <c r="AA177" t="s">
        <v>419</v>
      </c>
      <c r="AB177" t="s">
        <v>420</v>
      </c>
      <c r="AC177" t="s">
        <v>421</v>
      </c>
      <c r="AD177" t="s">
        <v>39</v>
      </c>
      <c r="AE177" t="s">
        <v>46</v>
      </c>
      <c r="AF177">
        <v>10</v>
      </c>
      <c r="AG177" t="s">
        <v>40</v>
      </c>
      <c r="AH177" t="s">
        <v>50</v>
      </c>
      <c r="AI177" t="s">
        <v>46</v>
      </c>
      <c r="AJ177" t="s">
        <v>47</v>
      </c>
      <c r="AK177" t="s">
        <v>48</v>
      </c>
      <c r="AL177">
        <v>20</v>
      </c>
      <c r="AM177" t="s">
        <v>46</v>
      </c>
      <c r="AN177" t="s">
        <v>46</v>
      </c>
      <c r="AO177" t="s">
        <v>46</v>
      </c>
      <c r="AP177" t="s">
        <v>63</v>
      </c>
      <c r="AQ177" t="s">
        <v>46</v>
      </c>
      <c r="AR177" t="s">
        <v>63</v>
      </c>
      <c r="AS177" t="s">
        <v>1629</v>
      </c>
      <c r="AT177" t="s">
        <v>63</v>
      </c>
      <c r="AU177" t="s">
        <v>46</v>
      </c>
      <c r="AV177">
        <v>2020</v>
      </c>
      <c r="AW177" t="s">
        <v>671</v>
      </c>
    </row>
    <row r="178" spans="1:49" x14ac:dyDescent="0.2">
      <c r="A178">
        <v>177</v>
      </c>
      <c r="B178" t="s">
        <v>624</v>
      </c>
      <c r="C178" t="s">
        <v>55</v>
      </c>
      <c r="D178" t="s">
        <v>625</v>
      </c>
      <c r="E178" t="s">
        <v>68</v>
      </c>
      <c r="F178" t="s">
        <v>46</v>
      </c>
      <c r="G178" t="s">
        <v>46</v>
      </c>
      <c r="H178" t="s">
        <v>46</v>
      </c>
      <c r="I178">
        <v>3</v>
      </c>
      <c r="J178">
        <v>1</v>
      </c>
      <c r="K178" t="s">
        <v>626</v>
      </c>
      <c r="L178" t="s">
        <v>632</v>
      </c>
      <c r="M178">
        <v>374</v>
      </c>
      <c r="N178" t="s">
        <v>68</v>
      </c>
      <c r="O178">
        <f>M178-((374/499)*252)</f>
        <v>185.12625250501003</v>
      </c>
      <c r="P178">
        <f>((374/499)*989)-M178</f>
        <v>367.25450901803606</v>
      </c>
      <c r="Q178" t="s">
        <v>69</v>
      </c>
      <c r="R178">
        <v>3</v>
      </c>
      <c r="S178">
        <v>1</v>
      </c>
      <c r="T178" t="s">
        <v>626</v>
      </c>
      <c r="U178" t="s">
        <v>194</v>
      </c>
      <c r="V178" t="s">
        <v>670</v>
      </c>
      <c r="W178" t="s">
        <v>658</v>
      </c>
      <c r="X178" t="s">
        <v>629</v>
      </c>
      <c r="Y178" t="s">
        <v>46</v>
      </c>
      <c r="Z178" t="s">
        <v>630</v>
      </c>
      <c r="AA178" t="s">
        <v>419</v>
      </c>
      <c r="AB178" t="s">
        <v>420</v>
      </c>
      <c r="AC178" t="s">
        <v>421</v>
      </c>
      <c r="AD178" t="s">
        <v>39</v>
      </c>
      <c r="AE178" t="s">
        <v>46</v>
      </c>
      <c r="AF178">
        <v>10</v>
      </c>
      <c r="AG178" t="s">
        <v>40</v>
      </c>
      <c r="AH178" t="s">
        <v>50</v>
      </c>
      <c r="AI178" t="s">
        <v>46</v>
      </c>
      <c r="AJ178" t="s">
        <v>47</v>
      </c>
      <c r="AK178" t="s">
        <v>48</v>
      </c>
      <c r="AL178">
        <v>20</v>
      </c>
      <c r="AM178" t="s">
        <v>46</v>
      </c>
      <c r="AN178" t="s">
        <v>46</v>
      </c>
      <c r="AO178" t="s">
        <v>46</v>
      </c>
      <c r="AP178" t="s">
        <v>63</v>
      </c>
      <c r="AQ178" t="s">
        <v>46</v>
      </c>
      <c r="AR178" t="s">
        <v>63</v>
      </c>
      <c r="AS178" t="s">
        <v>1629</v>
      </c>
      <c r="AT178" t="s">
        <v>63</v>
      </c>
      <c r="AU178" t="s">
        <v>46</v>
      </c>
      <c r="AV178">
        <v>2020</v>
      </c>
      <c r="AW178" t="s">
        <v>671</v>
      </c>
    </row>
    <row r="179" spans="1:49" x14ac:dyDescent="0.2">
      <c r="A179">
        <v>178</v>
      </c>
      <c r="B179" t="s">
        <v>624</v>
      </c>
      <c r="C179" t="s">
        <v>55</v>
      </c>
      <c r="D179" t="s">
        <v>625</v>
      </c>
      <c r="E179" t="s">
        <v>68</v>
      </c>
      <c r="F179" t="s">
        <v>46</v>
      </c>
      <c r="G179" t="s">
        <v>46</v>
      </c>
      <c r="H179" t="s">
        <v>46</v>
      </c>
      <c r="I179">
        <v>3</v>
      </c>
      <c r="J179">
        <v>1</v>
      </c>
      <c r="K179" t="s">
        <v>626</v>
      </c>
      <c r="L179" t="s">
        <v>633</v>
      </c>
      <c r="M179">
        <v>237</v>
      </c>
      <c r="N179" t="s">
        <v>68</v>
      </c>
      <c r="O179">
        <f>M179-((237/315)*67.9)</f>
        <v>185.91333333333333</v>
      </c>
      <c r="P179">
        <f>((237/315)*1464)-M179</f>
        <v>864.48571428571427</v>
      </c>
      <c r="Q179" t="s">
        <v>69</v>
      </c>
      <c r="R179">
        <v>3</v>
      </c>
      <c r="S179">
        <v>1</v>
      </c>
      <c r="T179" t="s">
        <v>626</v>
      </c>
      <c r="U179" t="s">
        <v>194</v>
      </c>
      <c r="V179" t="s">
        <v>670</v>
      </c>
      <c r="W179" t="s">
        <v>659</v>
      </c>
      <c r="X179" t="s">
        <v>629</v>
      </c>
      <c r="Y179" t="s">
        <v>46</v>
      </c>
      <c r="Z179" t="s">
        <v>630</v>
      </c>
      <c r="AA179" t="s">
        <v>419</v>
      </c>
      <c r="AB179" t="s">
        <v>420</v>
      </c>
      <c r="AC179" t="s">
        <v>421</v>
      </c>
      <c r="AD179" t="s">
        <v>39</v>
      </c>
      <c r="AE179" t="s">
        <v>46</v>
      </c>
      <c r="AF179">
        <v>10</v>
      </c>
      <c r="AG179" t="s">
        <v>40</v>
      </c>
      <c r="AH179" t="s">
        <v>50</v>
      </c>
      <c r="AI179" t="s">
        <v>46</v>
      </c>
      <c r="AJ179" t="s">
        <v>47</v>
      </c>
      <c r="AK179" t="s">
        <v>48</v>
      </c>
      <c r="AL179">
        <v>20</v>
      </c>
      <c r="AM179" t="s">
        <v>46</v>
      </c>
      <c r="AN179" t="s">
        <v>46</v>
      </c>
      <c r="AO179" t="s">
        <v>46</v>
      </c>
      <c r="AP179" t="s">
        <v>63</v>
      </c>
      <c r="AQ179" t="s">
        <v>46</v>
      </c>
      <c r="AR179" t="s">
        <v>63</v>
      </c>
      <c r="AS179" t="s">
        <v>1629</v>
      </c>
      <c r="AT179" t="s">
        <v>63</v>
      </c>
      <c r="AU179" t="s">
        <v>46</v>
      </c>
      <c r="AV179">
        <v>2020</v>
      </c>
      <c r="AW179" t="s">
        <v>671</v>
      </c>
    </row>
    <row r="180" spans="1:49" x14ac:dyDescent="0.2">
      <c r="A180">
        <v>179</v>
      </c>
      <c r="B180" t="s">
        <v>624</v>
      </c>
      <c r="C180" t="s">
        <v>55</v>
      </c>
      <c r="D180" t="s">
        <v>625</v>
      </c>
      <c r="E180" t="s">
        <v>68</v>
      </c>
      <c r="F180" t="s">
        <v>46</v>
      </c>
      <c r="G180" t="s">
        <v>46</v>
      </c>
      <c r="H180" t="s">
        <v>46</v>
      </c>
      <c r="I180">
        <v>3</v>
      </c>
      <c r="J180">
        <v>1</v>
      </c>
      <c r="K180" t="s">
        <v>626</v>
      </c>
      <c r="L180" t="s">
        <v>634</v>
      </c>
      <c r="M180">
        <v>282</v>
      </c>
      <c r="N180" t="s">
        <v>68</v>
      </c>
      <c r="O180">
        <f>M180-((282/377)*197)</f>
        <v>134.64190981432361</v>
      </c>
      <c r="P180">
        <f>((282/377)*720)-M180</f>
        <v>256.56763925729445</v>
      </c>
      <c r="Q180" t="s">
        <v>69</v>
      </c>
      <c r="R180">
        <v>3</v>
      </c>
      <c r="S180">
        <v>1</v>
      </c>
      <c r="T180" t="s">
        <v>626</v>
      </c>
      <c r="U180" t="s">
        <v>194</v>
      </c>
      <c r="V180" t="s">
        <v>670</v>
      </c>
      <c r="W180" t="s">
        <v>660</v>
      </c>
      <c r="X180" t="s">
        <v>629</v>
      </c>
      <c r="Y180" t="s">
        <v>46</v>
      </c>
      <c r="Z180" t="s">
        <v>630</v>
      </c>
      <c r="AA180" t="s">
        <v>419</v>
      </c>
      <c r="AB180" t="s">
        <v>420</v>
      </c>
      <c r="AC180" t="s">
        <v>421</v>
      </c>
      <c r="AD180" t="s">
        <v>39</v>
      </c>
      <c r="AE180" t="s">
        <v>46</v>
      </c>
      <c r="AF180">
        <v>10</v>
      </c>
      <c r="AG180" t="s">
        <v>40</v>
      </c>
      <c r="AH180" t="s">
        <v>50</v>
      </c>
      <c r="AI180" t="s">
        <v>46</v>
      </c>
      <c r="AJ180" t="s">
        <v>47</v>
      </c>
      <c r="AK180" t="s">
        <v>48</v>
      </c>
      <c r="AL180">
        <v>20</v>
      </c>
      <c r="AM180" t="s">
        <v>46</v>
      </c>
      <c r="AN180" t="s">
        <v>46</v>
      </c>
      <c r="AO180" t="s">
        <v>46</v>
      </c>
      <c r="AP180" t="s">
        <v>63</v>
      </c>
      <c r="AQ180" t="s">
        <v>46</v>
      </c>
      <c r="AR180" t="s">
        <v>63</v>
      </c>
      <c r="AS180" t="s">
        <v>1629</v>
      </c>
      <c r="AT180" t="s">
        <v>63</v>
      </c>
      <c r="AU180" t="s">
        <v>46</v>
      </c>
      <c r="AV180">
        <v>2020</v>
      </c>
      <c r="AW180" t="s">
        <v>671</v>
      </c>
    </row>
    <row r="181" spans="1:49" x14ac:dyDescent="0.2">
      <c r="A181">
        <v>180</v>
      </c>
      <c r="B181" t="s">
        <v>624</v>
      </c>
      <c r="C181" t="s">
        <v>55</v>
      </c>
      <c r="D181" t="s">
        <v>625</v>
      </c>
      <c r="E181" t="s">
        <v>68</v>
      </c>
      <c r="F181" t="s">
        <v>46</v>
      </c>
      <c r="G181" t="s">
        <v>46</v>
      </c>
      <c r="H181" t="s">
        <v>46</v>
      </c>
      <c r="I181">
        <v>3</v>
      </c>
      <c r="J181">
        <v>1</v>
      </c>
      <c r="K181" t="s">
        <v>626</v>
      </c>
      <c r="L181" t="s">
        <v>635</v>
      </c>
      <c r="M181">
        <v>2.97</v>
      </c>
      <c r="N181" t="s">
        <v>68</v>
      </c>
      <c r="O181">
        <f>M181-((2.97/3.9)*2.3)</f>
        <v>1.2184615384615387</v>
      </c>
      <c r="P181">
        <f>((2.97/3.9)*6.8)-M181</f>
        <v>2.2084615384615387</v>
      </c>
      <c r="Q181" t="s">
        <v>69</v>
      </c>
      <c r="R181">
        <v>3</v>
      </c>
      <c r="S181">
        <v>1</v>
      </c>
      <c r="T181" t="s">
        <v>626</v>
      </c>
      <c r="U181" t="s">
        <v>194</v>
      </c>
      <c r="V181" t="s">
        <v>670</v>
      </c>
      <c r="W181" t="s">
        <v>661</v>
      </c>
      <c r="X181" t="s">
        <v>629</v>
      </c>
      <c r="Y181" t="s">
        <v>46</v>
      </c>
      <c r="Z181" t="s">
        <v>630</v>
      </c>
      <c r="AA181" t="s">
        <v>419</v>
      </c>
      <c r="AB181" t="s">
        <v>420</v>
      </c>
      <c r="AC181" t="s">
        <v>421</v>
      </c>
      <c r="AD181" t="s">
        <v>39</v>
      </c>
      <c r="AE181" t="s">
        <v>46</v>
      </c>
      <c r="AF181">
        <v>10</v>
      </c>
      <c r="AG181" t="s">
        <v>40</v>
      </c>
      <c r="AH181" t="s">
        <v>50</v>
      </c>
      <c r="AI181" t="s">
        <v>46</v>
      </c>
      <c r="AJ181" t="s">
        <v>47</v>
      </c>
      <c r="AK181" t="s">
        <v>48</v>
      </c>
      <c r="AL181">
        <v>20</v>
      </c>
      <c r="AM181" t="s">
        <v>46</v>
      </c>
      <c r="AN181" t="s">
        <v>46</v>
      </c>
      <c r="AO181" t="s">
        <v>46</v>
      </c>
      <c r="AP181" t="s">
        <v>63</v>
      </c>
      <c r="AQ181" t="s">
        <v>46</v>
      </c>
      <c r="AR181" t="s">
        <v>63</v>
      </c>
      <c r="AS181" t="s">
        <v>1640</v>
      </c>
      <c r="AT181" t="s">
        <v>63</v>
      </c>
      <c r="AU181" t="s">
        <v>46</v>
      </c>
      <c r="AV181">
        <v>2020</v>
      </c>
      <c r="AW181" t="s">
        <v>671</v>
      </c>
    </row>
    <row r="182" spans="1:49" x14ac:dyDescent="0.2">
      <c r="A182">
        <v>181</v>
      </c>
      <c r="B182" t="s">
        <v>624</v>
      </c>
      <c r="C182" t="s">
        <v>55</v>
      </c>
      <c r="D182" t="s">
        <v>625</v>
      </c>
      <c r="E182" t="s">
        <v>68</v>
      </c>
      <c r="F182" t="s">
        <v>46</v>
      </c>
      <c r="G182" t="s">
        <v>46</v>
      </c>
      <c r="H182" t="s">
        <v>46</v>
      </c>
      <c r="I182">
        <v>3</v>
      </c>
      <c r="J182">
        <v>1</v>
      </c>
      <c r="K182" t="s">
        <v>626</v>
      </c>
      <c r="L182" t="s">
        <v>636</v>
      </c>
      <c r="M182">
        <v>223</v>
      </c>
      <c r="N182" t="s">
        <v>68</v>
      </c>
      <c r="O182">
        <f>M182-((223/300)*87.9)</f>
        <v>157.661</v>
      </c>
      <c r="P182">
        <f>((223/300)*1029)-M182</f>
        <v>541.89</v>
      </c>
      <c r="Q182" t="s">
        <v>69</v>
      </c>
      <c r="R182">
        <v>3</v>
      </c>
      <c r="S182">
        <v>1</v>
      </c>
      <c r="T182" t="s">
        <v>626</v>
      </c>
      <c r="U182" t="s">
        <v>194</v>
      </c>
      <c r="V182" t="s">
        <v>670</v>
      </c>
      <c r="W182" t="s">
        <v>662</v>
      </c>
      <c r="X182" t="s">
        <v>629</v>
      </c>
      <c r="Y182" t="s">
        <v>46</v>
      </c>
      <c r="Z182" t="s">
        <v>630</v>
      </c>
      <c r="AA182" t="s">
        <v>419</v>
      </c>
      <c r="AB182" t="s">
        <v>420</v>
      </c>
      <c r="AC182" t="s">
        <v>421</v>
      </c>
      <c r="AD182" t="s">
        <v>39</v>
      </c>
      <c r="AE182" t="s">
        <v>46</v>
      </c>
      <c r="AF182">
        <v>10</v>
      </c>
      <c r="AG182" t="s">
        <v>40</v>
      </c>
      <c r="AH182" t="s">
        <v>50</v>
      </c>
      <c r="AI182" t="s">
        <v>46</v>
      </c>
      <c r="AJ182" t="s">
        <v>47</v>
      </c>
      <c r="AK182" t="s">
        <v>48</v>
      </c>
      <c r="AL182">
        <v>20</v>
      </c>
      <c r="AM182" t="s">
        <v>46</v>
      </c>
      <c r="AN182" t="s">
        <v>46</v>
      </c>
      <c r="AO182" t="s">
        <v>46</v>
      </c>
      <c r="AP182" t="s">
        <v>63</v>
      </c>
      <c r="AQ182" t="s">
        <v>46</v>
      </c>
      <c r="AR182" t="s">
        <v>63</v>
      </c>
      <c r="AS182" t="s">
        <v>1629</v>
      </c>
      <c r="AT182" t="s">
        <v>63</v>
      </c>
      <c r="AU182" t="s">
        <v>46</v>
      </c>
      <c r="AV182">
        <v>2020</v>
      </c>
      <c r="AW182" t="s">
        <v>671</v>
      </c>
    </row>
    <row r="183" spans="1:49" x14ac:dyDescent="0.2">
      <c r="A183">
        <v>182</v>
      </c>
      <c r="B183" t="s">
        <v>624</v>
      </c>
      <c r="C183" t="s">
        <v>55</v>
      </c>
      <c r="D183" t="s">
        <v>625</v>
      </c>
      <c r="E183" t="s">
        <v>68</v>
      </c>
      <c r="F183" t="s">
        <v>46</v>
      </c>
      <c r="G183" t="s">
        <v>46</v>
      </c>
      <c r="H183" t="s">
        <v>46</v>
      </c>
      <c r="I183">
        <v>3</v>
      </c>
      <c r="J183">
        <v>1</v>
      </c>
      <c r="K183" t="s">
        <v>626</v>
      </c>
      <c r="L183" t="s">
        <v>637</v>
      </c>
      <c r="M183">
        <v>291</v>
      </c>
      <c r="N183" t="s">
        <v>68</v>
      </c>
      <c r="O183">
        <f>M183-((291/393)*268)</f>
        <v>92.55725190839695</v>
      </c>
      <c r="P183">
        <f>((291/393)*578)-M183</f>
        <v>136.98473282442751</v>
      </c>
      <c r="Q183" t="s">
        <v>69</v>
      </c>
      <c r="R183">
        <v>3</v>
      </c>
      <c r="S183">
        <v>1</v>
      </c>
      <c r="T183" t="s">
        <v>626</v>
      </c>
      <c r="U183" t="s">
        <v>194</v>
      </c>
      <c r="V183" t="s">
        <v>670</v>
      </c>
      <c r="W183" t="s">
        <v>663</v>
      </c>
      <c r="X183" t="s">
        <v>629</v>
      </c>
      <c r="Y183" t="s">
        <v>46</v>
      </c>
      <c r="Z183" t="s">
        <v>630</v>
      </c>
      <c r="AA183" t="s">
        <v>419</v>
      </c>
      <c r="AB183" t="s">
        <v>420</v>
      </c>
      <c r="AC183" t="s">
        <v>421</v>
      </c>
      <c r="AD183" t="s">
        <v>39</v>
      </c>
      <c r="AE183" t="s">
        <v>46</v>
      </c>
      <c r="AF183">
        <v>10</v>
      </c>
      <c r="AG183" t="s">
        <v>40</v>
      </c>
      <c r="AH183" t="s">
        <v>50</v>
      </c>
      <c r="AI183" t="s">
        <v>46</v>
      </c>
      <c r="AJ183" t="s">
        <v>47</v>
      </c>
      <c r="AK183" t="s">
        <v>48</v>
      </c>
      <c r="AL183">
        <v>20</v>
      </c>
      <c r="AM183" t="s">
        <v>46</v>
      </c>
      <c r="AN183" t="s">
        <v>46</v>
      </c>
      <c r="AO183" t="s">
        <v>46</v>
      </c>
      <c r="AP183" t="s">
        <v>63</v>
      </c>
      <c r="AQ183" t="s">
        <v>46</v>
      </c>
      <c r="AR183" t="s">
        <v>63</v>
      </c>
      <c r="AS183" t="s">
        <v>1629</v>
      </c>
      <c r="AT183" t="s">
        <v>63</v>
      </c>
      <c r="AU183" t="s">
        <v>46</v>
      </c>
      <c r="AV183">
        <v>2020</v>
      </c>
      <c r="AW183" t="s">
        <v>671</v>
      </c>
    </row>
    <row r="184" spans="1:49" x14ac:dyDescent="0.2">
      <c r="A184">
        <v>183</v>
      </c>
      <c r="B184" t="s">
        <v>624</v>
      </c>
      <c r="C184" t="s">
        <v>55</v>
      </c>
      <c r="D184" t="s">
        <v>625</v>
      </c>
      <c r="E184" t="s">
        <v>68</v>
      </c>
      <c r="F184" t="s">
        <v>46</v>
      </c>
      <c r="G184" t="s">
        <v>46</v>
      </c>
      <c r="H184" t="s">
        <v>46</v>
      </c>
      <c r="I184">
        <v>3</v>
      </c>
      <c r="J184">
        <v>1</v>
      </c>
      <c r="K184" t="s">
        <v>626</v>
      </c>
      <c r="L184" t="s">
        <v>639</v>
      </c>
      <c r="M184">
        <v>32.6</v>
      </c>
      <c r="N184" t="s">
        <v>68</v>
      </c>
      <c r="O184">
        <f>M184-((32.6/44)*15.5)</f>
        <v>21.115909090909092</v>
      </c>
      <c r="P184">
        <f>((32.6/44)*125)-M184</f>
        <v>60.013636363636373</v>
      </c>
      <c r="Q184" t="s">
        <v>69</v>
      </c>
      <c r="R184">
        <v>3</v>
      </c>
      <c r="S184">
        <v>1</v>
      </c>
      <c r="T184" t="s">
        <v>626</v>
      </c>
      <c r="U184" t="s">
        <v>194</v>
      </c>
      <c r="V184" t="s">
        <v>670</v>
      </c>
      <c r="W184" t="s">
        <v>664</v>
      </c>
      <c r="X184" t="s">
        <v>629</v>
      </c>
      <c r="Y184" t="s">
        <v>46</v>
      </c>
      <c r="Z184" t="s">
        <v>630</v>
      </c>
      <c r="AA184" t="s">
        <v>419</v>
      </c>
      <c r="AB184" t="s">
        <v>420</v>
      </c>
      <c r="AC184" t="s">
        <v>421</v>
      </c>
      <c r="AD184" t="s">
        <v>39</v>
      </c>
      <c r="AE184" t="s">
        <v>46</v>
      </c>
      <c r="AF184">
        <v>10</v>
      </c>
      <c r="AG184" t="s">
        <v>40</v>
      </c>
      <c r="AH184" t="s">
        <v>50</v>
      </c>
      <c r="AI184" t="s">
        <v>46</v>
      </c>
      <c r="AJ184" t="s">
        <v>47</v>
      </c>
      <c r="AK184" t="s">
        <v>48</v>
      </c>
      <c r="AL184">
        <v>20</v>
      </c>
      <c r="AM184" t="s">
        <v>46</v>
      </c>
      <c r="AN184" t="s">
        <v>46</v>
      </c>
      <c r="AO184" t="s">
        <v>46</v>
      </c>
      <c r="AP184" t="s">
        <v>63</v>
      </c>
      <c r="AQ184" t="s">
        <v>46</v>
      </c>
      <c r="AR184" t="s">
        <v>63</v>
      </c>
      <c r="AS184" t="s">
        <v>1629</v>
      </c>
      <c r="AT184" t="s">
        <v>63</v>
      </c>
      <c r="AU184" t="s">
        <v>46</v>
      </c>
      <c r="AV184">
        <v>2020</v>
      </c>
      <c r="AW184" t="s">
        <v>671</v>
      </c>
    </row>
    <row r="185" spans="1:49" x14ac:dyDescent="0.2">
      <c r="A185">
        <v>184</v>
      </c>
      <c r="B185" t="s">
        <v>624</v>
      </c>
      <c r="C185" t="s">
        <v>55</v>
      </c>
      <c r="D185" t="s">
        <v>625</v>
      </c>
      <c r="E185" t="s">
        <v>68</v>
      </c>
      <c r="F185" t="s">
        <v>46</v>
      </c>
      <c r="G185" t="s">
        <v>46</v>
      </c>
      <c r="H185" t="s">
        <v>46</v>
      </c>
      <c r="I185">
        <v>3</v>
      </c>
      <c r="J185">
        <v>1</v>
      </c>
      <c r="K185" t="s">
        <v>626</v>
      </c>
      <c r="L185" t="s">
        <v>640</v>
      </c>
      <c r="M185">
        <v>271</v>
      </c>
      <c r="N185" t="s">
        <v>68</v>
      </c>
      <c r="O185">
        <f>M185-((271/344)*124)</f>
        <v>173.31395348837208</v>
      </c>
      <c r="P185">
        <f>((271/344)*954)-M185</f>
        <v>480.55232558139528</v>
      </c>
      <c r="Q185" t="s">
        <v>69</v>
      </c>
      <c r="R185">
        <v>3</v>
      </c>
      <c r="S185">
        <v>1</v>
      </c>
      <c r="T185" t="s">
        <v>626</v>
      </c>
      <c r="U185" t="s">
        <v>194</v>
      </c>
      <c r="V185" t="s">
        <v>670</v>
      </c>
      <c r="W185" t="s">
        <v>665</v>
      </c>
      <c r="X185" t="s">
        <v>629</v>
      </c>
      <c r="Y185" t="s">
        <v>46</v>
      </c>
      <c r="Z185" t="s">
        <v>630</v>
      </c>
      <c r="AA185" t="s">
        <v>419</v>
      </c>
      <c r="AB185" t="s">
        <v>420</v>
      </c>
      <c r="AC185" t="s">
        <v>421</v>
      </c>
      <c r="AD185" t="s">
        <v>39</v>
      </c>
      <c r="AE185" t="s">
        <v>46</v>
      </c>
      <c r="AF185">
        <v>10</v>
      </c>
      <c r="AG185" t="s">
        <v>40</v>
      </c>
      <c r="AH185" t="s">
        <v>50</v>
      </c>
      <c r="AI185" t="s">
        <v>46</v>
      </c>
      <c r="AJ185" t="s">
        <v>47</v>
      </c>
      <c r="AK185" t="s">
        <v>48</v>
      </c>
      <c r="AL185">
        <v>20</v>
      </c>
      <c r="AM185" t="s">
        <v>46</v>
      </c>
      <c r="AN185" t="s">
        <v>46</v>
      </c>
      <c r="AO185" t="s">
        <v>46</v>
      </c>
      <c r="AP185" t="s">
        <v>63</v>
      </c>
      <c r="AQ185" t="s">
        <v>46</v>
      </c>
      <c r="AR185" t="s">
        <v>63</v>
      </c>
      <c r="AS185" t="s">
        <v>1629</v>
      </c>
      <c r="AT185" t="s">
        <v>63</v>
      </c>
      <c r="AU185" t="s">
        <v>46</v>
      </c>
      <c r="AV185">
        <v>2020</v>
      </c>
      <c r="AW185" t="s">
        <v>671</v>
      </c>
    </row>
    <row r="186" spans="1:49" x14ac:dyDescent="0.2">
      <c r="A186">
        <v>185</v>
      </c>
      <c r="B186" t="s">
        <v>624</v>
      </c>
      <c r="C186" t="s">
        <v>55</v>
      </c>
      <c r="D186" t="s">
        <v>625</v>
      </c>
      <c r="E186" t="s">
        <v>68</v>
      </c>
      <c r="F186" t="s">
        <v>46</v>
      </c>
      <c r="G186" t="s">
        <v>46</v>
      </c>
      <c r="H186" t="s">
        <v>46</v>
      </c>
      <c r="I186">
        <v>3</v>
      </c>
      <c r="J186">
        <v>1</v>
      </c>
      <c r="K186" t="s">
        <v>626</v>
      </c>
      <c r="L186" t="s">
        <v>641</v>
      </c>
      <c r="M186">
        <v>509</v>
      </c>
      <c r="N186" t="s">
        <v>68</v>
      </c>
      <c r="O186">
        <f>M186-((509/623)*404)</f>
        <v>178.92616372391655</v>
      </c>
      <c r="P186">
        <f>((509/623)*962)-M186</f>
        <v>276.96789727126804</v>
      </c>
      <c r="Q186" t="s">
        <v>69</v>
      </c>
      <c r="R186">
        <v>3</v>
      </c>
      <c r="S186">
        <v>1</v>
      </c>
      <c r="T186" t="s">
        <v>626</v>
      </c>
      <c r="U186" t="s">
        <v>194</v>
      </c>
      <c r="V186" t="s">
        <v>670</v>
      </c>
      <c r="W186" t="s">
        <v>666</v>
      </c>
      <c r="X186" t="s">
        <v>629</v>
      </c>
      <c r="Y186" t="s">
        <v>46</v>
      </c>
      <c r="Z186" t="s">
        <v>630</v>
      </c>
      <c r="AA186" t="s">
        <v>419</v>
      </c>
      <c r="AB186" t="s">
        <v>420</v>
      </c>
      <c r="AC186" t="s">
        <v>421</v>
      </c>
      <c r="AD186" t="s">
        <v>39</v>
      </c>
      <c r="AE186" t="s">
        <v>46</v>
      </c>
      <c r="AF186">
        <v>10</v>
      </c>
      <c r="AG186" t="s">
        <v>40</v>
      </c>
      <c r="AH186" t="s">
        <v>50</v>
      </c>
      <c r="AI186" t="s">
        <v>46</v>
      </c>
      <c r="AJ186" t="s">
        <v>47</v>
      </c>
      <c r="AK186" t="s">
        <v>48</v>
      </c>
      <c r="AL186">
        <v>20</v>
      </c>
      <c r="AM186" t="s">
        <v>46</v>
      </c>
      <c r="AN186" t="s">
        <v>46</v>
      </c>
      <c r="AO186" t="s">
        <v>46</v>
      </c>
      <c r="AP186" t="s">
        <v>63</v>
      </c>
      <c r="AQ186" t="s">
        <v>46</v>
      </c>
      <c r="AR186" t="s">
        <v>63</v>
      </c>
      <c r="AS186" t="s">
        <v>1629</v>
      </c>
      <c r="AT186" t="s">
        <v>63</v>
      </c>
      <c r="AU186" t="s">
        <v>46</v>
      </c>
      <c r="AV186">
        <v>2020</v>
      </c>
      <c r="AW186" t="s">
        <v>671</v>
      </c>
    </row>
    <row r="187" spans="1:49" x14ac:dyDescent="0.2">
      <c r="A187">
        <v>186</v>
      </c>
      <c r="B187" t="s">
        <v>624</v>
      </c>
      <c r="C187" t="s">
        <v>55</v>
      </c>
      <c r="D187" t="s">
        <v>625</v>
      </c>
      <c r="E187" t="s">
        <v>68</v>
      </c>
      <c r="F187" t="s">
        <v>46</v>
      </c>
      <c r="G187" t="s">
        <v>46</v>
      </c>
      <c r="H187" t="s">
        <v>46</v>
      </c>
      <c r="I187">
        <v>3</v>
      </c>
      <c r="J187">
        <v>1</v>
      </c>
      <c r="K187" t="s">
        <v>626</v>
      </c>
      <c r="L187" t="s">
        <v>642</v>
      </c>
      <c r="M187">
        <v>356</v>
      </c>
      <c r="N187" t="s">
        <v>68</v>
      </c>
      <c r="O187">
        <f>M187-((356/437)*291)</f>
        <v>118.93821510297482</v>
      </c>
      <c r="P187">
        <f>((356/437)*655)-M187</f>
        <v>177.59267734553782</v>
      </c>
      <c r="Q187" t="s">
        <v>69</v>
      </c>
      <c r="R187">
        <v>3</v>
      </c>
      <c r="S187">
        <v>1</v>
      </c>
      <c r="T187" t="s">
        <v>626</v>
      </c>
      <c r="U187" t="s">
        <v>194</v>
      </c>
      <c r="V187" t="s">
        <v>670</v>
      </c>
      <c r="W187" t="s">
        <v>667</v>
      </c>
      <c r="X187" t="s">
        <v>629</v>
      </c>
      <c r="Y187" t="s">
        <v>46</v>
      </c>
      <c r="Z187" t="s">
        <v>630</v>
      </c>
      <c r="AA187" t="s">
        <v>419</v>
      </c>
      <c r="AB187" t="s">
        <v>420</v>
      </c>
      <c r="AC187" t="s">
        <v>421</v>
      </c>
      <c r="AD187" t="s">
        <v>39</v>
      </c>
      <c r="AE187" t="s">
        <v>46</v>
      </c>
      <c r="AF187">
        <v>10</v>
      </c>
      <c r="AG187" t="s">
        <v>40</v>
      </c>
      <c r="AH187" t="s">
        <v>50</v>
      </c>
      <c r="AI187" t="s">
        <v>46</v>
      </c>
      <c r="AJ187" t="s">
        <v>47</v>
      </c>
      <c r="AK187" t="s">
        <v>48</v>
      </c>
      <c r="AL187">
        <v>20</v>
      </c>
      <c r="AM187" t="s">
        <v>46</v>
      </c>
      <c r="AN187" t="s">
        <v>46</v>
      </c>
      <c r="AO187" t="s">
        <v>46</v>
      </c>
      <c r="AP187" t="s">
        <v>63</v>
      </c>
      <c r="AQ187" t="s">
        <v>46</v>
      </c>
      <c r="AR187" t="s">
        <v>63</v>
      </c>
      <c r="AS187" t="s">
        <v>1629</v>
      </c>
      <c r="AT187" t="s">
        <v>63</v>
      </c>
      <c r="AU187" t="s">
        <v>46</v>
      </c>
      <c r="AV187">
        <v>2020</v>
      </c>
      <c r="AW187" t="s">
        <v>671</v>
      </c>
    </row>
    <row r="188" spans="1:49" x14ac:dyDescent="0.2">
      <c r="A188">
        <v>187</v>
      </c>
      <c r="B188" t="s">
        <v>624</v>
      </c>
      <c r="C188" t="s">
        <v>55</v>
      </c>
      <c r="D188" t="s">
        <v>625</v>
      </c>
      <c r="E188" t="s">
        <v>68</v>
      </c>
      <c r="F188" t="s">
        <v>46</v>
      </c>
      <c r="G188" t="s">
        <v>46</v>
      </c>
      <c r="H188" t="s">
        <v>46</v>
      </c>
      <c r="I188">
        <v>3</v>
      </c>
      <c r="J188">
        <v>1</v>
      </c>
      <c r="K188" t="s">
        <v>626</v>
      </c>
      <c r="L188" t="s">
        <v>643</v>
      </c>
      <c r="M188">
        <v>71.3</v>
      </c>
      <c r="N188" t="s">
        <v>68</v>
      </c>
      <c r="O188">
        <f>M188-((71.3/87.8)*21.4)</f>
        <v>53.921640091116174</v>
      </c>
      <c r="P188">
        <f>((71.3/87.8)*361)-M188</f>
        <v>221.85831435079729</v>
      </c>
      <c r="Q188" t="s">
        <v>69</v>
      </c>
      <c r="R188">
        <v>3</v>
      </c>
      <c r="S188">
        <v>1</v>
      </c>
      <c r="T188" t="s">
        <v>626</v>
      </c>
      <c r="U188" t="s">
        <v>194</v>
      </c>
      <c r="V188" t="s">
        <v>670</v>
      </c>
      <c r="W188" t="s">
        <v>668</v>
      </c>
      <c r="X188" t="s">
        <v>629</v>
      </c>
      <c r="Y188" t="s">
        <v>46</v>
      </c>
      <c r="Z188" t="s">
        <v>630</v>
      </c>
      <c r="AA188" t="s">
        <v>419</v>
      </c>
      <c r="AB188" t="s">
        <v>420</v>
      </c>
      <c r="AC188" t="s">
        <v>421</v>
      </c>
      <c r="AD188" t="s">
        <v>39</v>
      </c>
      <c r="AE188" t="s">
        <v>46</v>
      </c>
      <c r="AF188">
        <v>10</v>
      </c>
      <c r="AG188" t="s">
        <v>40</v>
      </c>
      <c r="AH188" t="s">
        <v>50</v>
      </c>
      <c r="AI188" t="s">
        <v>46</v>
      </c>
      <c r="AJ188" t="s">
        <v>47</v>
      </c>
      <c r="AK188" t="s">
        <v>48</v>
      </c>
      <c r="AL188">
        <v>20</v>
      </c>
      <c r="AM188" t="s">
        <v>46</v>
      </c>
      <c r="AN188" t="s">
        <v>46</v>
      </c>
      <c r="AO188" t="s">
        <v>46</v>
      </c>
      <c r="AP188" t="s">
        <v>63</v>
      </c>
      <c r="AQ188" t="s">
        <v>46</v>
      </c>
      <c r="AR188" t="s">
        <v>63</v>
      </c>
      <c r="AS188" t="s">
        <v>1641</v>
      </c>
      <c r="AT188" t="s">
        <v>63</v>
      </c>
      <c r="AU188" t="s">
        <v>46</v>
      </c>
      <c r="AV188">
        <v>2020</v>
      </c>
      <c r="AW188" t="s">
        <v>671</v>
      </c>
    </row>
    <row r="189" spans="1:49" x14ac:dyDescent="0.2">
      <c r="A189">
        <v>188</v>
      </c>
      <c r="B189" t="s">
        <v>624</v>
      </c>
      <c r="C189" t="s">
        <v>55</v>
      </c>
      <c r="D189" t="s">
        <v>625</v>
      </c>
      <c r="E189" t="s">
        <v>68</v>
      </c>
      <c r="F189" t="s">
        <v>46</v>
      </c>
      <c r="G189" t="s">
        <v>46</v>
      </c>
      <c r="H189" t="s">
        <v>46</v>
      </c>
      <c r="I189">
        <v>3</v>
      </c>
      <c r="J189">
        <v>1</v>
      </c>
      <c r="K189" t="s">
        <v>626</v>
      </c>
      <c r="L189" t="s">
        <v>644</v>
      </c>
      <c r="M189">
        <v>32.200000000000003</v>
      </c>
      <c r="N189" t="s">
        <v>68</v>
      </c>
      <c r="O189">
        <f>M189-((32.2/39.3)*18.4)</f>
        <v>17.124173027989826</v>
      </c>
      <c r="P189">
        <f>((32.2/39.3)*84)-M189</f>
        <v>36.62442748091604</v>
      </c>
      <c r="Q189" t="s">
        <v>69</v>
      </c>
      <c r="R189">
        <v>3</v>
      </c>
      <c r="S189">
        <v>1</v>
      </c>
      <c r="T189" t="s">
        <v>626</v>
      </c>
      <c r="U189" t="s">
        <v>194</v>
      </c>
      <c r="V189" t="s">
        <v>670</v>
      </c>
      <c r="W189" t="s">
        <v>669</v>
      </c>
      <c r="X189" t="s">
        <v>629</v>
      </c>
      <c r="Y189" t="s">
        <v>46</v>
      </c>
      <c r="Z189" t="s">
        <v>630</v>
      </c>
      <c r="AA189" t="s">
        <v>419</v>
      </c>
      <c r="AB189" t="s">
        <v>420</v>
      </c>
      <c r="AC189" t="s">
        <v>421</v>
      </c>
      <c r="AD189" t="s">
        <v>39</v>
      </c>
      <c r="AE189" t="s">
        <v>46</v>
      </c>
      <c r="AF189">
        <v>10</v>
      </c>
      <c r="AG189" t="s">
        <v>40</v>
      </c>
      <c r="AH189" t="s">
        <v>50</v>
      </c>
      <c r="AI189" t="s">
        <v>46</v>
      </c>
      <c r="AJ189" t="s">
        <v>47</v>
      </c>
      <c r="AK189" t="s">
        <v>48</v>
      </c>
      <c r="AL189">
        <v>20</v>
      </c>
      <c r="AM189" t="s">
        <v>46</v>
      </c>
      <c r="AN189" t="s">
        <v>46</v>
      </c>
      <c r="AO189" t="s">
        <v>46</v>
      </c>
      <c r="AP189" t="s">
        <v>63</v>
      </c>
      <c r="AQ189" t="s">
        <v>46</v>
      </c>
      <c r="AR189" t="s">
        <v>63</v>
      </c>
      <c r="AS189" t="s">
        <v>1629</v>
      </c>
      <c r="AT189" t="s">
        <v>63</v>
      </c>
      <c r="AU189" t="s">
        <v>46</v>
      </c>
      <c r="AV189">
        <v>2020</v>
      </c>
      <c r="AW189" t="s">
        <v>671</v>
      </c>
    </row>
    <row r="190" spans="1:49" x14ac:dyDescent="0.2">
      <c r="A190">
        <v>189</v>
      </c>
      <c r="B190" t="s">
        <v>624</v>
      </c>
      <c r="C190" t="s">
        <v>55</v>
      </c>
      <c r="D190" t="s">
        <v>625</v>
      </c>
      <c r="E190" t="s">
        <v>68</v>
      </c>
      <c r="F190" t="s">
        <v>46</v>
      </c>
      <c r="G190" t="s">
        <v>46</v>
      </c>
      <c r="H190" t="s">
        <v>46</v>
      </c>
      <c r="I190">
        <v>3</v>
      </c>
      <c r="J190">
        <v>1</v>
      </c>
      <c r="K190" t="s">
        <v>626</v>
      </c>
      <c r="L190" t="s">
        <v>631</v>
      </c>
      <c r="M190">
        <v>19.600000000000001</v>
      </c>
      <c r="N190" t="s">
        <v>68</v>
      </c>
      <c r="O190">
        <f>M190-((19.6/26.4)*12)</f>
        <v>10.690909090909091</v>
      </c>
      <c r="P190">
        <f>((19.6/26.4)*58)-M190</f>
        <v>23.460606060606068</v>
      </c>
      <c r="Q190" t="s">
        <v>69</v>
      </c>
      <c r="R190">
        <v>3</v>
      </c>
      <c r="S190">
        <v>1</v>
      </c>
      <c r="T190" t="s">
        <v>626</v>
      </c>
      <c r="U190" t="s">
        <v>194</v>
      </c>
      <c r="V190" t="s">
        <v>672</v>
      </c>
      <c r="W190" t="s">
        <v>673</v>
      </c>
      <c r="X190" t="s">
        <v>629</v>
      </c>
      <c r="Y190" t="s">
        <v>46</v>
      </c>
      <c r="Z190" t="s">
        <v>630</v>
      </c>
      <c r="AA190" t="s">
        <v>419</v>
      </c>
      <c r="AB190" t="s">
        <v>420</v>
      </c>
      <c r="AC190" t="s">
        <v>421</v>
      </c>
      <c r="AD190" t="s">
        <v>39</v>
      </c>
      <c r="AE190" t="s">
        <v>46</v>
      </c>
      <c r="AF190">
        <v>15</v>
      </c>
      <c r="AG190" t="s">
        <v>40</v>
      </c>
      <c r="AH190" t="s">
        <v>50</v>
      </c>
      <c r="AI190" t="s">
        <v>46</v>
      </c>
      <c r="AJ190" t="s">
        <v>47</v>
      </c>
      <c r="AK190" t="s">
        <v>48</v>
      </c>
      <c r="AL190">
        <v>20</v>
      </c>
      <c r="AM190" t="s">
        <v>46</v>
      </c>
      <c r="AN190" t="s">
        <v>46</v>
      </c>
      <c r="AO190" t="s">
        <v>46</v>
      </c>
      <c r="AP190" t="s">
        <v>63</v>
      </c>
      <c r="AQ190" t="s">
        <v>46</v>
      </c>
      <c r="AR190" t="s">
        <v>63</v>
      </c>
      <c r="AS190" t="s">
        <v>1629</v>
      </c>
      <c r="AT190" t="s">
        <v>63</v>
      </c>
      <c r="AU190" t="s">
        <v>46</v>
      </c>
      <c r="AV190">
        <v>2020</v>
      </c>
      <c r="AW190" t="s">
        <v>671</v>
      </c>
    </row>
    <row r="191" spans="1:49" x14ac:dyDescent="0.2">
      <c r="A191">
        <v>190</v>
      </c>
      <c r="B191" t="s">
        <v>624</v>
      </c>
      <c r="C191" t="s">
        <v>55</v>
      </c>
      <c r="D191" t="s">
        <v>625</v>
      </c>
      <c r="E191" t="s">
        <v>68</v>
      </c>
      <c r="F191" t="s">
        <v>46</v>
      </c>
      <c r="G191" t="s">
        <v>46</v>
      </c>
      <c r="H191" t="s">
        <v>46</v>
      </c>
      <c r="I191">
        <v>3</v>
      </c>
      <c r="J191">
        <v>1</v>
      </c>
      <c r="K191" t="s">
        <v>626</v>
      </c>
      <c r="L191" t="s">
        <v>632</v>
      </c>
      <c r="M191">
        <v>222</v>
      </c>
      <c r="N191" t="s">
        <v>68</v>
      </c>
      <c r="O191">
        <f>M191-((222/297)*109)</f>
        <v>140.52525252525254</v>
      </c>
      <c r="P191">
        <f>((222/297)*805)-M191</f>
        <v>379.71717171717171</v>
      </c>
      <c r="Q191" t="s">
        <v>69</v>
      </c>
      <c r="R191">
        <v>3</v>
      </c>
      <c r="S191">
        <v>1</v>
      </c>
      <c r="T191" t="s">
        <v>626</v>
      </c>
      <c r="U191" t="s">
        <v>194</v>
      </c>
      <c r="V191" t="s">
        <v>672</v>
      </c>
      <c r="W191" t="s">
        <v>674</v>
      </c>
      <c r="X191" t="s">
        <v>629</v>
      </c>
      <c r="Y191" t="s">
        <v>46</v>
      </c>
      <c r="Z191" t="s">
        <v>630</v>
      </c>
      <c r="AA191" t="s">
        <v>419</v>
      </c>
      <c r="AB191" t="s">
        <v>420</v>
      </c>
      <c r="AC191" t="s">
        <v>421</v>
      </c>
      <c r="AD191" t="s">
        <v>39</v>
      </c>
      <c r="AE191" t="s">
        <v>46</v>
      </c>
      <c r="AF191">
        <v>15</v>
      </c>
      <c r="AG191" t="s">
        <v>40</v>
      </c>
      <c r="AH191" t="s">
        <v>50</v>
      </c>
      <c r="AI191" t="s">
        <v>46</v>
      </c>
      <c r="AJ191" t="s">
        <v>47</v>
      </c>
      <c r="AK191" t="s">
        <v>48</v>
      </c>
      <c r="AL191">
        <v>20</v>
      </c>
      <c r="AM191" t="s">
        <v>46</v>
      </c>
      <c r="AN191" t="s">
        <v>46</v>
      </c>
      <c r="AO191" t="s">
        <v>46</v>
      </c>
      <c r="AP191" t="s">
        <v>63</v>
      </c>
      <c r="AQ191" t="s">
        <v>46</v>
      </c>
      <c r="AR191" t="s">
        <v>63</v>
      </c>
      <c r="AS191" t="s">
        <v>1629</v>
      </c>
      <c r="AT191" t="s">
        <v>63</v>
      </c>
      <c r="AU191" t="s">
        <v>46</v>
      </c>
      <c r="AV191">
        <v>2020</v>
      </c>
      <c r="AW191" t="s">
        <v>671</v>
      </c>
    </row>
    <row r="192" spans="1:49" x14ac:dyDescent="0.2">
      <c r="A192">
        <v>191</v>
      </c>
      <c r="B192" t="s">
        <v>624</v>
      </c>
      <c r="C192" t="s">
        <v>55</v>
      </c>
      <c r="D192" t="s">
        <v>625</v>
      </c>
      <c r="E192" t="s">
        <v>68</v>
      </c>
      <c r="F192" t="s">
        <v>46</v>
      </c>
      <c r="G192" t="s">
        <v>46</v>
      </c>
      <c r="H192" t="s">
        <v>46</v>
      </c>
      <c r="I192">
        <v>3</v>
      </c>
      <c r="J192">
        <v>1</v>
      </c>
      <c r="K192" t="s">
        <v>626</v>
      </c>
      <c r="L192" t="s">
        <v>633</v>
      </c>
      <c r="M192">
        <v>62</v>
      </c>
      <c r="N192" t="s">
        <v>68</v>
      </c>
      <c r="O192">
        <f>M192-((62/83)*46.3)</f>
        <v>27.414457831325308</v>
      </c>
      <c r="P192">
        <f>((62/83)*149)-M192</f>
        <v>49.301204819277103</v>
      </c>
      <c r="Q192" t="s">
        <v>69</v>
      </c>
      <c r="R192">
        <v>3</v>
      </c>
      <c r="S192">
        <v>1</v>
      </c>
      <c r="T192" t="s">
        <v>626</v>
      </c>
      <c r="U192" t="s">
        <v>194</v>
      </c>
      <c r="V192" t="s">
        <v>672</v>
      </c>
      <c r="W192" t="s">
        <v>675</v>
      </c>
      <c r="X192" t="s">
        <v>629</v>
      </c>
      <c r="Y192" t="s">
        <v>46</v>
      </c>
      <c r="Z192" t="s">
        <v>630</v>
      </c>
      <c r="AA192" t="s">
        <v>419</v>
      </c>
      <c r="AB192" t="s">
        <v>420</v>
      </c>
      <c r="AC192" t="s">
        <v>421</v>
      </c>
      <c r="AD192" t="s">
        <v>39</v>
      </c>
      <c r="AE192" t="s">
        <v>46</v>
      </c>
      <c r="AF192">
        <v>15</v>
      </c>
      <c r="AG192" t="s">
        <v>40</v>
      </c>
      <c r="AH192" t="s">
        <v>50</v>
      </c>
      <c r="AI192" t="s">
        <v>46</v>
      </c>
      <c r="AJ192" t="s">
        <v>47</v>
      </c>
      <c r="AK192" t="s">
        <v>48</v>
      </c>
      <c r="AL192">
        <v>20</v>
      </c>
      <c r="AM192" t="s">
        <v>46</v>
      </c>
      <c r="AN192" t="s">
        <v>46</v>
      </c>
      <c r="AO192" t="s">
        <v>46</v>
      </c>
      <c r="AP192" t="s">
        <v>63</v>
      </c>
      <c r="AQ192" t="s">
        <v>46</v>
      </c>
      <c r="AR192" t="s">
        <v>63</v>
      </c>
      <c r="AS192" t="s">
        <v>1629</v>
      </c>
      <c r="AT192" t="s">
        <v>63</v>
      </c>
      <c r="AU192" t="s">
        <v>46</v>
      </c>
      <c r="AV192">
        <v>2020</v>
      </c>
      <c r="AW192" t="s">
        <v>671</v>
      </c>
    </row>
    <row r="193" spans="1:49" x14ac:dyDescent="0.2">
      <c r="A193">
        <v>192</v>
      </c>
      <c r="B193" t="s">
        <v>624</v>
      </c>
      <c r="C193" t="s">
        <v>55</v>
      </c>
      <c r="D193" t="s">
        <v>625</v>
      </c>
      <c r="E193" t="s">
        <v>68</v>
      </c>
      <c r="F193" t="s">
        <v>46</v>
      </c>
      <c r="G193" t="s">
        <v>46</v>
      </c>
      <c r="H193" t="s">
        <v>46</v>
      </c>
      <c r="I193">
        <v>3</v>
      </c>
      <c r="J193">
        <v>1</v>
      </c>
      <c r="K193" t="s">
        <v>626</v>
      </c>
      <c r="L193" t="s">
        <v>634</v>
      </c>
      <c r="M193">
        <v>77.599999999999994</v>
      </c>
      <c r="N193" t="s">
        <v>68</v>
      </c>
      <c r="O193">
        <f>M193-((77.6/103)*55.7)</f>
        <v>35.635728155339805</v>
      </c>
      <c r="P193">
        <f>((77.6/103)*192)-M193</f>
        <v>67.052427184466012</v>
      </c>
      <c r="Q193" t="s">
        <v>69</v>
      </c>
      <c r="R193">
        <v>3</v>
      </c>
      <c r="S193">
        <v>1</v>
      </c>
      <c r="T193" t="s">
        <v>626</v>
      </c>
      <c r="U193" t="s">
        <v>194</v>
      </c>
      <c r="V193" t="s">
        <v>672</v>
      </c>
      <c r="W193" t="s">
        <v>676</v>
      </c>
      <c r="X193" t="s">
        <v>629</v>
      </c>
      <c r="Y193" t="s">
        <v>46</v>
      </c>
      <c r="Z193" t="s">
        <v>630</v>
      </c>
      <c r="AA193" t="s">
        <v>419</v>
      </c>
      <c r="AB193" t="s">
        <v>420</v>
      </c>
      <c r="AC193" t="s">
        <v>421</v>
      </c>
      <c r="AD193" t="s">
        <v>39</v>
      </c>
      <c r="AE193" t="s">
        <v>46</v>
      </c>
      <c r="AF193">
        <v>15</v>
      </c>
      <c r="AG193" t="s">
        <v>40</v>
      </c>
      <c r="AH193" t="s">
        <v>50</v>
      </c>
      <c r="AI193" t="s">
        <v>46</v>
      </c>
      <c r="AJ193" t="s">
        <v>47</v>
      </c>
      <c r="AK193" t="s">
        <v>48</v>
      </c>
      <c r="AL193">
        <v>20</v>
      </c>
      <c r="AM193" t="s">
        <v>46</v>
      </c>
      <c r="AN193" t="s">
        <v>46</v>
      </c>
      <c r="AO193" t="s">
        <v>46</v>
      </c>
      <c r="AP193" t="s">
        <v>63</v>
      </c>
      <c r="AQ193" t="s">
        <v>46</v>
      </c>
      <c r="AR193" t="s">
        <v>63</v>
      </c>
      <c r="AS193" t="s">
        <v>1629</v>
      </c>
      <c r="AT193" t="s">
        <v>63</v>
      </c>
      <c r="AU193" t="s">
        <v>46</v>
      </c>
      <c r="AV193">
        <v>2020</v>
      </c>
      <c r="AW193" t="s">
        <v>671</v>
      </c>
    </row>
    <row r="194" spans="1:49" x14ac:dyDescent="0.2">
      <c r="A194">
        <v>193</v>
      </c>
      <c r="B194" t="s">
        <v>624</v>
      </c>
      <c r="C194" t="s">
        <v>55</v>
      </c>
      <c r="D194" t="s">
        <v>625</v>
      </c>
      <c r="E194" t="s">
        <v>68</v>
      </c>
      <c r="F194" t="s">
        <v>46</v>
      </c>
      <c r="G194" t="s">
        <v>46</v>
      </c>
      <c r="H194" t="s">
        <v>46</v>
      </c>
      <c r="I194">
        <v>3</v>
      </c>
      <c r="J194">
        <v>1</v>
      </c>
      <c r="K194" t="s">
        <v>626</v>
      </c>
      <c r="L194" t="s">
        <v>635</v>
      </c>
      <c r="M194">
        <v>0.9</v>
      </c>
      <c r="N194" t="s">
        <v>68</v>
      </c>
      <c r="O194">
        <f>M194-((0.9/1.2)*0.25)</f>
        <v>0.71250000000000002</v>
      </c>
      <c r="P194">
        <f>((0.9/1.2)*6)-M194</f>
        <v>3.6</v>
      </c>
      <c r="Q194" t="s">
        <v>69</v>
      </c>
      <c r="R194">
        <v>3</v>
      </c>
      <c r="S194">
        <v>1</v>
      </c>
      <c r="T194" t="s">
        <v>626</v>
      </c>
      <c r="U194" t="s">
        <v>194</v>
      </c>
      <c r="V194" t="s">
        <v>672</v>
      </c>
      <c r="W194" t="s">
        <v>677</v>
      </c>
      <c r="X194" t="s">
        <v>629</v>
      </c>
      <c r="Y194" t="s">
        <v>46</v>
      </c>
      <c r="Z194" t="s">
        <v>630</v>
      </c>
      <c r="AA194" t="s">
        <v>419</v>
      </c>
      <c r="AB194" t="s">
        <v>420</v>
      </c>
      <c r="AC194" t="s">
        <v>421</v>
      </c>
      <c r="AD194" t="s">
        <v>39</v>
      </c>
      <c r="AE194" t="s">
        <v>46</v>
      </c>
      <c r="AF194">
        <v>15</v>
      </c>
      <c r="AG194" t="s">
        <v>40</v>
      </c>
      <c r="AH194" t="s">
        <v>50</v>
      </c>
      <c r="AI194" t="s">
        <v>46</v>
      </c>
      <c r="AJ194" t="s">
        <v>47</v>
      </c>
      <c r="AK194" t="s">
        <v>48</v>
      </c>
      <c r="AL194">
        <v>20</v>
      </c>
      <c r="AM194" t="s">
        <v>46</v>
      </c>
      <c r="AN194" t="s">
        <v>46</v>
      </c>
      <c r="AO194" t="s">
        <v>46</v>
      </c>
      <c r="AP194" t="s">
        <v>63</v>
      </c>
      <c r="AQ194" t="s">
        <v>46</v>
      </c>
      <c r="AR194" t="s">
        <v>63</v>
      </c>
      <c r="AS194" t="s">
        <v>1640</v>
      </c>
      <c r="AT194" t="s">
        <v>63</v>
      </c>
      <c r="AU194" t="s">
        <v>46</v>
      </c>
      <c r="AV194">
        <v>2020</v>
      </c>
      <c r="AW194" t="s">
        <v>671</v>
      </c>
    </row>
    <row r="195" spans="1:49" x14ac:dyDescent="0.2">
      <c r="A195">
        <v>194</v>
      </c>
      <c r="B195" t="s">
        <v>624</v>
      </c>
      <c r="C195" t="s">
        <v>55</v>
      </c>
      <c r="D195" t="s">
        <v>625</v>
      </c>
      <c r="E195" t="s">
        <v>68</v>
      </c>
      <c r="F195" t="s">
        <v>46</v>
      </c>
      <c r="G195" t="s">
        <v>46</v>
      </c>
      <c r="H195" t="s">
        <v>46</v>
      </c>
      <c r="I195">
        <v>3</v>
      </c>
      <c r="J195">
        <v>1</v>
      </c>
      <c r="K195" t="s">
        <v>626</v>
      </c>
      <c r="L195" t="s">
        <v>636</v>
      </c>
      <c r="M195">
        <v>96.7</v>
      </c>
      <c r="N195" t="s">
        <v>68</v>
      </c>
      <c r="O195">
        <f>M195-((96.7/130)*75.2)</f>
        <v>40.76276923076923</v>
      </c>
      <c r="P195">
        <f>((96.7/130)*227)-M195</f>
        <v>72.15307692307691</v>
      </c>
      <c r="Q195" t="s">
        <v>69</v>
      </c>
      <c r="R195">
        <v>3</v>
      </c>
      <c r="S195">
        <v>1</v>
      </c>
      <c r="T195" t="s">
        <v>626</v>
      </c>
      <c r="U195" t="s">
        <v>194</v>
      </c>
      <c r="V195" t="s">
        <v>672</v>
      </c>
      <c r="W195" t="s">
        <v>678</v>
      </c>
      <c r="X195" t="s">
        <v>629</v>
      </c>
      <c r="Y195" t="s">
        <v>46</v>
      </c>
      <c r="Z195" t="s">
        <v>630</v>
      </c>
      <c r="AA195" t="s">
        <v>419</v>
      </c>
      <c r="AB195" t="s">
        <v>420</v>
      </c>
      <c r="AC195" t="s">
        <v>421</v>
      </c>
      <c r="AD195" t="s">
        <v>39</v>
      </c>
      <c r="AE195" t="s">
        <v>46</v>
      </c>
      <c r="AF195">
        <v>15</v>
      </c>
      <c r="AG195" t="s">
        <v>40</v>
      </c>
      <c r="AH195" t="s">
        <v>50</v>
      </c>
      <c r="AI195" t="s">
        <v>46</v>
      </c>
      <c r="AJ195" t="s">
        <v>47</v>
      </c>
      <c r="AK195" t="s">
        <v>48</v>
      </c>
      <c r="AL195">
        <v>20</v>
      </c>
      <c r="AM195" t="s">
        <v>46</v>
      </c>
      <c r="AN195" t="s">
        <v>46</v>
      </c>
      <c r="AO195" t="s">
        <v>46</v>
      </c>
      <c r="AP195" t="s">
        <v>63</v>
      </c>
      <c r="AQ195" t="s">
        <v>46</v>
      </c>
      <c r="AR195" t="s">
        <v>63</v>
      </c>
      <c r="AS195" t="s">
        <v>1629</v>
      </c>
      <c r="AT195" t="s">
        <v>63</v>
      </c>
      <c r="AU195" t="s">
        <v>46</v>
      </c>
      <c r="AV195">
        <v>2020</v>
      </c>
      <c r="AW195" t="s">
        <v>671</v>
      </c>
    </row>
    <row r="196" spans="1:49" x14ac:dyDescent="0.2">
      <c r="A196">
        <v>195</v>
      </c>
      <c r="B196" t="s">
        <v>624</v>
      </c>
      <c r="C196" t="s">
        <v>55</v>
      </c>
      <c r="D196" t="s">
        <v>625</v>
      </c>
      <c r="E196" t="s">
        <v>68</v>
      </c>
      <c r="F196" t="s">
        <v>46</v>
      </c>
      <c r="G196" t="s">
        <v>46</v>
      </c>
      <c r="H196" t="s">
        <v>46</v>
      </c>
      <c r="I196">
        <v>3</v>
      </c>
      <c r="J196">
        <v>1</v>
      </c>
      <c r="K196" t="s">
        <v>626</v>
      </c>
      <c r="L196" t="s">
        <v>637</v>
      </c>
      <c r="M196">
        <v>87.7</v>
      </c>
      <c r="N196" t="s">
        <v>68</v>
      </c>
      <c r="O196">
        <f>M196-((87.7/119)*76.9)</f>
        <v>31.026638655462179</v>
      </c>
      <c r="P196">
        <f>((87.7/119)*183)-M196</f>
        <v>47.166386554621866</v>
      </c>
      <c r="Q196" t="s">
        <v>69</v>
      </c>
      <c r="R196">
        <v>3</v>
      </c>
      <c r="S196">
        <v>1</v>
      </c>
      <c r="T196" t="s">
        <v>626</v>
      </c>
      <c r="U196" t="s">
        <v>194</v>
      </c>
      <c r="V196" t="s">
        <v>672</v>
      </c>
      <c r="W196" t="s">
        <v>679</v>
      </c>
      <c r="X196" t="s">
        <v>629</v>
      </c>
      <c r="Y196" t="s">
        <v>46</v>
      </c>
      <c r="Z196" t="s">
        <v>630</v>
      </c>
      <c r="AA196" t="s">
        <v>419</v>
      </c>
      <c r="AB196" t="s">
        <v>420</v>
      </c>
      <c r="AC196" t="s">
        <v>421</v>
      </c>
      <c r="AD196" t="s">
        <v>39</v>
      </c>
      <c r="AE196" t="s">
        <v>46</v>
      </c>
      <c r="AF196">
        <v>15</v>
      </c>
      <c r="AG196" t="s">
        <v>40</v>
      </c>
      <c r="AH196" t="s">
        <v>50</v>
      </c>
      <c r="AI196" t="s">
        <v>46</v>
      </c>
      <c r="AJ196" t="s">
        <v>47</v>
      </c>
      <c r="AK196" t="s">
        <v>48</v>
      </c>
      <c r="AL196">
        <v>20</v>
      </c>
      <c r="AM196" t="s">
        <v>46</v>
      </c>
      <c r="AN196" t="s">
        <v>46</v>
      </c>
      <c r="AO196" t="s">
        <v>46</v>
      </c>
      <c r="AP196" t="s">
        <v>63</v>
      </c>
      <c r="AQ196" t="s">
        <v>46</v>
      </c>
      <c r="AR196" t="s">
        <v>63</v>
      </c>
      <c r="AS196" t="s">
        <v>1629</v>
      </c>
      <c r="AT196" t="s">
        <v>63</v>
      </c>
      <c r="AU196" t="s">
        <v>46</v>
      </c>
      <c r="AV196">
        <v>2020</v>
      </c>
      <c r="AW196" t="s">
        <v>671</v>
      </c>
    </row>
    <row r="197" spans="1:49" x14ac:dyDescent="0.2">
      <c r="A197">
        <v>196</v>
      </c>
      <c r="B197" t="s">
        <v>624</v>
      </c>
      <c r="C197" t="s">
        <v>55</v>
      </c>
      <c r="D197" t="s">
        <v>625</v>
      </c>
      <c r="E197" t="s">
        <v>68</v>
      </c>
      <c r="F197" t="s">
        <v>46</v>
      </c>
      <c r="G197" t="s">
        <v>46</v>
      </c>
      <c r="H197" t="s">
        <v>46</v>
      </c>
      <c r="I197">
        <v>3</v>
      </c>
      <c r="J197">
        <v>1</v>
      </c>
      <c r="K197" t="s">
        <v>626</v>
      </c>
      <c r="L197" t="s">
        <v>639</v>
      </c>
      <c r="M197">
        <v>145</v>
      </c>
      <c r="N197" t="s">
        <v>68</v>
      </c>
      <c r="O197">
        <f>M197-((145/196)*136)</f>
        <v>44.387755102040813</v>
      </c>
      <c r="P197">
        <f>((145/196)*283)-M197</f>
        <v>64.362244897959187</v>
      </c>
      <c r="Q197" t="s">
        <v>69</v>
      </c>
      <c r="R197">
        <v>3</v>
      </c>
      <c r="S197">
        <v>1</v>
      </c>
      <c r="T197" t="s">
        <v>626</v>
      </c>
      <c r="U197" t="s">
        <v>194</v>
      </c>
      <c r="V197" t="s">
        <v>672</v>
      </c>
      <c r="W197" t="s">
        <v>680</v>
      </c>
      <c r="X197" t="s">
        <v>629</v>
      </c>
      <c r="Y197" t="s">
        <v>46</v>
      </c>
      <c r="Z197" t="s">
        <v>630</v>
      </c>
      <c r="AA197" t="s">
        <v>419</v>
      </c>
      <c r="AB197" t="s">
        <v>420</v>
      </c>
      <c r="AC197" t="s">
        <v>421</v>
      </c>
      <c r="AD197" t="s">
        <v>39</v>
      </c>
      <c r="AE197" t="s">
        <v>46</v>
      </c>
      <c r="AF197">
        <v>15</v>
      </c>
      <c r="AG197" t="s">
        <v>40</v>
      </c>
      <c r="AH197" t="s">
        <v>50</v>
      </c>
      <c r="AI197" t="s">
        <v>46</v>
      </c>
      <c r="AJ197" t="s">
        <v>47</v>
      </c>
      <c r="AK197" t="s">
        <v>48</v>
      </c>
      <c r="AL197">
        <v>20</v>
      </c>
      <c r="AM197" t="s">
        <v>46</v>
      </c>
      <c r="AN197" t="s">
        <v>46</v>
      </c>
      <c r="AO197" t="s">
        <v>46</v>
      </c>
      <c r="AP197" t="s">
        <v>63</v>
      </c>
      <c r="AQ197" t="s">
        <v>46</v>
      </c>
      <c r="AR197" t="s">
        <v>63</v>
      </c>
      <c r="AS197" t="s">
        <v>1629</v>
      </c>
      <c r="AT197" t="s">
        <v>63</v>
      </c>
      <c r="AU197" t="s">
        <v>46</v>
      </c>
      <c r="AV197">
        <v>2020</v>
      </c>
      <c r="AW197" t="s">
        <v>671</v>
      </c>
    </row>
    <row r="198" spans="1:49" x14ac:dyDescent="0.2">
      <c r="A198">
        <v>197</v>
      </c>
      <c r="B198" t="s">
        <v>624</v>
      </c>
      <c r="C198" t="s">
        <v>55</v>
      </c>
      <c r="D198" t="s">
        <v>625</v>
      </c>
      <c r="E198" t="s">
        <v>68</v>
      </c>
      <c r="F198" t="s">
        <v>46</v>
      </c>
      <c r="G198" t="s">
        <v>46</v>
      </c>
      <c r="H198" t="s">
        <v>46</v>
      </c>
      <c r="I198">
        <v>3</v>
      </c>
      <c r="J198">
        <v>1</v>
      </c>
      <c r="K198" t="s">
        <v>626</v>
      </c>
      <c r="L198" t="s">
        <v>640</v>
      </c>
      <c r="M198">
        <v>141</v>
      </c>
      <c r="N198" t="s">
        <v>68</v>
      </c>
      <c r="O198">
        <f>M198-((141/179)*85.9)</f>
        <v>73.335754189944126</v>
      </c>
      <c r="P198">
        <f>((141/179)*371)-M198</f>
        <v>151.24022346368713</v>
      </c>
      <c r="Q198" t="s">
        <v>69</v>
      </c>
      <c r="R198">
        <v>3</v>
      </c>
      <c r="S198">
        <v>1</v>
      </c>
      <c r="T198" t="s">
        <v>626</v>
      </c>
      <c r="U198" t="s">
        <v>194</v>
      </c>
      <c r="V198" t="s">
        <v>672</v>
      </c>
      <c r="W198" t="s">
        <v>681</v>
      </c>
      <c r="X198" t="s">
        <v>629</v>
      </c>
      <c r="Y198" t="s">
        <v>46</v>
      </c>
      <c r="Z198" t="s">
        <v>630</v>
      </c>
      <c r="AA198" t="s">
        <v>419</v>
      </c>
      <c r="AB198" t="s">
        <v>420</v>
      </c>
      <c r="AC198" t="s">
        <v>421</v>
      </c>
      <c r="AD198" t="s">
        <v>39</v>
      </c>
      <c r="AE198" t="s">
        <v>46</v>
      </c>
      <c r="AF198">
        <v>15</v>
      </c>
      <c r="AG198" t="s">
        <v>40</v>
      </c>
      <c r="AH198" t="s">
        <v>50</v>
      </c>
      <c r="AI198" t="s">
        <v>46</v>
      </c>
      <c r="AJ198" t="s">
        <v>47</v>
      </c>
      <c r="AK198" t="s">
        <v>48</v>
      </c>
      <c r="AL198">
        <v>20</v>
      </c>
      <c r="AM198" t="s">
        <v>46</v>
      </c>
      <c r="AN198" t="s">
        <v>46</v>
      </c>
      <c r="AO198" t="s">
        <v>46</v>
      </c>
      <c r="AP198" t="s">
        <v>63</v>
      </c>
      <c r="AQ198" t="s">
        <v>46</v>
      </c>
      <c r="AR198" t="s">
        <v>63</v>
      </c>
      <c r="AS198" t="s">
        <v>1629</v>
      </c>
      <c r="AT198" t="s">
        <v>63</v>
      </c>
      <c r="AU198" t="s">
        <v>46</v>
      </c>
      <c r="AV198">
        <v>2020</v>
      </c>
      <c r="AW198" t="s">
        <v>671</v>
      </c>
    </row>
    <row r="199" spans="1:49" x14ac:dyDescent="0.2">
      <c r="A199">
        <v>198</v>
      </c>
      <c r="B199" t="s">
        <v>624</v>
      </c>
      <c r="C199" t="s">
        <v>55</v>
      </c>
      <c r="D199" t="s">
        <v>625</v>
      </c>
      <c r="E199" t="s">
        <v>68</v>
      </c>
      <c r="F199" t="s">
        <v>46</v>
      </c>
      <c r="G199" t="s">
        <v>46</v>
      </c>
      <c r="H199" t="s">
        <v>46</v>
      </c>
      <c r="I199">
        <v>3</v>
      </c>
      <c r="J199">
        <v>1</v>
      </c>
      <c r="K199" t="s">
        <v>626</v>
      </c>
      <c r="L199" t="s">
        <v>641</v>
      </c>
      <c r="M199">
        <v>155</v>
      </c>
      <c r="N199" t="s">
        <v>68</v>
      </c>
      <c r="O199">
        <f>M199-((155/190)*117)</f>
        <v>59.55263157894737</v>
      </c>
      <c r="P199">
        <f>((155/190)*307)-M199</f>
        <v>95.44736842105263</v>
      </c>
      <c r="Q199" t="s">
        <v>69</v>
      </c>
      <c r="R199">
        <v>3</v>
      </c>
      <c r="S199">
        <v>1</v>
      </c>
      <c r="T199" t="s">
        <v>626</v>
      </c>
      <c r="U199" t="s">
        <v>194</v>
      </c>
      <c r="V199" t="s">
        <v>672</v>
      </c>
      <c r="W199" t="s">
        <v>682</v>
      </c>
      <c r="X199" t="s">
        <v>629</v>
      </c>
      <c r="Y199" t="s">
        <v>46</v>
      </c>
      <c r="Z199" t="s">
        <v>630</v>
      </c>
      <c r="AA199" t="s">
        <v>419</v>
      </c>
      <c r="AB199" t="s">
        <v>420</v>
      </c>
      <c r="AC199" t="s">
        <v>421</v>
      </c>
      <c r="AD199" t="s">
        <v>39</v>
      </c>
      <c r="AE199" t="s">
        <v>46</v>
      </c>
      <c r="AF199">
        <v>15</v>
      </c>
      <c r="AG199" t="s">
        <v>40</v>
      </c>
      <c r="AH199" t="s">
        <v>50</v>
      </c>
      <c r="AI199" t="s">
        <v>46</v>
      </c>
      <c r="AJ199" t="s">
        <v>47</v>
      </c>
      <c r="AK199" t="s">
        <v>48</v>
      </c>
      <c r="AL199">
        <v>20</v>
      </c>
      <c r="AM199" t="s">
        <v>46</v>
      </c>
      <c r="AN199" t="s">
        <v>46</v>
      </c>
      <c r="AO199" t="s">
        <v>46</v>
      </c>
      <c r="AP199" t="s">
        <v>63</v>
      </c>
      <c r="AQ199" t="s">
        <v>46</v>
      </c>
      <c r="AR199" t="s">
        <v>63</v>
      </c>
      <c r="AS199" t="s">
        <v>1629</v>
      </c>
      <c r="AT199" t="s">
        <v>63</v>
      </c>
      <c r="AU199" t="s">
        <v>46</v>
      </c>
      <c r="AV199">
        <v>2020</v>
      </c>
      <c r="AW199" t="s">
        <v>671</v>
      </c>
    </row>
    <row r="200" spans="1:49" x14ac:dyDescent="0.2">
      <c r="A200">
        <v>199</v>
      </c>
      <c r="B200" t="s">
        <v>624</v>
      </c>
      <c r="C200" t="s">
        <v>55</v>
      </c>
      <c r="D200" t="s">
        <v>625</v>
      </c>
      <c r="E200" t="s">
        <v>68</v>
      </c>
      <c r="F200" t="s">
        <v>46</v>
      </c>
      <c r="G200" t="s">
        <v>46</v>
      </c>
      <c r="H200" t="s">
        <v>46</v>
      </c>
      <c r="I200">
        <v>3</v>
      </c>
      <c r="J200">
        <v>1</v>
      </c>
      <c r="K200" t="s">
        <v>626</v>
      </c>
      <c r="L200" t="s">
        <v>642</v>
      </c>
      <c r="M200">
        <v>116</v>
      </c>
      <c r="N200" t="s">
        <v>68</v>
      </c>
      <c r="O200">
        <f>M200-((116/142)*92.3)</f>
        <v>40.599999999999994</v>
      </c>
      <c r="P200">
        <f>((116/142)*218)-M200</f>
        <v>62.084507042253534</v>
      </c>
      <c r="Q200" t="s">
        <v>69</v>
      </c>
      <c r="R200">
        <v>3</v>
      </c>
      <c r="S200">
        <v>1</v>
      </c>
      <c r="T200" t="s">
        <v>626</v>
      </c>
      <c r="U200" t="s">
        <v>194</v>
      </c>
      <c r="V200" t="s">
        <v>672</v>
      </c>
      <c r="W200" t="s">
        <v>683</v>
      </c>
      <c r="X200" t="s">
        <v>629</v>
      </c>
      <c r="Y200" t="s">
        <v>46</v>
      </c>
      <c r="Z200" t="s">
        <v>630</v>
      </c>
      <c r="AA200" t="s">
        <v>419</v>
      </c>
      <c r="AB200" t="s">
        <v>420</v>
      </c>
      <c r="AC200" t="s">
        <v>421</v>
      </c>
      <c r="AD200" t="s">
        <v>39</v>
      </c>
      <c r="AE200" t="s">
        <v>46</v>
      </c>
      <c r="AF200">
        <v>15</v>
      </c>
      <c r="AG200" t="s">
        <v>40</v>
      </c>
      <c r="AH200" t="s">
        <v>50</v>
      </c>
      <c r="AI200" t="s">
        <v>46</v>
      </c>
      <c r="AJ200" t="s">
        <v>47</v>
      </c>
      <c r="AK200" t="s">
        <v>48</v>
      </c>
      <c r="AL200">
        <v>20</v>
      </c>
      <c r="AM200" t="s">
        <v>46</v>
      </c>
      <c r="AN200" t="s">
        <v>46</v>
      </c>
      <c r="AO200" t="s">
        <v>46</v>
      </c>
      <c r="AP200" t="s">
        <v>63</v>
      </c>
      <c r="AQ200" t="s">
        <v>46</v>
      </c>
      <c r="AR200" t="s">
        <v>63</v>
      </c>
      <c r="AS200" t="s">
        <v>1629</v>
      </c>
      <c r="AT200" t="s">
        <v>63</v>
      </c>
      <c r="AU200" t="s">
        <v>46</v>
      </c>
      <c r="AV200">
        <v>2020</v>
      </c>
      <c r="AW200" t="s">
        <v>671</v>
      </c>
    </row>
    <row r="201" spans="1:49" x14ac:dyDescent="0.2">
      <c r="A201">
        <v>200</v>
      </c>
      <c r="B201" t="s">
        <v>624</v>
      </c>
      <c r="C201" t="s">
        <v>55</v>
      </c>
      <c r="D201" t="s">
        <v>625</v>
      </c>
      <c r="E201" t="s">
        <v>68</v>
      </c>
      <c r="F201" t="s">
        <v>46</v>
      </c>
      <c r="G201" t="s">
        <v>46</v>
      </c>
      <c r="H201" t="s">
        <v>46</v>
      </c>
      <c r="I201">
        <v>3</v>
      </c>
      <c r="J201">
        <v>1</v>
      </c>
      <c r="K201" t="s">
        <v>626</v>
      </c>
      <c r="L201" t="s">
        <v>643</v>
      </c>
      <c r="M201">
        <v>508</v>
      </c>
      <c r="N201" t="s">
        <v>68</v>
      </c>
      <c r="O201">
        <f>M201-((508/626)*411)</f>
        <v>174.47284345047922</v>
      </c>
      <c r="P201">
        <f>((508/626)*954)-M201</f>
        <v>266.17252396166134</v>
      </c>
      <c r="Q201" t="s">
        <v>69</v>
      </c>
      <c r="R201">
        <v>3</v>
      </c>
      <c r="S201">
        <v>1</v>
      </c>
      <c r="T201" t="s">
        <v>626</v>
      </c>
      <c r="U201" t="s">
        <v>194</v>
      </c>
      <c r="V201" t="s">
        <v>672</v>
      </c>
      <c r="W201" t="s">
        <v>684</v>
      </c>
      <c r="X201" t="s">
        <v>629</v>
      </c>
      <c r="Y201" t="s">
        <v>46</v>
      </c>
      <c r="Z201" t="s">
        <v>630</v>
      </c>
      <c r="AA201" t="s">
        <v>419</v>
      </c>
      <c r="AB201" t="s">
        <v>420</v>
      </c>
      <c r="AC201" t="s">
        <v>421</v>
      </c>
      <c r="AD201" t="s">
        <v>39</v>
      </c>
      <c r="AE201" t="s">
        <v>46</v>
      </c>
      <c r="AF201">
        <v>15</v>
      </c>
      <c r="AG201" t="s">
        <v>40</v>
      </c>
      <c r="AH201" t="s">
        <v>50</v>
      </c>
      <c r="AI201" t="s">
        <v>46</v>
      </c>
      <c r="AJ201" t="s">
        <v>47</v>
      </c>
      <c r="AK201" t="s">
        <v>48</v>
      </c>
      <c r="AL201">
        <v>20</v>
      </c>
      <c r="AM201" t="s">
        <v>46</v>
      </c>
      <c r="AN201" t="s">
        <v>46</v>
      </c>
      <c r="AO201" t="s">
        <v>46</v>
      </c>
      <c r="AP201" t="s">
        <v>63</v>
      </c>
      <c r="AQ201" t="s">
        <v>46</v>
      </c>
      <c r="AR201" t="s">
        <v>63</v>
      </c>
      <c r="AS201" t="s">
        <v>1641</v>
      </c>
      <c r="AT201" t="s">
        <v>63</v>
      </c>
      <c r="AU201" t="s">
        <v>46</v>
      </c>
      <c r="AV201">
        <v>2020</v>
      </c>
      <c r="AW201" t="s">
        <v>671</v>
      </c>
    </row>
    <row r="202" spans="1:49" x14ac:dyDescent="0.2">
      <c r="A202">
        <v>201</v>
      </c>
      <c r="B202" t="s">
        <v>624</v>
      </c>
      <c r="C202" t="s">
        <v>55</v>
      </c>
      <c r="D202" t="s">
        <v>625</v>
      </c>
      <c r="E202" t="s">
        <v>68</v>
      </c>
      <c r="F202" t="s">
        <v>46</v>
      </c>
      <c r="G202" t="s">
        <v>46</v>
      </c>
      <c r="H202" t="s">
        <v>46</v>
      </c>
      <c r="I202">
        <v>3</v>
      </c>
      <c r="J202">
        <v>1</v>
      </c>
      <c r="K202" t="s">
        <v>626</v>
      </c>
      <c r="L202" t="s">
        <v>644</v>
      </c>
      <c r="M202">
        <v>24.8</v>
      </c>
      <c r="N202" t="s">
        <v>68</v>
      </c>
      <c r="O202">
        <f>M202-((24.8/30.3)*17.7)</f>
        <v>10.312871287128713</v>
      </c>
      <c r="P202">
        <f>((24.8/30.3)*51.9)-M202</f>
        <v>17.679207920792077</v>
      </c>
      <c r="Q202" t="s">
        <v>69</v>
      </c>
      <c r="R202">
        <v>3</v>
      </c>
      <c r="S202">
        <v>1</v>
      </c>
      <c r="T202" t="s">
        <v>626</v>
      </c>
      <c r="U202" t="s">
        <v>194</v>
      </c>
      <c r="V202" t="s">
        <v>672</v>
      </c>
      <c r="W202" t="s">
        <v>685</v>
      </c>
      <c r="X202" t="s">
        <v>629</v>
      </c>
      <c r="Y202" t="s">
        <v>46</v>
      </c>
      <c r="Z202" t="s">
        <v>630</v>
      </c>
      <c r="AA202" t="s">
        <v>419</v>
      </c>
      <c r="AB202" t="s">
        <v>420</v>
      </c>
      <c r="AC202" t="s">
        <v>421</v>
      </c>
      <c r="AD202" t="s">
        <v>39</v>
      </c>
      <c r="AE202" t="s">
        <v>46</v>
      </c>
      <c r="AF202">
        <v>15</v>
      </c>
      <c r="AG202" t="s">
        <v>40</v>
      </c>
      <c r="AH202" t="s">
        <v>50</v>
      </c>
      <c r="AI202" t="s">
        <v>46</v>
      </c>
      <c r="AJ202" t="s">
        <v>47</v>
      </c>
      <c r="AK202" t="s">
        <v>48</v>
      </c>
      <c r="AL202">
        <v>20</v>
      </c>
      <c r="AM202" t="s">
        <v>46</v>
      </c>
      <c r="AN202" t="s">
        <v>46</v>
      </c>
      <c r="AO202" t="s">
        <v>46</v>
      </c>
      <c r="AP202" t="s">
        <v>63</v>
      </c>
      <c r="AQ202" t="s">
        <v>46</v>
      </c>
      <c r="AR202" t="s">
        <v>63</v>
      </c>
      <c r="AS202" t="s">
        <v>1629</v>
      </c>
      <c r="AT202" t="s">
        <v>63</v>
      </c>
      <c r="AU202" t="s">
        <v>46</v>
      </c>
      <c r="AV202">
        <v>2020</v>
      </c>
      <c r="AW202" t="s">
        <v>671</v>
      </c>
    </row>
    <row r="203" spans="1:49" x14ac:dyDescent="0.2">
      <c r="A203">
        <v>202</v>
      </c>
      <c r="B203" t="s">
        <v>686</v>
      </c>
      <c r="C203" t="s">
        <v>55</v>
      </c>
      <c r="D203" t="s">
        <v>625</v>
      </c>
      <c r="E203" t="s">
        <v>42</v>
      </c>
      <c r="F203" t="s">
        <v>46</v>
      </c>
      <c r="G203" t="s">
        <v>46</v>
      </c>
      <c r="H203" t="s">
        <v>46</v>
      </c>
      <c r="I203">
        <v>8</v>
      </c>
      <c r="J203">
        <v>4</v>
      </c>
      <c r="K203" t="s">
        <v>687</v>
      </c>
      <c r="L203" t="s">
        <v>1642</v>
      </c>
      <c r="M203">
        <v>37.799999999999997</v>
      </c>
      <c r="N203" t="s">
        <v>42</v>
      </c>
      <c r="O203">
        <f>M203-36.8</f>
        <v>1</v>
      </c>
      <c r="P203">
        <f>39-M203</f>
        <v>1.2000000000000028</v>
      </c>
      <c r="Q203" t="s">
        <v>69</v>
      </c>
      <c r="R203">
        <v>8</v>
      </c>
      <c r="S203">
        <v>4</v>
      </c>
      <c r="T203" t="s">
        <v>687</v>
      </c>
      <c r="U203" t="s">
        <v>688</v>
      </c>
      <c r="V203" t="s">
        <v>689</v>
      </c>
      <c r="W203" t="s">
        <v>690</v>
      </c>
      <c r="X203" t="s">
        <v>59</v>
      </c>
      <c r="Y203" t="s">
        <v>83</v>
      </c>
      <c r="Z203" t="s">
        <v>557</v>
      </c>
      <c r="AA203" t="s">
        <v>60</v>
      </c>
      <c r="AB203" t="s">
        <v>37</v>
      </c>
      <c r="AC203" t="s">
        <v>38</v>
      </c>
      <c r="AD203" t="s">
        <v>39</v>
      </c>
      <c r="AE203" t="s">
        <v>45</v>
      </c>
      <c r="AF203">
        <v>48</v>
      </c>
      <c r="AG203" t="s">
        <v>40</v>
      </c>
      <c r="AH203" t="s">
        <v>50</v>
      </c>
      <c r="AI203" t="s">
        <v>46</v>
      </c>
      <c r="AJ203" t="s">
        <v>47</v>
      </c>
      <c r="AK203" t="s">
        <v>61</v>
      </c>
      <c r="AL203">
        <v>23</v>
      </c>
      <c r="AM203" t="s">
        <v>46</v>
      </c>
      <c r="AN203" t="s">
        <v>152</v>
      </c>
      <c r="AO203" t="s">
        <v>46</v>
      </c>
      <c r="AP203" t="s">
        <v>63</v>
      </c>
      <c r="AQ203" t="s">
        <v>46</v>
      </c>
      <c r="AR203" t="s">
        <v>63</v>
      </c>
      <c r="AS203" t="s">
        <v>1629</v>
      </c>
      <c r="AT203" t="s">
        <v>63</v>
      </c>
      <c r="AU203" t="s">
        <v>46</v>
      </c>
      <c r="AV203">
        <v>2020</v>
      </c>
      <c r="AW203" t="s">
        <v>46</v>
      </c>
    </row>
    <row r="204" spans="1:49" x14ac:dyDescent="0.2">
      <c r="A204">
        <v>203</v>
      </c>
      <c r="B204" t="s">
        <v>686</v>
      </c>
      <c r="C204" t="s">
        <v>55</v>
      </c>
      <c r="D204" t="s">
        <v>625</v>
      </c>
      <c r="E204" t="s">
        <v>42</v>
      </c>
      <c r="F204" t="s">
        <v>46</v>
      </c>
      <c r="G204" t="s">
        <v>46</v>
      </c>
      <c r="H204" t="s">
        <v>46</v>
      </c>
      <c r="I204">
        <v>8</v>
      </c>
      <c r="J204">
        <v>4</v>
      </c>
      <c r="K204" t="s">
        <v>687</v>
      </c>
      <c r="L204" t="s">
        <v>1642</v>
      </c>
      <c r="M204">
        <v>33.200000000000003</v>
      </c>
      <c r="N204" t="s">
        <v>42</v>
      </c>
      <c r="O204">
        <f>M204-32.4</f>
        <v>0.80000000000000426</v>
      </c>
      <c r="P204">
        <f>33.8-M204</f>
        <v>0.59999999999999432</v>
      </c>
      <c r="Q204" t="s">
        <v>69</v>
      </c>
      <c r="R204">
        <v>8</v>
      </c>
      <c r="S204">
        <v>4</v>
      </c>
      <c r="T204" t="s">
        <v>687</v>
      </c>
      <c r="U204" t="s">
        <v>688</v>
      </c>
      <c r="V204" t="s">
        <v>691</v>
      </c>
      <c r="W204" t="s">
        <v>690</v>
      </c>
      <c r="X204" t="s">
        <v>59</v>
      </c>
      <c r="Y204" t="s">
        <v>83</v>
      </c>
      <c r="Z204" t="s">
        <v>557</v>
      </c>
      <c r="AA204" t="s">
        <v>60</v>
      </c>
      <c r="AB204" t="s">
        <v>37</v>
      </c>
      <c r="AC204" t="s">
        <v>38</v>
      </c>
      <c r="AD204" t="s">
        <v>39</v>
      </c>
      <c r="AE204" t="s">
        <v>45</v>
      </c>
      <c r="AF204">
        <v>72</v>
      </c>
      <c r="AG204" t="s">
        <v>40</v>
      </c>
      <c r="AH204" t="s">
        <v>50</v>
      </c>
      <c r="AI204" t="s">
        <v>46</v>
      </c>
      <c r="AJ204" t="s">
        <v>47</v>
      </c>
      <c r="AK204" t="s">
        <v>61</v>
      </c>
      <c r="AL204">
        <v>23</v>
      </c>
      <c r="AM204" t="s">
        <v>46</v>
      </c>
      <c r="AN204" t="s">
        <v>152</v>
      </c>
      <c r="AO204" t="s">
        <v>46</v>
      </c>
      <c r="AP204" t="s">
        <v>63</v>
      </c>
      <c r="AQ204" t="s">
        <v>46</v>
      </c>
      <c r="AR204" t="s">
        <v>63</v>
      </c>
      <c r="AS204" t="s">
        <v>1629</v>
      </c>
      <c r="AT204" t="s">
        <v>63</v>
      </c>
      <c r="AU204" t="s">
        <v>46</v>
      </c>
      <c r="AV204">
        <v>2020</v>
      </c>
      <c r="AW204" t="s">
        <v>46</v>
      </c>
    </row>
    <row r="205" spans="1:49" x14ac:dyDescent="0.2">
      <c r="A205">
        <v>204</v>
      </c>
      <c r="B205" t="s">
        <v>686</v>
      </c>
      <c r="C205" t="s">
        <v>55</v>
      </c>
      <c r="D205" t="s">
        <v>625</v>
      </c>
      <c r="E205" t="s">
        <v>42</v>
      </c>
      <c r="F205" t="s">
        <v>46</v>
      </c>
      <c r="G205" t="s">
        <v>46</v>
      </c>
      <c r="H205" t="s">
        <v>46</v>
      </c>
      <c r="I205">
        <v>8</v>
      </c>
      <c r="J205">
        <v>4</v>
      </c>
      <c r="K205" t="s">
        <v>687</v>
      </c>
      <c r="L205" t="s">
        <v>1642</v>
      </c>
      <c r="M205">
        <v>32.1</v>
      </c>
      <c r="N205" t="s">
        <v>42</v>
      </c>
      <c r="O205">
        <f>M205-30.9</f>
        <v>1.2000000000000028</v>
      </c>
      <c r="P205">
        <f>32.6-M205</f>
        <v>0.5</v>
      </c>
      <c r="Q205" t="s">
        <v>69</v>
      </c>
      <c r="R205">
        <v>8</v>
      </c>
      <c r="S205">
        <v>4</v>
      </c>
      <c r="T205" t="s">
        <v>687</v>
      </c>
      <c r="U205" t="s">
        <v>688</v>
      </c>
      <c r="V205" t="s">
        <v>692</v>
      </c>
      <c r="W205" t="s">
        <v>690</v>
      </c>
      <c r="X205" t="s">
        <v>59</v>
      </c>
      <c r="Y205" t="s">
        <v>83</v>
      </c>
      <c r="Z205" t="s">
        <v>557</v>
      </c>
      <c r="AA205" t="s">
        <v>60</v>
      </c>
      <c r="AB205" t="s">
        <v>37</v>
      </c>
      <c r="AC205" t="s">
        <v>38</v>
      </c>
      <c r="AD205" t="s">
        <v>39</v>
      </c>
      <c r="AE205" t="s">
        <v>45</v>
      </c>
      <c r="AF205">
        <v>96</v>
      </c>
      <c r="AG205" t="s">
        <v>40</v>
      </c>
      <c r="AH205" t="s">
        <v>50</v>
      </c>
      <c r="AI205" t="s">
        <v>46</v>
      </c>
      <c r="AJ205" t="s">
        <v>47</v>
      </c>
      <c r="AK205" t="s">
        <v>61</v>
      </c>
      <c r="AL205">
        <v>23</v>
      </c>
      <c r="AM205" t="s">
        <v>46</v>
      </c>
      <c r="AN205" t="s">
        <v>152</v>
      </c>
      <c r="AO205" t="s">
        <v>46</v>
      </c>
      <c r="AP205" t="s">
        <v>63</v>
      </c>
      <c r="AQ205" t="s">
        <v>46</v>
      </c>
      <c r="AR205" t="s">
        <v>63</v>
      </c>
      <c r="AS205" t="s">
        <v>1629</v>
      </c>
      <c r="AT205" t="s">
        <v>63</v>
      </c>
      <c r="AU205" t="s">
        <v>46</v>
      </c>
      <c r="AV205">
        <v>2020</v>
      </c>
      <c r="AW205" t="s">
        <v>46</v>
      </c>
    </row>
    <row r="206" spans="1:49" x14ac:dyDescent="0.2">
      <c r="A206">
        <v>205</v>
      </c>
      <c r="B206" t="s">
        <v>686</v>
      </c>
      <c r="C206" t="s">
        <v>55</v>
      </c>
      <c r="D206" t="s">
        <v>625</v>
      </c>
      <c r="E206" t="s">
        <v>42</v>
      </c>
      <c r="F206" t="s">
        <v>46</v>
      </c>
      <c r="G206" t="s">
        <v>46</v>
      </c>
      <c r="H206" t="s">
        <v>46</v>
      </c>
      <c r="I206">
        <v>6</v>
      </c>
      <c r="J206">
        <v>5</v>
      </c>
      <c r="K206" t="s">
        <v>693</v>
      </c>
      <c r="L206" t="s">
        <v>1642</v>
      </c>
      <c r="M206">
        <v>45.1</v>
      </c>
      <c r="N206" t="s">
        <v>42</v>
      </c>
      <c r="O206">
        <f>M206-43.7</f>
        <v>1.3999999999999986</v>
      </c>
      <c r="P206">
        <f>47.3-M206</f>
        <v>2.1999999999999957</v>
      </c>
      <c r="Q206" t="s">
        <v>69</v>
      </c>
      <c r="R206">
        <v>6</v>
      </c>
      <c r="S206">
        <v>5</v>
      </c>
      <c r="T206" t="s">
        <v>693</v>
      </c>
      <c r="U206" t="s">
        <v>688</v>
      </c>
      <c r="V206" t="s">
        <v>694</v>
      </c>
      <c r="W206" t="s">
        <v>695</v>
      </c>
      <c r="X206" t="s">
        <v>59</v>
      </c>
      <c r="Y206" t="s">
        <v>83</v>
      </c>
      <c r="Z206" t="s">
        <v>557</v>
      </c>
      <c r="AA206" t="s">
        <v>60</v>
      </c>
      <c r="AB206" t="s">
        <v>37</v>
      </c>
      <c r="AC206" t="s">
        <v>38</v>
      </c>
      <c r="AD206" t="s">
        <v>39</v>
      </c>
      <c r="AE206" t="s">
        <v>180</v>
      </c>
      <c r="AF206">
        <v>24</v>
      </c>
      <c r="AG206" t="s">
        <v>40</v>
      </c>
      <c r="AH206" t="s">
        <v>50</v>
      </c>
      <c r="AI206" t="s">
        <v>46</v>
      </c>
      <c r="AJ206" t="s">
        <v>47</v>
      </c>
      <c r="AK206" t="s">
        <v>61</v>
      </c>
      <c r="AL206">
        <v>23</v>
      </c>
      <c r="AM206" t="s">
        <v>46</v>
      </c>
      <c r="AN206" t="s">
        <v>152</v>
      </c>
      <c r="AO206" t="s">
        <v>46</v>
      </c>
      <c r="AP206" t="s">
        <v>63</v>
      </c>
      <c r="AQ206" t="s">
        <v>46</v>
      </c>
      <c r="AR206" t="s">
        <v>63</v>
      </c>
      <c r="AS206" t="s">
        <v>1629</v>
      </c>
      <c r="AT206" t="s">
        <v>63</v>
      </c>
      <c r="AU206" t="s">
        <v>46</v>
      </c>
      <c r="AV206">
        <v>2020</v>
      </c>
      <c r="AW206" t="s">
        <v>46</v>
      </c>
    </row>
    <row r="207" spans="1:49" x14ac:dyDescent="0.2">
      <c r="A207">
        <v>206</v>
      </c>
      <c r="B207" t="s">
        <v>686</v>
      </c>
      <c r="C207" t="s">
        <v>55</v>
      </c>
      <c r="D207" t="s">
        <v>625</v>
      </c>
      <c r="E207" t="s">
        <v>42</v>
      </c>
      <c r="F207" t="s">
        <v>46</v>
      </c>
      <c r="G207" t="s">
        <v>46</v>
      </c>
      <c r="H207" t="s">
        <v>46</v>
      </c>
      <c r="I207">
        <v>6</v>
      </c>
      <c r="J207">
        <v>5</v>
      </c>
      <c r="K207" t="s">
        <v>693</v>
      </c>
      <c r="L207" t="s">
        <v>1642</v>
      </c>
      <c r="M207">
        <v>37.6</v>
      </c>
      <c r="N207" t="s">
        <v>42</v>
      </c>
      <c r="O207">
        <f>M207-36.8</f>
        <v>0.80000000000000426</v>
      </c>
      <c r="P207">
        <f>38.5-M207</f>
        <v>0.89999999999999858</v>
      </c>
      <c r="Q207" t="s">
        <v>69</v>
      </c>
      <c r="R207">
        <v>6</v>
      </c>
      <c r="S207">
        <v>5</v>
      </c>
      <c r="T207" t="s">
        <v>693</v>
      </c>
      <c r="U207" t="s">
        <v>688</v>
      </c>
      <c r="V207" t="s">
        <v>696</v>
      </c>
      <c r="W207" t="s">
        <v>695</v>
      </c>
      <c r="X207" t="s">
        <v>59</v>
      </c>
      <c r="Y207" t="s">
        <v>83</v>
      </c>
      <c r="Z207" t="s">
        <v>557</v>
      </c>
      <c r="AA207" t="s">
        <v>60</v>
      </c>
      <c r="AB207" t="s">
        <v>37</v>
      </c>
      <c r="AC207" t="s">
        <v>38</v>
      </c>
      <c r="AD207" t="s">
        <v>39</v>
      </c>
      <c r="AE207" t="s">
        <v>180</v>
      </c>
      <c r="AF207">
        <v>48</v>
      </c>
      <c r="AG207" t="s">
        <v>40</v>
      </c>
      <c r="AH207" t="s">
        <v>50</v>
      </c>
      <c r="AI207" t="s">
        <v>46</v>
      </c>
      <c r="AJ207" t="s">
        <v>47</v>
      </c>
      <c r="AK207" t="s">
        <v>61</v>
      </c>
      <c r="AL207">
        <v>23</v>
      </c>
      <c r="AM207" t="s">
        <v>46</v>
      </c>
      <c r="AN207" t="s">
        <v>152</v>
      </c>
      <c r="AO207" t="s">
        <v>46</v>
      </c>
      <c r="AP207" t="s">
        <v>63</v>
      </c>
      <c r="AQ207" t="s">
        <v>46</v>
      </c>
      <c r="AR207" t="s">
        <v>63</v>
      </c>
      <c r="AS207" t="s">
        <v>1629</v>
      </c>
      <c r="AT207" t="s">
        <v>63</v>
      </c>
      <c r="AU207" t="s">
        <v>46</v>
      </c>
      <c r="AV207">
        <v>2020</v>
      </c>
      <c r="AW207" t="s">
        <v>46</v>
      </c>
    </row>
    <row r="208" spans="1:49" x14ac:dyDescent="0.2">
      <c r="A208">
        <v>207</v>
      </c>
      <c r="B208" t="s">
        <v>686</v>
      </c>
      <c r="C208" t="s">
        <v>55</v>
      </c>
      <c r="D208" t="s">
        <v>625</v>
      </c>
      <c r="E208" t="s">
        <v>42</v>
      </c>
      <c r="F208" t="s">
        <v>46</v>
      </c>
      <c r="G208" t="s">
        <v>46</v>
      </c>
      <c r="H208" t="s">
        <v>46</v>
      </c>
      <c r="I208">
        <v>6</v>
      </c>
      <c r="J208">
        <v>5</v>
      </c>
      <c r="K208" t="s">
        <v>693</v>
      </c>
      <c r="L208" t="s">
        <v>1642</v>
      </c>
      <c r="M208">
        <v>36.299999999999997</v>
      </c>
      <c r="N208" t="s">
        <v>42</v>
      </c>
      <c r="O208">
        <f>M208-35.6</f>
        <v>0.69999999999999574</v>
      </c>
      <c r="P208">
        <f>37.5-M208</f>
        <v>1.2000000000000028</v>
      </c>
      <c r="Q208" t="s">
        <v>69</v>
      </c>
      <c r="R208">
        <v>6</v>
      </c>
      <c r="S208">
        <v>5</v>
      </c>
      <c r="T208" t="s">
        <v>693</v>
      </c>
      <c r="U208" t="s">
        <v>688</v>
      </c>
      <c r="V208" t="s">
        <v>697</v>
      </c>
      <c r="W208" t="s">
        <v>695</v>
      </c>
      <c r="X208" t="s">
        <v>59</v>
      </c>
      <c r="Y208" t="s">
        <v>83</v>
      </c>
      <c r="Z208" t="s">
        <v>557</v>
      </c>
      <c r="AA208" t="s">
        <v>60</v>
      </c>
      <c r="AB208" t="s">
        <v>37</v>
      </c>
      <c r="AC208" t="s">
        <v>38</v>
      </c>
      <c r="AD208" t="s">
        <v>39</v>
      </c>
      <c r="AE208" t="s">
        <v>180</v>
      </c>
      <c r="AF208">
        <v>72</v>
      </c>
      <c r="AG208" t="s">
        <v>40</v>
      </c>
      <c r="AH208" t="s">
        <v>50</v>
      </c>
      <c r="AI208" t="s">
        <v>46</v>
      </c>
      <c r="AJ208" t="s">
        <v>47</v>
      </c>
      <c r="AK208" t="s">
        <v>61</v>
      </c>
      <c r="AL208">
        <v>23</v>
      </c>
      <c r="AM208" t="s">
        <v>46</v>
      </c>
      <c r="AN208" t="s">
        <v>152</v>
      </c>
      <c r="AO208" t="s">
        <v>46</v>
      </c>
      <c r="AP208" t="s">
        <v>63</v>
      </c>
      <c r="AQ208" t="s">
        <v>46</v>
      </c>
      <c r="AR208" t="s">
        <v>63</v>
      </c>
      <c r="AS208" t="s">
        <v>1629</v>
      </c>
      <c r="AT208" t="s">
        <v>63</v>
      </c>
      <c r="AU208" t="s">
        <v>46</v>
      </c>
      <c r="AV208">
        <v>2020</v>
      </c>
      <c r="AW208" t="s">
        <v>46</v>
      </c>
    </row>
    <row r="209" spans="1:49" x14ac:dyDescent="0.2">
      <c r="A209">
        <v>208</v>
      </c>
      <c r="B209" t="s">
        <v>686</v>
      </c>
      <c r="C209" t="s">
        <v>55</v>
      </c>
      <c r="D209" t="s">
        <v>625</v>
      </c>
      <c r="E209" t="s">
        <v>42</v>
      </c>
      <c r="F209" t="s">
        <v>46</v>
      </c>
      <c r="G209" t="s">
        <v>46</v>
      </c>
      <c r="H209" t="s">
        <v>46</v>
      </c>
      <c r="I209">
        <v>6</v>
      </c>
      <c r="J209">
        <v>5</v>
      </c>
      <c r="K209" t="s">
        <v>693</v>
      </c>
      <c r="L209" t="s">
        <v>1642</v>
      </c>
      <c r="M209">
        <v>35.1</v>
      </c>
      <c r="N209" t="s">
        <v>42</v>
      </c>
      <c r="O209">
        <f>M209-34.7</f>
        <v>0.39999999999999858</v>
      </c>
      <c r="P209">
        <f>35.8-M209</f>
        <v>0.69999999999999574</v>
      </c>
      <c r="Q209" t="s">
        <v>69</v>
      </c>
      <c r="R209">
        <v>6</v>
      </c>
      <c r="S209">
        <v>5</v>
      </c>
      <c r="T209" t="s">
        <v>693</v>
      </c>
      <c r="U209" t="s">
        <v>688</v>
      </c>
      <c r="V209" t="s">
        <v>881</v>
      </c>
      <c r="W209" t="s">
        <v>695</v>
      </c>
      <c r="X209" t="s">
        <v>59</v>
      </c>
      <c r="Y209" t="s">
        <v>83</v>
      </c>
      <c r="Z209" t="s">
        <v>557</v>
      </c>
      <c r="AA209" t="s">
        <v>60</v>
      </c>
      <c r="AB209" t="s">
        <v>37</v>
      </c>
      <c r="AC209" t="s">
        <v>38</v>
      </c>
      <c r="AD209" t="s">
        <v>39</v>
      </c>
      <c r="AE209" t="s">
        <v>180</v>
      </c>
      <c r="AF209">
        <v>96</v>
      </c>
      <c r="AG209" t="s">
        <v>40</v>
      </c>
      <c r="AH209" t="s">
        <v>50</v>
      </c>
      <c r="AI209" t="s">
        <v>46</v>
      </c>
      <c r="AJ209" t="s">
        <v>47</v>
      </c>
      <c r="AK209" t="s">
        <v>61</v>
      </c>
      <c r="AL209">
        <v>23</v>
      </c>
      <c r="AM209" t="s">
        <v>46</v>
      </c>
      <c r="AN209" t="s">
        <v>152</v>
      </c>
      <c r="AO209" t="s">
        <v>46</v>
      </c>
      <c r="AP209" t="s">
        <v>63</v>
      </c>
      <c r="AQ209" t="s">
        <v>46</v>
      </c>
      <c r="AR209" t="s">
        <v>63</v>
      </c>
      <c r="AS209" t="s">
        <v>1629</v>
      </c>
      <c r="AT209" t="s">
        <v>63</v>
      </c>
      <c r="AU209" t="s">
        <v>46</v>
      </c>
      <c r="AV209">
        <v>2020</v>
      </c>
      <c r="AW209" t="s">
        <v>46</v>
      </c>
    </row>
    <row r="210" spans="1:49" x14ac:dyDescent="0.2">
      <c r="A210">
        <v>209</v>
      </c>
      <c r="B210" t="s">
        <v>698</v>
      </c>
      <c r="C210" t="s">
        <v>699</v>
      </c>
      <c r="D210">
        <v>311.8</v>
      </c>
      <c r="E210" t="s">
        <v>700</v>
      </c>
      <c r="F210">
        <f>D210-178.7</f>
        <v>133.10000000000002</v>
      </c>
      <c r="G210">
        <f>649-D210</f>
        <v>337.2</v>
      </c>
      <c r="H210" t="s">
        <v>69</v>
      </c>
      <c r="I210">
        <v>10</v>
      </c>
      <c r="J210">
        <v>1</v>
      </c>
      <c r="K210" t="s">
        <v>701</v>
      </c>
      <c r="L210" t="s">
        <v>702</v>
      </c>
      <c r="M210">
        <v>45.41</v>
      </c>
      <c r="N210" t="s">
        <v>700</v>
      </c>
      <c r="O210">
        <f>M210-37.5</f>
        <v>7.9099999999999966</v>
      </c>
      <c r="P210">
        <f>55-M210</f>
        <v>9.5900000000000034</v>
      </c>
      <c r="Q210" t="s">
        <v>69</v>
      </c>
      <c r="R210">
        <v>7</v>
      </c>
      <c r="S210">
        <v>1</v>
      </c>
      <c r="T210" t="s">
        <v>709</v>
      </c>
      <c r="U210" t="s">
        <v>703</v>
      </c>
      <c r="V210" t="s">
        <v>705</v>
      </c>
      <c r="W210" t="s">
        <v>704</v>
      </c>
      <c r="X210" t="s">
        <v>706</v>
      </c>
      <c r="Y210" t="s">
        <v>707</v>
      </c>
      <c r="Z210" t="s">
        <v>708</v>
      </c>
      <c r="AA210" t="s">
        <v>710</v>
      </c>
      <c r="AB210" t="s">
        <v>37</v>
      </c>
      <c r="AC210" t="s">
        <v>38</v>
      </c>
      <c r="AD210" t="s">
        <v>169</v>
      </c>
      <c r="AE210" t="s">
        <v>75</v>
      </c>
      <c r="AF210">
        <v>48</v>
      </c>
      <c r="AG210" t="s">
        <v>77</v>
      </c>
      <c r="AH210" t="s">
        <v>50</v>
      </c>
      <c r="AI210" t="s">
        <v>170</v>
      </c>
      <c r="AJ210" t="s">
        <v>171</v>
      </c>
      <c r="AK210" t="s">
        <v>61</v>
      </c>
      <c r="AL210" t="s">
        <v>46</v>
      </c>
      <c r="AM210" t="s">
        <v>46</v>
      </c>
      <c r="AN210" t="s">
        <v>76</v>
      </c>
      <c r="AO210" t="s">
        <v>46</v>
      </c>
      <c r="AP210" t="s">
        <v>63</v>
      </c>
      <c r="AQ210" t="s">
        <v>46</v>
      </c>
      <c r="AR210" t="s">
        <v>50</v>
      </c>
      <c r="AS210" t="s">
        <v>1643</v>
      </c>
      <c r="AT210" t="s">
        <v>63</v>
      </c>
      <c r="AU210" t="s">
        <v>46</v>
      </c>
      <c r="AV210">
        <v>2008</v>
      </c>
      <c r="AW210" t="s">
        <v>711</v>
      </c>
    </row>
    <row r="211" spans="1:49" x14ac:dyDescent="0.2">
      <c r="A211">
        <v>210</v>
      </c>
      <c r="B211" t="s">
        <v>712</v>
      </c>
      <c r="C211" t="s">
        <v>713</v>
      </c>
      <c r="D211">
        <v>1.1399999999999999</v>
      </c>
      <c r="E211" t="s">
        <v>42</v>
      </c>
      <c r="F211">
        <f>D211-1.02</f>
        <v>0.11999999999999988</v>
      </c>
      <c r="G211">
        <f>1.26-D211</f>
        <v>0.12000000000000011</v>
      </c>
      <c r="H211" t="s">
        <v>69</v>
      </c>
      <c r="I211">
        <v>4</v>
      </c>
      <c r="J211">
        <v>10</v>
      </c>
      <c r="K211" t="s">
        <v>714</v>
      </c>
      <c r="L211" t="s">
        <v>715</v>
      </c>
      <c r="M211">
        <v>2.06</v>
      </c>
      <c r="N211" t="s">
        <v>42</v>
      </c>
      <c r="O211">
        <f>M211-1.94</f>
        <v>0.12000000000000011</v>
      </c>
      <c r="P211">
        <f>2.18-M211</f>
        <v>0.12000000000000011</v>
      </c>
      <c r="Q211" t="s">
        <v>69</v>
      </c>
      <c r="R211">
        <v>4</v>
      </c>
      <c r="S211">
        <v>10</v>
      </c>
      <c r="T211" t="s">
        <v>714</v>
      </c>
      <c r="U211" t="s">
        <v>157</v>
      </c>
      <c r="V211" t="s">
        <v>716</v>
      </c>
      <c r="W211" t="s">
        <v>717</v>
      </c>
      <c r="X211" t="s">
        <v>366</v>
      </c>
      <c r="Y211" t="s">
        <v>367</v>
      </c>
      <c r="Z211" t="s">
        <v>718</v>
      </c>
      <c r="AA211" t="s">
        <v>36</v>
      </c>
      <c r="AB211" t="s">
        <v>37</v>
      </c>
      <c r="AC211" t="s">
        <v>38</v>
      </c>
      <c r="AD211" t="s">
        <v>39</v>
      </c>
      <c r="AE211" t="s">
        <v>75</v>
      </c>
      <c r="AF211">
        <v>24</v>
      </c>
      <c r="AG211" t="s">
        <v>77</v>
      </c>
      <c r="AH211" t="s">
        <v>50</v>
      </c>
      <c r="AI211" t="s">
        <v>46</v>
      </c>
      <c r="AJ211" t="s">
        <v>47</v>
      </c>
      <c r="AK211" t="s">
        <v>61</v>
      </c>
      <c r="AL211">
        <v>24.7</v>
      </c>
      <c r="AM211">
        <v>7.55</v>
      </c>
      <c r="AN211" t="s">
        <v>152</v>
      </c>
      <c r="AO211">
        <f>30.5*24</f>
        <v>732</v>
      </c>
      <c r="AP211" t="s">
        <v>63</v>
      </c>
      <c r="AQ211">
        <v>45.8</v>
      </c>
      <c r="AR211" t="s">
        <v>50</v>
      </c>
      <c r="AS211" t="s">
        <v>1631</v>
      </c>
      <c r="AT211" t="s">
        <v>63</v>
      </c>
      <c r="AU211" t="s">
        <v>46</v>
      </c>
      <c r="AV211">
        <v>1984</v>
      </c>
      <c r="AW211" t="s">
        <v>719</v>
      </c>
    </row>
    <row r="212" spans="1:49" x14ac:dyDescent="0.2">
      <c r="A212">
        <v>211</v>
      </c>
      <c r="B212" t="s">
        <v>712</v>
      </c>
      <c r="C212" t="s">
        <v>713</v>
      </c>
      <c r="D212">
        <v>0.77</v>
      </c>
      <c r="E212" t="s">
        <v>42</v>
      </c>
      <c r="F212">
        <f>D212-0.7</f>
        <v>7.0000000000000062E-2</v>
      </c>
      <c r="G212">
        <f>0.86-D212</f>
        <v>8.9999999999999969E-2</v>
      </c>
      <c r="H212" t="s">
        <v>69</v>
      </c>
      <c r="I212">
        <v>4</v>
      </c>
      <c r="J212">
        <v>10</v>
      </c>
      <c r="K212" t="s">
        <v>714</v>
      </c>
      <c r="L212" t="s">
        <v>715</v>
      </c>
      <c r="M212">
        <v>1.31</v>
      </c>
      <c r="N212" t="s">
        <v>42</v>
      </c>
      <c r="O212">
        <f>M212-1.21</f>
        <v>0.10000000000000009</v>
      </c>
      <c r="P212">
        <f>1.42-M212</f>
        <v>0.10999999999999988</v>
      </c>
      <c r="Q212" t="s">
        <v>69</v>
      </c>
      <c r="R212">
        <v>4</v>
      </c>
      <c r="S212">
        <v>10</v>
      </c>
      <c r="T212" t="s">
        <v>714</v>
      </c>
      <c r="U212" t="s">
        <v>157</v>
      </c>
      <c r="V212" t="s">
        <v>720</v>
      </c>
      <c r="W212" t="s">
        <v>717</v>
      </c>
      <c r="X212" t="s">
        <v>366</v>
      </c>
      <c r="Y212" t="s">
        <v>367</v>
      </c>
      <c r="Z212" t="s">
        <v>718</v>
      </c>
      <c r="AA212" t="s">
        <v>36</v>
      </c>
      <c r="AB212" t="s">
        <v>37</v>
      </c>
      <c r="AC212" t="s">
        <v>38</v>
      </c>
      <c r="AD212" t="s">
        <v>39</v>
      </c>
      <c r="AE212" t="s">
        <v>75</v>
      </c>
      <c r="AF212">
        <v>48</v>
      </c>
      <c r="AG212" t="s">
        <v>77</v>
      </c>
      <c r="AH212" t="s">
        <v>50</v>
      </c>
      <c r="AI212" t="s">
        <v>46</v>
      </c>
      <c r="AJ212" t="s">
        <v>47</v>
      </c>
      <c r="AK212" t="s">
        <v>61</v>
      </c>
      <c r="AL212">
        <v>24.7</v>
      </c>
      <c r="AM212">
        <v>7.55</v>
      </c>
      <c r="AN212" t="s">
        <v>152</v>
      </c>
      <c r="AO212">
        <f>30.5*24</f>
        <v>732</v>
      </c>
      <c r="AP212" t="s">
        <v>63</v>
      </c>
      <c r="AQ212">
        <v>45.8</v>
      </c>
      <c r="AR212" t="s">
        <v>50</v>
      </c>
      <c r="AS212" t="s">
        <v>1631</v>
      </c>
      <c r="AT212" t="s">
        <v>63</v>
      </c>
      <c r="AU212" t="s">
        <v>46</v>
      </c>
      <c r="AV212">
        <v>1984</v>
      </c>
      <c r="AW212" t="s">
        <v>719</v>
      </c>
    </row>
    <row r="213" spans="1:49" x14ac:dyDescent="0.2">
      <c r="A213">
        <v>212</v>
      </c>
      <c r="B213" t="s">
        <v>712</v>
      </c>
      <c r="C213" t="s">
        <v>713</v>
      </c>
      <c r="D213">
        <v>0.69</v>
      </c>
      <c r="E213" t="s">
        <v>42</v>
      </c>
      <c r="F213">
        <f>D213-0.63</f>
        <v>5.9999999999999942E-2</v>
      </c>
      <c r="G213">
        <f>0.74-D213</f>
        <v>5.0000000000000044E-2</v>
      </c>
      <c r="H213" t="s">
        <v>69</v>
      </c>
      <c r="I213">
        <v>4</v>
      </c>
      <c r="J213">
        <v>10</v>
      </c>
      <c r="K213" t="s">
        <v>714</v>
      </c>
      <c r="L213" t="s">
        <v>715</v>
      </c>
      <c r="M213">
        <v>1.1599999999999999</v>
      </c>
      <c r="N213" t="s">
        <v>42</v>
      </c>
      <c r="O213">
        <f>M213-1.07</f>
        <v>8.9999999999999858E-2</v>
      </c>
      <c r="P213">
        <f>1.26-M213</f>
        <v>0.10000000000000009</v>
      </c>
      <c r="Q213" t="s">
        <v>69</v>
      </c>
      <c r="R213">
        <v>4</v>
      </c>
      <c r="S213">
        <v>10</v>
      </c>
      <c r="T213" t="s">
        <v>714</v>
      </c>
      <c r="U213" t="s">
        <v>157</v>
      </c>
      <c r="V213" t="s">
        <v>721</v>
      </c>
      <c r="W213" t="s">
        <v>717</v>
      </c>
      <c r="X213" t="s">
        <v>366</v>
      </c>
      <c r="Y213" t="s">
        <v>367</v>
      </c>
      <c r="Z213" t="s">
        <v>718</v>
      </c>
      <c r="AA213" t="s">
        <v>36</v>
      </c>
      <c r="AB213" t="s">
        <v>37</v>
      </c>
      <c r="AC213" t="s">
        <v>38</v>
      </c>
      <c r="AD213" t="s">
        <v>39</v>
      </c>
      <c r="AE213" t="s">
        <v>75</v>
      </c>
      <c r="AF213">
        <v>72</v>
      </c>
      <c r="AG213" t="s">
        <v>77</v>
      </c>
      <c r="AH213" t="s">
        <v>50</v>
      </c>
      <c r="AI213" t="s">
        <v>46</v>
      </c>
      <c r="AJ213" t="s">
        <v>47</v>
      </c>
      <c r="AK213" t="s">
        <v>61</v>
      </c>
      <c r="AL213">
        <v>24.7</v>
      </c>
      <c r="AM213">
        <v>7.55</v>
      </c>
      <c r="AN213" t="s">
        <v>152</v>
      </c>
      <c r="AO213">
        <f>30.5*24</f>
        <v>732</v>
      </c>
      <c r="AP213" t="s">
        <v>63</v>
      </c>
      <c r="AQ213">
        <v>45.8</v>
      </c>
      <c r="AR213" t="s">
        <v>50</v>
      </c>
      <c r="AS213" t="s">
        <v>1631</v>
      </c>
      <c r="AT213" t="s">
        <v>63</v>
      </c>
      <c r="AU213" t="s">
        <v>46</v>
      </c>
      <c r="AV213">
        <v>1984</v>
      </c>
      <c r="AW213" t="s">
        <v>719</v>
      </c>
    </row>
    <row r="214" spans="1:49" x14ac:dyDescent="0.2">
      <c r="A214">
        <v>213</v>
      </c>
      <c r="B214" t="s">
        <v>712</v>
      </c>
      <c r="C214" t="s">
        <v>713</v>
      </c>
      <c r="D214">
        <v>0.69</v>
      </c>
      <c r="E214" t="s">
        <v>42</v>
      </c>
      <c r="F214">
        <f>D214-0.63</f>
        <v>5.9999999999999942E-2</v>
      </c>
      <c r="G214">
        <f>0.74-D214</f>
        <v>5.0000000000000044E-2</v>
      </c>
      <c r="H214" t="s">
        <v>69</v>
      </c>
      <c r="I214">
        <v>4</v>
      </c>
      <c r="J214">
        <v>10</v>
      </c>
      <c r="K214" t="s">
        <v>714</v>
      </c>
      <c r="L214" t="s">
        <v>715</v>
      </c>
      <c r="M214">
        <v>0.99</v>
      </c>
      <c r="N214" t="s">
        <v>42</v>
      </c>
      <c r="O214">
        <f>M214-0.92</f>
        <v>6.9999999999999951E-2</v>
      </c>
      <c r="P214">
        <f>1.08-M214</f>
        <v>9.000000000000008E-2</v>
      </c>
      <c r="Q214" t="s">
        <v>69</v>
      </c>
      <c r="R214">
        <v>4</v>
      </c>
      <c r="S214">
        <v>10</v>
      </c>
      <c r="T214" t="s">
        <v>714</v>
      </c>
      <c r="U214" t="s">
        <v>157</v>
      </c>
      <c r="V214" t="s">
        <v>722</v>
      </c>
      <c r="W214" t="s">
        <v>717</v>
      </c>
      <c r="X214" t="s">
        <v>366</v>
      </c>
      <c r="Y214" t="s">
        <v>367</v>
      </c>
      <c r="Z214" t="s">
        <v>718</v>
      </c>
      <c r="AA214" t="s">
        <v>36</v>
      </c>
      <c r="AB214" t="s">
        <v>37</v>
      </c>
      <c r="AC214" t="s">
        <v>38</v>
      </c>
      <c r="AD214" t="s">
        <v>39</v>
      </c>
      <c r="AE214" t="s">
        <v>75</v>
      </c>
      <c r="AF214">
        <v>96</v>
      </c>
      <c r="AG214" t="s">
        <v>77</v>
      </c>
      <c r="AH214" t="s">
        <v>50</v>
      </c>
      <c r="AI214" t="s">
        <v>46</v>
      </c>
      <c r="AJ214" t="s">
        <v>47</v>
      </c>
      <c r="AK214" t="s">
        <v>61</v>
      </c>
      <c r="AL214">
        <v>24.7</v>
      </c>
      <c r="AM214">
        <v>7.55</v>
      </c>
      <c r="AN214" t="s">
        <v>152</v>
      </c>
      <c r="AO214">
        <f>30.5*24</f>
        <v>732</v>
      </c>
      <c r="AP214" t="s">
        <v>63</v>
      </c>
      <c r="AQ214">
        <v>45.8</v>
      </c>
      <c r="AR214" t="s">
        <v>50</v>
      </c>
      <c r="AS214" t="s">
        <v>1631</v>
      </c>
      <c r="AT214" t="s">
        <v>63</v>
      </c>
      <c r="AU214" t="s">
        <v>46</v>
      </c>
      <c r="AV214">
        <v>1984</v>
      </c>
      <c r="AW214" t="s">
        <v>719</v>
      </c>
    </row>
    <row r="215" spans="1:49" x14ac:dyDescent="0.2">
      <c r="A215">
        <v>214</v>
      </c>
      <c r="B215" t="s">
        <v>724</v>
      </c>
      <c r="C215" t="s">
        <v>55</v>
      </c>
      <c r="D215">
        <v>247.9</v>
      </c>
      <c r="E215" t="s">
        <v>413</v>
      </c>
      <c r="F215">
        <v>25.6</v>
      </c>
      <c r="G215">
        <v>25.6</v>
      </c>
      <c r="H215" t="s">
        <v>43</v>
      </c>
      <c r="I215">
        <v>3</v>
      </c>
      <c r="J215">
        <v>1</v>
      </c>
      <c r="K215" t="s">
        <v>725</v>
      </c>
      <c r="L215" t="s">
        <v>1644</v>
      </c>
      <c r="M215">
        <v>299.89999999999998</v>
      </c>
      <c r="N215" t="s">
        <v>413</v>
      </c>
      <c r="O215">
        <v>10</v>
      </c>
      <c r="P215">
        <v>10</v>
      </c>
      <c r="Q215" t="s">
        <v>43</v>
      </c>
      <c r="R215">
        <v>3</v>
      </c>
      <c r="S215">
        <v>1</v>
      </c>
      <c r="T215" t="s">
        <v>725</v>
      </c>
      <c r="U215" t="s">
        <v>726</v>
      </c>
      <c r="V215" t="s">
        <v>730</v>
      </c>
      <c r="W215" t="s">
        <v>727</v>
      </c>
      <c r="X215" t="s">
        <v>728</v>
      </c>
      <c r="Y215" t="s">
        <v>46</v>
      </c>
      <c r="Z215" t="s">
        <v>729</v>
      </c>
      <c r="AA215" t="s">
        <v>46</v>
      </c>
      <c r="AB215" t="s">
        <v>46</v>
      </c>
      <c r="AC215" t="s">
        <v>46</v>
      </c>
      <c r="AD215" t="s">
        <v>169</v>
      </c>
      <c r="AE215" t="s">
        <v>46</v>
      </c>
      <c r="AF215">
        <f>7*24</f>
        <v>168</v>
      </c>
      <c r="AG215" t="s">
        <v>40</v>
      </c>
      <c r="AH215" t="s">
        <v>50</v>
      </c>
      <c r="AI215" t="s">
        <v>46</v>
      </c>
      <c r="AJ215" t="s">
        <v>47</v>
      </c>
      <c r="AK215" t="s">
        <v>48</v>
      </c>
      <c r="AL215">
        <v>30</v>
      </c>
      <c r="AM215" t="s">
        <v>46</v>
      </c>
      <c r="AN215" t="s">
        <v>46</v>
      </c>
      <c r="AO215" t="s">
        <v>46</v>
      </c>
      <c r="AP215" t="s">
        <v>50</v>
      </c>
      <c r="AQ215" t="s">
        <v>46</v>
      </c>
      <c r="AR215" t="s">
        <v>50</v>
      </c>
      <c r="AS215" t="s">
        <v>1629</v>
      </c>
      <c r="AT215" t="s">
        <v>63</v>
      </c>
      <c r="AU215" t="s">
        <v>46</v>
      </c>
      <c r="AV215">
        <v>2015</v>
      </c>
      <c r="AW215" t="s">
        <v>734</v>
      </c>
    </row>
    <row r="216" spans="1:49" x14ac:dyDescent="0.2">
      <c r="A216">
        <v>215</v>
      </c>
      <c r="B216" t="s">
        <v>724</v>
      </c>
      <c r="C216" t="s">
        <v>55</v>
      </c>
      <c r="D216">
        <v>140.69999999999999</v>
      </c>
      <c r="E216" t="s">
        <v>413</v>
      </c>
      <c r="F216">
        <v>25.9</v>
      </c>
      <c r="G216">
        <v>25.9</v>
      </c>
      <c r="H216" t="s">
        <v>43</v>
      </c>
      <c r="I216">
        <v>3</v>
      </c>
      <c r="J216">
        <v>1</v>
      </c>
      <c r="K216" t="s">
        <v>725</v>
      </c>
      <c r="L216" t="s">
        <v>1644</v>
      </c>
      <c r="M216">
        <v>644.6</v>
      </c>
      <c r="N216" t="s">
        <v>413</v>
      </c>
      <c r="O216">
        <v>165.5</v>
      </c>
      <c r="P216">
        <v>165.5</v>
      </c>
      <c r="Q216" t="s">
        <v>43</v>
      </c>
      <c r="R216">
        <v>3</v>
      </c>
      <c r="S216">
        <v>1</v>
      </c>
      <c r="T216" t="s">
        <v>725</v>
      </c>
      <c r="U216" t="s">
        <v>726</v>
      </c>
      <c r="V216" t="s">
        <v>732</v>
      </c>
      <c r="W216" t="s">
        <v>731</v>
      </c>
      <c r="X216" t="s">
        <v>728</v>
      </c>
      <c r="Y216" t="s">
        <v>46</v>
      </c>
      <c r="Z216" t="s">
        <v>733</v>
      </c>
      <c r="AA216" t="s">
        <v>46</v>
      </c>
      <c r="AB216" t="s">
        <v>46</v>
      </c>
      <c r="AC216" t="s">
        <v>46</v>
      </c>
      <c r="AD216" t="s">
        <v>169</v>
      </c>
      <c r="AE216" t="s">
        <v>46</v>
      </c>
      <c r="AF216">
        <f>7*24</f>
        <v>168</v>
      </c>
      <c r="AG216" t="s">
        <v>40</v>
      </c>
      <c r="AH216" t="s">
        <v>50</v>
      </c>
      <c r="AI216" t="s">
        <v>46</v>
      </c>
      <c r="AJ216" t="s">
        <v>47</v>
      </c>
      <c r="AK216" t="s">
        <v>48</v>
      </c>
      <c r="AL216">
        <v>30</v>
      </c>
      <c r="AM216" t="s">
        <v>46</v>
      </c>
      <c r="AN216" t="s">
        <v>46</v>
      </c>
      <c r="AO216" t="s">
        <v>46</v>
      </c>
      <c r="AP216" t="s">
        <v>50</v>
      </c>
      <c r="AQ216" t="s">
        <v>46</v>
      </c>
      <c r="AR216" t="s">
        <v>50</v>
      </c>
      <c r="AS216" t="s">
        <v>1629</v>
      </c>
      <c r="AT216" t="s">
        <v>63</v>
      </c>
      <c r="AU216" t="s">
        <v>46</v>
      </c>
      <c r="AV216">
        <v>2015</v>
      </c>
      <c r="AW216" t="s">
        <v>734</v>
      </c>
    </row>
    <row r="217" spans="1:49" x14ac:dyDescent="0.2">
      <c r="A217">
        <v>216</v>
      </c>
      <c r="B217" t="s">
        <v>735</v>
      </c>
      <c r="C217" t="s">
        <v>736</v>
      </c>
      <c r="D217">
        <v>1.27</v>
      </c>
      <c r="E217" t="s">
        <v>68</v>
      </c>
      <c r="F217">
        <f>D217-1.05</f>
        <v>0.21999999999999997</v>
      </c>
      <c r="G217">
        <f>1.48-D217</f>
        <v>0.20999999999999996</v>
      </c>
      <c r="H217" t="s">
        <v>69</v>
      </c>
      <c r="I217">
        <v>3</v>
      </c>
      <c r="J217">
        <v>1</v>
      </c>
      <c r="K217" t="s">
        <v>725</v>
      </c>
      <c r="L217" t="s">
        <v>737</v>
      </c>
      <c r="M217">
        <v>3.67</v>
      </c>
      <c r="N217" t="s">
        <v>68</v>
      </c>
      <c r="O217">
        <f>M217-2.61</f>
        <v>1.06</v>
      </c>
      <c r="P217">
        <f>4.73-M217</f>
        <v>1.0600000000000005</v>
      </c>
      <c r="Q217" t="s">
        <v>69</v>
      </c>
      <c r="R217">
        <v>3</v>
      </c>
      <c r="S217">
        <v>1</v>
      </c>
      <c r="T217" t="s">
        <v>725</v>
      </c>
      <c r="U217" t="s">
        <v>738</v>
      </c>
      <c r="V217" t="s">
        <v>739</v>
      </c>
      <c r="W217" t="s">
        <v>743</v>
      </c>
      <c r="X217" t="s">
        <v>571</v>
      </c>
      <c r="Y217" t="s">
        <v>46</v>
      </c>
      <c r="Z217" t="s">
        <v>747</v>
      </c>
      <c r="AA217" t="s">
        <v>426</v>
      </c>
      <c r="AB217" t="s">
        <v>427</v>
      </c>
      <c r="AC217" t="s">
        <v>428</v>
      </c>
      <c r="AD217" t="s">
        <v>39</v>
      </c>
      <c r="AE217" t="s">
        <v>46</v>
      </c>
      <c r="AF217">
        <v>96</v>
      </c>
      <c r="AG217" t="s">
        <v>40</v>
      </c>
      <c r="AH217" t="s">
        <v>50</v>
      </c>
      <c r="AI217" t="s">
        <v>46</v>
      </c>
      <c r="AJ217" t="s">
        <v>47</v>
      </c>
      <c r="AK217" t="s">
        <v>61</v>
      </c>
      <c r="AL217">
        <v>23</v>
      </c>
      <c r="AM217" t="s">
        <v>46</v>
      </c>
      <c r="AN217" t="s">
        <v>46</v>
      </c>
      <c r="AO217" t="s">
        <v>46</v>
      </c>
      <c r="AP217" t="s">
        <v>63</v>
      </c>
      <c r="AQ217" t="s">
        <v>46</v>
      </c>
      <c r="AR217" t="s">
        <v>50</v>
      </c>
      <c r="AS217" t="s">
        <v>1645</v>
      </c>
      <c r="AT217" t="s">
        <v>63</v>
      </c>
      <c r="AU217" t="s">
        <v>46</v>
      </c>
      <c r="AV217">
        <v>2018</v>
      </c>
      <c r="AW217" t="s">
        <v>748</v>
      </c>
    </row>
    <row r="218" spans="1:49" x14ac:dyDescent="0.2">
      <c r="A218">
        <v>217</v>
      </c>
      <c r="B218" t="s">
        <v>735</v>
      </c>
      <c r="C218" t="s">
        <v>736</v>
      </c>
      <c r="D218">
        <v>2.23</v>
      </c>
      <c r="E218" t="s">
        <v>68</v>
      </c>
      <c r="F218">
        <f>D218-1.77</f>
        <v>0.45999999999999996</v>
      </c>
      <c r="G218">
        <f>2.7-D218</f>
        <v>0.4700000000000002</v>
      </c>
      <c r="H218" t="s">
        <v>69</v>
      </c>
      <c r="I218">
        <v>3</v>
      </c>
      <c r="J218">
        <v>1</v>
      </c>
      <c r="K218" t="s">
        <v>725</v>
      </c>
      <c r="L218" t="s">
        <v>737</v>
      </c>
      <c r="M218">
        <v>6.84</v>
      </c>
      <c r="N218" t="s">
        <v>68</v>
      </c>
      <c r="O218">
        <f>M218-4.72</f>
        <v>2.12</v>
      </c>
      <c r="P218">
        <f>8.96-M218</f>
        <v>2.120000000000001</v>
      </c>
      <c r="Q218" t="s">
        <v>69</v>
      </c>
      <c r="R218">
        <v>3</v>
      </c>
      <c r="S218">
        <v>1</v>
      </c>
      <c r="T218" t="s">
        <v>725</v>
      </c>
      <c r="U218" t="s">
        <v>738</v>
      </c>
      <c r="V218" t="s">
        <v>740</v>
      </c>
      <c r="W218" t="s">
        <v>744</v>
      </c>
      <c r="X218" t="s">
        <v>749</v>
      </c>
      <c r="Y218" t="s">
        <v>46</v>
      </c>
      <c r="Z218" t="s">
        <v>747</v>
      </c>
      <c r="AA218" t="s">
        <v>750</v>
      </c>
      <c r="AB218" t="s">
        <v>427</v>
      </c>
      <c r="AC218" t="s">
        <v>428</v>
      </c>
      <c r="AD218" t="s">
        <v>39</v>
      </c>
      <c r="AE218" t="s">
        <v>46</v>
      </c>
      <c r="AF218">
        <v>96</v>
      </c>
      <c r="AG218" t="s">
        <v>40</v>
      </c>
      <c r="AH218" t="s">
        <v>50</v>
      </c>
      <c r="AI218" t="s">
        <v>46</v>
      </c>
      <c r="AJ218" t="s">
        <v>47</v>
      </c>
      <c r="AK218" t="s">
        <v>61</v>
      </c>
      <c r="AL218">
        <v>23</v>
      </c>
      <c r="AM218" t="s">
        <v>46</v>
      </c>
      <c r="AN218" t="s">
        <v>46</v>
      </c>
      <c r="AO218" t="s">
        <v>46</v>
      </c>
      <c r="AP218" t="s">
        <v>63</v>
      </c>
      <c r="AQ218" t="s">
        <v>46</v>
      </c>
      <c r="AR218" t="s">
        <v>50</v>
      </c>
      <c r="AS218" t="s">
        <v>1645</v>
      </c>
      <c r="AT218" t="s">
        <v>63</v>
      </c>
      <c r="AU218" t="s">
        <v>46</v>
      </c>
      <c r="AV218">
        <v>2018</v>
      </c>
      <c r="AW218" t="s">
        <v>748</v>
      </c>
    </row>
    <row r="219" spans="1:49" x14ac:dyDescent="0.2">
      <c r="A219">
        <v>218</v>
      </c>
      <c r="B219" t="s">
        <v>735</v>
      </c>
      <c r="C219" t="s">
        <v>736</v>
      </c>
      <c r="D219">
        <v>1.62</v>
      </c>
      <c r="E219" t="s">
        <v>68</v>
      </c>
      <c r="F219">
        <f>D219-1.39</f>
        <v>0.2300000000000002</v>
      </c>
      <c r="G219">
        <f>1.85-D219</f>
        <v>0.22999999999999998</v>
      </c>
      <c r="H219" t="s">
        <v>69</v>
      </c>
      <c r="I219">
        <v>3</v>
      </c>
      <c r="J219">
        <v>1</v>
      </c>
      <c r="K219" t="s">
        <v>725</v>
      </c>
      <c r="L219" t="s">
        <v>737</v>
      </c>
      <c r="M219">
        <v>4.7</v>
      </c>
      <c r="N219" t="s">
        <v>68</v>
      </c>
      <c r="O219">
        <f>M219-3.66</f>
        <v>1.04</v>
      </c>
      <c r="P219">
        <f>5.74-M219</f>
        <v>1.04</v>
      </c>
      <c r="Q219" t="s">
        <v>69</v>
      </c>
      <c r="R219">
        <v>3</v>
      </c>
      <c r="S219">
        <v>1</v>
      </c>
      <c r="T219" t="s">
        <v>725</v>
      </c>
      <c r="U219" t="s">
        <v>738</v>
      </c>
      <c r="V219" t="s">
        <v>741</v>
      </c>
      <c r="W219" t="s">
        <v>745</v>
      </c>
      <c r="X219" t="s">
        <v>751</v>
      </c>
      <c r="Y219" t="s">
        <v>46</v>
      </c>
      <c r="Z219" t="s">
        <v>747</v>
      </c>
      <c r="AA219" t="s">
        <v>752</v>
      </c>
      <c r="AB219" t="s">
        <v>753</v>
      </c>
      <c r="AC219" t="s">
        <v>428</v>
      </c>
      <c r="AD219" t="s">
        <v>39</v>
      </c>
      <c r="AE219" t="s">
        <v>46</v>
      </c>
      <c r="AF219">
        <v>96</v>
      </c>
      <c r="AG219" t="s">
        <v>40</v>
      </c>
      <c r="AH219" t="s">
        <v>50</v>
      </c>
      <c r="AI219" t="s">
        <v>46</v>
      </c>
      <c r="AJ219" t="s">
        <v>47</v>
      </c>
      <c r="AK219" t="s">
        <v>61</v>
      </c>
      <c r="AL219">
        <v>23</v>
      </c>
      <c r="AM219" t="s">
        <v>46</v>
      </c>
      <c r="AN219" t="s">
        <v>46</v>
      </c>
      <c r="AO219" t="s">
        <v>46</v>
      </c>
      <c r="AP219" t="s">
        <v>63</v>
      </c>
      <c r="AQ219" t="s">
        <v>46</v>
      </c>
      <c r="AR219" t="s">
        <v>50</v>
      </c>
      <c r="AS219" t="s">
        <v>1645</v>
      </c>
      <c r="AT219" t="s">
        <v>63</v>
      </c>
      <c r="AU219" t="s">
        <v>46</v>
      </c>
      <c r="AV219">
        <v>2018</v>
      </c>
      <c r="AW219" t="s">
        <v>748</v>
      </c>
    </row>
    <row r="220" spans="1:49" x14ac:dyDescent="0.2">
      <c r="A220">
        <v>219</v>
      </c>
      <c r="B220" t="s">
        <v>735</v>
      </c>
      <c r="C220" t="s">
        <v>736</v>
      </c>
      <c r="D220">
        <v>3.24</v>
      </c>
      <c r="E220" t="s">
        <v>68</v>
      </c>
      <c r="F220">
        <f>D220-2.41</f>
        <v>0.83000000000000007</v>
      </c>
      <c r="G220">
        <f>4.08-D220</f>
        <v>0.83999999999999986</v>
      </c>
      <c r="H220" t="s">
        <v>69</v>
      </c>
      <c r="I220">
        <v>3</v>
      </c>
      <c r="J220">
        <v>1</v>
      </c>
      <c r="K220" t="s">
        <v>725</v>
      </c>
      <c r="L220" t="s">
        <v>737</v>
      </c>
      <c r="M220">
        <v>2.57</v>
      </c>
      <c r="N220" t="s">
        <v>68</v>
      </c>
      <c r="O220">
        <f>M220-1.65</f>
        <v>0.91999999999999993</v>
      </c>
      <c r="P220">
        <f>3.5-M220</f>
        <v>0.93000000000000016</v>
      </c>
      <c r="Q220" t="s">
        <v>69</v>
      </c>
      <c r="R220">
        <v>3</v>
      </c>
      <c r="S220">
        <v>1</v>
      </c>
      <c r="T220" t="s">
        <v>725</v>
      </c>
      <c r="U220" t="s">
        <v>738</v>
      </c>
      <c r="V220" t="s">
        <v>742</v>
      </c>
      <c r="W220" t="s">
        <v>746</v>
      </c>
      <c r="X220" t="s">
        <v>754</v>
      </c>
      <c r="Y220" t="s">
        <v>46</v>
      </c>
      <c r="Z220" t="s">
        <v>747</v>
      </c>
      <c r="AA220" t="s">
        <v>752</v>
      </c>
      <c r="AB220" t="s">
        <v>753</v>
      </c>
      <c r="AC220" t="s">
        <v>428</v>
      </c>
      <c r="AD220" t="s">
        <v>39</v>
      </c>
      <c r="AE220" t="s">
        <v>46</v>
      </c>
      <c r="AF220">
        <v>96</v>
      </c>
      <c r="AG220" t="s">
        <v>40</v>
      </c>
      <c r="AH220" t="s">
        <v>50</v>
      </c>
      <c r="AI220" t="s">
        <v>46</v>
      </c>
      <c r="AJ220" t="s">
        <v>47</v>
      </c>
      <c r="AK220" t="s">
        <v>61</v>
      </c>
      <c r="AL220">
        <v>23</v>
      </c>
      <c r="AM220" t="s">
        <v>46</v>
      </c>
      <c r="AN220" t="s">
        <v>46</v>
      </c>
      <c r="AO220" t="s">
        <v>46</v>
      </c>
      <c r="AP220" t="s">
        <v>63</v>
      </c>
      <c r="AQ220" t="s">
        <v>46</v>
      </c>
      <c r="AR220" t="s">
        <v>50</v>
      </c>
      <c r="AS220" t="s">
        <v>1645</v>
      </c>
      <c r="AT220" t="s">
        <v>63</v>
      </c>
      <c r="AU220" t="s">
        <v>46</v>
      </c>
      <c r="AV220">
        <v>2018</v>
      </c>
      <c r="AW220" t="s">
        <v>748</v>
      </c>
    </row>
    <row r="221" spans="1:49" x14ac:dyDescent="0.2">
      <c r="A221">
        <v>220</v>
      </c>
      <c r="B221" t="s">
        <v>755</v>
      </c>
      <c r="C221" t="s">
        <v>80</v>
      </c>
      <c r="D221">
        <v>4.2</v>
      </c>
      <c r="E221" t="s">
        <v>68</v>
      </c>
      <c r="F221">
        <v>1.8</v>
      </c>
      <c r="G221">
        <v>1.8</v>
      </c>
      <c r="H221" t="s">
        <v>43</v>
      </c>
      <c r="I221">
        <v>4</v>
      </c>
      <c r="J221">
        <v>5</v>
      </c>
      <c r="K221" t="s">
        <v>756</v>
      </c>
      <c r="L221" t="s">
        <v>757</v>
      </c>
      <c r="M221">
        <v>48.9</v>
      </c>
      <c r="N221" t="s">
        <v>68</v>
      </c>
      <c r="O221">
        <v>5.5</v>
      </c>
      <c r="P221">
        <v>5.5</v>
      </c>
      <c r="Q221" t="s">
        <v>43</v>
      </c>
      <c r="R221">
        <v>4</v>
      </c>
      <c r="S221">
        <v>5</v>
      </c>
      <c r="T221" t="s">
        <v>756</v>
      </c>
      <c r="U221" t="s">
        <v>758</v>
      </c>
      <c r="V221" t="s">
        <v>759</v>
      </c>
      <c r="W221" t="s">
        <v>760</v>
      </c>
      <c r="X221" t="s">
        <v>257</v>
      </c>
      <c r="Y221" t="s">
        <v>258</v>
      </c>
      <c r="Z221" t="s">
        <v>761</v>
      </c>
      <c r="AA221" t="s">
        <v>73</v>
      </c>
      <c r="AB221" t="s">
        <v>74</v>
      </c>
      <c r="AC221" t="s">
        <v>38</v>
      </c>
      <c r="AD221" t="s">
        <v>39</v>
      </c>
      <c r="AE221" t="s">
        <v>465</v>
      </c>
      <c r="AF221">
        <v>48</v>
      </c>
      <c r="AG221" t="s">
        <v>40</v>
      </c>
      <c r="AH221" t="s">
        <v>50</v>
      </c>
      <c r="AI221" t="s">
        <v>46</v>
      </c>
      <c r="AJ221" t="s">
        <v>47</v>
      </c>
      <c r="AK221" t="s">
        <v>61</v>
      </c>
      <c r="AL221">
        <v>20</v>
      </c>
      <c r="AM221" t="s">
        <v>46</v>
      </c>
      <c r="AN221" t="s">
        <v>152</v>
      </c>
      <c r="AO221">
        <v>24</v>
      </c>
      <c r="AP221" t="s">
        <v>63</v>
      </c>
      <c r="AQ221" t="s">
        <v>46</v>
      </c>
      <c r="AR221" t="s">
        <v>50</v>
      </c>
      <c r="AS221" t="s">
        <v>1640</v>
      </c>
      <c r="AT221" t="s">
        <v>63</v>
      </c>
      <c r="AU221" t="s">
        <v>46</v>
      </c>
      <c r="AV221">
        <v>2013</v>
      </c>
      <c r="AW221" t="s">
        <v>762</v>
      </c>
    </row>
    <row r="222" spans="1:49" x14ac:dyDescent="0.2">
      <c r="A222">
        <v>221</v>
      </c>
      <c r="B222" t="s">
        <v>755</v>
      </c>
      <c r="C222" t="s">
        <v>80</v>
      </c>
      <c r="D222">
        <v>7.5</v>
      </c>
      <c r="E222" t="s">
        <v>68</v>
      </c>
      <c r="F222">
        <v>1.4</v>
      </c>
      <c r="G222">
        <v>1.4</v>
      </c>
      <c r="H222" t="s">
        <v>43</v>
      </c>
      <c r="I222">
        <v>3</v>
      </c>
      <c r="J222">
        <v>1</v>
      </c>
      <c r="K222" t="s">
        <v>725</v>
      </c>
      <c r="L222" t="s">
        <v>757</v>
      </c>
      <c r="M222">
        <v>5.4</v>
      </c>
      <c r="N222" t="s">
        <v>68</v>
      </c>
      <c r="O222">
        <v>1.3</v>
      </c>
      <c r="P222">
        <v>1.3</v>
      </c>
      <c r="Q222" t="s">
        <v>43</v>
      </c>
      <c r="R222">
        <v>3</v>
      </c>
      <c r="S222">
        <v>1</v>
      </c>
      <c r="T222" t="s">
        <v>725</v>
      </c>
      <c r="U222" t="s">
        <v>758</v>
      </c>
      <c r="V222" t="s">
        <v>763</v>
      </c>
      <c r="W222" t="s">
        <v>764</v>
      </c>
      <c r="X222" t="s">
        <v>418</v>
      </c>
      <c r="Y222" t="s">
        <v>46</v>
      </c>
      <c r="Z222" t="s">
        <v>761</v>
      </c>
      <c r="AA222" t="s">
        <v>419</v>
      </c>
      <c r="AB222" t="s">
        <v>420</v>
      </c>
      <c r="AC222" t="s">
        <v>421</v>
      </c>
      <c r="AD222" t="s">
        <v>39</v>
      </c>
      <c r="AE222" t="s">
        <v>46</v>
      </c>
      <c r="AF222">
        <v>0.5</v>
      </c>
      <c r="AG222" t="s">
        <v>40</v>
      </c>
      <c r="AH222" t="s">
        <v>50</v>
      </c>
      <c r="AI222" t="s">
        <v>46</v>
      </c>
      <c r="AJ222" t="s">
        <v>47</v>
      </c>
      <c r="AK222" t="s">
        <v>61</v>
      </c>
      <c r="AL222">
        <v>20</v>
      </c>
      <c r="AM222" t="s">
        <v>46</v>
      </c>
      <c r="AN222" t="s">
        <v>46</v>
      </c>
      <c r="AO222" t="s">
        <v>46</v>
      </c>
      <c r="AP222" t="s">
        <v>63</v>
      </c>
      <c r="AQ222" t="s">
        <v>46</v>
      </c>
      <c r="AR222" t="s">
        <v>50</v>
      </c>
      <c r="AS222" t="s">
        <v>1640</v>
      </c>
      <c r="AT222" t="s">
        <v>63</v>
      </c>
      <c r="AU222" t="s">
        <v>46</v>
      </c>
      <c r="AV222">
        <v>2013</v>
      </c>
      <c r="AW222" t="s">
        <v>762</v>
      </c>
    </row>
    <row r="223" spans="1:49" x14ac:dyDescent="0.2">
      <c r="A223">
        <v>222</v>
      </c>
      <c r="B223" t="s">
        <v>765</v>
      </c>
      <c r="C223" t="s">
        <v>281</v>
      </c>
      <c r="D223">
        <v>1.6</v>
      </c>
      <c r="E223" t="s">
        <v>42</v>
      </c>
      <c r="F223">
        <f>D223-1.28</f>
        <v>0.32000000000000006</v>
      </c>
      <c r="G223">
        <f>1.87-D223</f>
        <v>0.27</v>
      </c>
      <c r="H223" t="s">
        <v>69</v>
      </c>
      <c r="I223">
        <v>3</v>
      </c>
      <c r="J223">
        <v>5</v>
      </c>
      <c r="K223" t="s">
        <v>1674</v>
      </c>
      <c r="L223" t="s">
        <v>766</v>
      </c>
      <c r="M223">
        <v>1.6</v>
      </c>
      <c r="N223" t="s">
        <v>42</v>
      </c>
      <c r="O223">
        <f>M223-1.375</f>
        <v>0.22500000000000009</v>
      </c>
      <c r="P223">
        <f>1.936-M223</f>
        <v>0.33599999999999985</v>
      </c>
      <c r="Q223" t="s">
        <v>69</v>
      </c>
      <c r="R223">
        <v>3</v>
      </c>
      <c r="S223">
        <v>5</v>
      </c>
      <c r="T223" t="s">
        <v>1674</v>
      </c>
      <c r="U223" t="s">
        <v>46</v>
      </c>
      <c r="V223" t="s">
        <v>767</v>
      </c>
      <c r="W223" t="s">
        <v>768</v>
      </c>
      <c r="X223" t="s">
        <v>769</v>
      </c>
      <c r="Y223" t="s">
        <v>770</v>
      </c>
      <c r="Z223" t="s">
        <v>46</v>
      </c>
      <c r="AA223" t="s">
        <v>36</v>
      </c>
      <c r="AB223" t="s">
        <v>37</v>
      </c>
      <c r="AC223" t="s">
        <v>38</v>
      </c>
      <c r="AD223" t="s">
        <v>39</v>
      </c>
      <c r="AE223" t="s">
        <v>90</v>
      </c>
      <c r="AF223">
        <v>96</v>
      </c>
      <c r="AG223" t="s">
        <v>77</v>
      </c>
      <c r="AH223" t="s">
        <v>50</v>
      </c>
      <c r="AI223" t="s">
        <v>46</v>
      </c>
      <c r="AJ223" t="s">
        <v>47</v>
      </c>
      <c r="AK223" t="s">
        <v>61</v>
      </c>
      <c r="AL223">
        <v>16</v>
      </c>
      <c r="AM223">
        <v>6.01</v>
      </c>
      <c r="AN223" t="s">
        <v>76</v>
      </c>
      <c r="AO223" t="s">
        <v>46</v>
      </c>
      <c r="AP223" t="s">
        <v>50</v>
      </c>
      <c r="AQ223">
        <v>9.6</v>
      </c>
      <c r="AR223" t="s">
        <v>50</v>
      </c>
      <c r="AS223" t="s">
        <v>1646</v>
      </c>
      <c r="AT223" t="s">
        <v>50</v>
      </c>
      <c r="AU223" t="s">
        <v>63</v>
      </c>
      <c r="AV223">
        <v>1989</v>
      </c>
      <c r="AW223" t="s">
        <v>1675</v>
      </c>
    </row>
    <row r="224" spans="1:49" x14ac:dyDescent="0.2">
      <c r="A224">
        <v>223</v>
      </c>
      <c r="B224" t="s">
        <v>771</v>
      </c>
      <c r="C224" t="s">
        <v>55</v>
      </c>
      <c r="D224" t="s">
        <v>788</v>
      </c>
      <c r="E224" t="s">
        <v>42</v>
      </c>
      <c r="F224" t="s">
        <v>46</v>
      </c>
      <c r="G224" t="s">
        <v>46</v>
      </c>
      <c r="H224" t="s">
        <v>46</v>
      </c>
      <c r="I224">
        <v>4</v>
      </c>
      <c r="J224">
        <v>5</v>
      </c>
      <c r="K224" t="s">
        <v>756</v>
      </c>
      <c r="L224" t="s">
        <v>87</v>
      </c>
      <c r="M224">
        <v>6.76</v>
      </c>
      <c r="N224" t="s">
        <v>42</v>
      </c>
      <c r="O224">
        <f>M224-6.45</f>
        <v>0.30999999999999961</v>
      </c>
      <c r="P224">
        <f>7.11-M224</f>
        <v>0.35000000000000053</v>
      </c>
      <c r="Q224" t="s">
        <v>69</v>
      </c>
      <c r="R224">
        <v>4</v>
      </c>
      <c r="S224">
        <v>5</v>
      </c>
      <c r="T224" t="s">
        <v>756</v>
      </c>
      <c r="U224" t="s">
        <v>156</v>
      </c>
      <c r="V224" t="s">
        <v>772</v>
      </c>
      <c r="W224" t="s">
        <v>781</v>
      </c>
      <c r="X224" t="s">
        <v>784</v>
      </c>
      <c r="Y224" t="s">
        <v>785</v>
      </c>
      <c r="Z224" t="s">
        <v>786</v>
      </c>
      <c r="AA224" t="s">
        <v>60</v>
      </c>
      <c r="AB224" t="s">
        <v>37</v>
      </c>
      <c r="AC224" t="s">
        <v>38</v>
      </c>
      <c r="AD224" t="s">
        <v>179</v>
      </c>
      <c r="AE224" t="s">
        <v>180</v>
      </c>
      <c r="AF224">
        <v>24</v>
      </c>
      <c r="AG224" t="s">
        <v>40</v>
      </c>
      <c r="AH224" t="s">
        <v>50</v>
      </c>
      <c r="AI224" t="s">
        <v>46</v>
      </c>
      <c r="AJ224" t="s">
        <v>47</v>
      </c>
      <c r="AK224" t="s">
        <v>61</v>
      </c>
      <c r="AL224">
        <v>25</v>
      </c>
      <c r="AM224" t="s">
        <v>46</v>
      </c>
      <c r="AN224" t="s">
        <v>76</v>
      </c>
      <c r="AO224" t="s">
        <v>222</v>
      </c>
      <c r="AP224" t="s">
        <v>63</v>
      </c>
      <c r="AQ224" t="s">
        <v>46</v>
      </c>
      <c r="AR224" t="s">
        <v>63</v>
      </c>
      <c r="AS224" t="s">
        <v>1629</v>
      </c>
      <c r="AT224" t="s">
        <v>63</v>
      </c>
      <c r="AU224" t="s">
        <v>46</v>
      </c>
      <c r="AV224">
        <v>2016</v>
      </c>
      <c r="AW224" t="s">
        <v>46</v>
      </c>
    </row>
    <row r="225" spans="1:49" x14ac:dyDescent="0.2">
      <c r="A225">
        <v>224</v>
      </c>
      <c r="B225" t="s">
        <v>771</v>
      </c>
      <c r="C225" t="s">
        <v>55</v>
      </c>
      <c r="D225" t="s">
        <v>788</v>
      </c>
      <c r="E225" t="s">
        <v>42</v>
      </c>
      <c r="F225" t="s">
        <v>46</v>
      </c>
      <c r="G225" t="s">
        <v>46</v>
      </c>
      <c r="H225" t="s">
        <v>46</v>
      </c>
      <c r="I225">
        <v>4</v>
      </c>
      <c r="J225">
        <v>5</v>
      </c>
      <c r="K225" t="s">
        <v>756</v>
      </c>
      <c r="L225" t="s">
        <v>87</v>
      </c>
      <c r="M225">
        <v>3.86</v>
      </c>
      <c r="N225" t="s">
        <v>42</v>
      </c>
      <c r="O225">
        <f>M225-3.6</f>
        <v>0.25999999999999979</v>
      </c>
      <c r="P225">
        <f>4.11-M225</f>
        <v>0.25000000000000044</v>
      </c>
      <c r="Q225" t="s">
        <v>69</v>
      </c>
      <c r="R225">
        <v>4</v>
      </c>
      <c r="S225">
        <v>5</v>
      </c>
      <c r="T225" t="s">
        <v>756</v>
      </c>
      <c r="U225" t="s">
        <v>156</v>
      </c>
      <c r="V225" s="3" t="s">
        <v>773</v>
      </c>
      <c r="W225" t="s">
        <v>781</v>
      </c>
      <c r="X225" t="s">
        <v>784</v>
      </c>
      <c r="Y225" t="s">
        <v>785</v>
      </c>
      <c r="Z225" t="s">
        <v>786</v>
      </c>
      <c r="AA225" t="s">
        <v>60</v>
      </c>
      <c r="AB225" t="s">
        <v>37</v>
      </c>
      <c r="AC225" t="s">
        <v>38</v>
      </c>
      <c r="AD225" t="s">
        <v>179</v>
      </c>
      <c r="AE225" t="s">
        <v>180</v>
      </c>
      <c r="AF225">
        <v>48</v>
      </c>
      <c r="AG225" t="s">
        <v>40</v>
      </c>
      <c r="AH225" t="s">
        <v>50</v>
      </c>
      <c r="AI225" t="s">
        <v>46</v>
      </c>
      <c r="AJ225" t="s">
        <v>47</v>
      </c>
      <c r="AK225" t="s">
        <v>61</v>
      </c>
      <c r="AL225">
        <v>25</v>
      </c>
      <c r="AM225" t="s">
        <v>46</v>
      </c>
      <c r="AN225" t="s">
        <v>76</v>
      </c>
      <c r="AO225" t="s">
        <v>222</v>
      </c>
      <c r="AP225" t="s">
        <v>63</v>
      </c>
      <c r="AQ225" t="s">
        <v>46</v>
      </c>
      <c r="AR225" t="s">
        <v>63</v>
      </c>
      <c r="AS225" t="s">
        <v>1629</v>
      </c>
      <c r="AT225" t="s">
        <v>63</v>
      </c>
      <c r="AU225" t="s">
        <v>46</v>
      </c>
      <c r="AV225">
        <v>2016</v>
      </c>
      <c r="AW225" t="s">
        <v>46</v>
      </c>
    </row>
    <row r="226" spans="1:49" x14ac:dyDescent="0.2">
      <c r="A226">
        <v>225</v>
      </c>
      <c r="B226" t="s">
        <v>771</v>
      </c>
      <c r="C226" t="s">
        <v>55</v>
      </c>
      <c r="D226" t="s">
        <v>788</v>
      </c>
      <c r="E226" t="s">
        <v>42</v>
      </c>
      <c r="F226" t="s">
        <v>46</v>
      </c>
      <c r="G226" t="s">
        <v>46</v>
      </c>
      <c r="H226" t="s">
        <v>46</v>
      </c>
      <c r="I226">
        <v>4</v>
      </c>
      <c r="J226">
        <v>5</v>
      </c>
      <c r="K226" t="s">
        <v>756</v>
      </c>
      <c r="L226" t="s">
        <v>87</v>
      </c>
      <c r="M226">
        <v>3.28</v>
      </c>
      <c r="N226" t="s">
        <v>42</v>
      </c>
      <c r="O226">
        <f>M226-3.03</f>
        <v>0.25</v>
      </c>
      <c r="P226">
        <f>3.46-M226</f>
        <v>0.18000000000000016</v>
      </c>
      <c r="Q226" t="s">
        <v>69</v>
      </c>
      <c r="R226">
        <v>4</v>
      </c>
      <c r="S226">
        <v>5</v>
      </c>
      <c r="T226" t="s">
        <v>756</v>
      </c>
      <c r="U226" t="s">
        <v>156</v>
      </c>
      <c r="V226" t="s">
        <v>774</v>
      </c>
      <c r="W226" t="s">
        <v>781</v>
      </c>
      <c r="X226" t="s">
        <v>784</v>
      </c>
      <c r="Y226" t="s">
        <v>785</v>
      </c>
      <c r="Z226" t="s">
        <v>786</v>
      </c>
      <c r="AA226" t="s">
        <v>60</v>
      </c>
      <c r="AB226" t="s">
        <v>37</v>
      </c>
      <c r="AC226" t="s">
        <v>38</v>
      </c>
      <c r="AD226" t="s">
        <v>179</v>
      </c>
      <c r="AE226" t="s">
        <v>180</v>
      </c>
      <c r="AF226">
        <v>72</v>
      </c>
      <c r="AG226" t="s">
        <v>40</v>
      </c>
      <c r="AH226" t="s">
        <v>50</v>
      </c>
      <c r="AI226" t="s">
        <v>46</v>
      </c>
      <c r="AJ226" t="s">
        <v>47</v>
      </c>
      <c r="AK226" t="s">
        <v>61</v>
      </c>
      <c r="AL226">
        <v>25</v>
      </c>
      <c r="AM226" t="s">
        <v>46</v>
      </c>
      <c r="AN226" t="s">
        <v>76</v>
      </c>
      <c r="AO226" t="s">
        <v>222</v>
      </c>
      <c r="AP226" t="s">
        <v>63</v>
      </c>
      <c r="AQ226" t="s">
        <v>46</v>
      </c>
      <c r="AR226" t="s">
        <v>63</v>
      </c>
      <c r="AS226" t="s">
        <v>1629</v>
      </c>
      <c r="AT226" t="s">
        <v>63</v>
      </c>
      <c r="AU226" t="s">
        <v>46</v>
      </c>
      <c r="AV226">
        <v>2016</v>
      </c>
      <c r="AW226" t="s">
        <v>46</v>
      </c>
    </row>
    <row r="227" spans="1:49" x14ac:dyDescent="0.2">
      <c r="A227">
        <v>226</v>
      </c>
      <c r="B227" t="s">
        <v>771</v>
      </c>
      <c r="C227" t="s">
        <v>55</v>
      </c>
      <c r="D227" t="s">
        <v>788</v>
      </c>
      <c r="E227" t="s">
        <v>42</v>
      </c>
      <c r="F227" t="s">
        <v>46</v>
      </c>
      <c r="G227" t="s">
        <v>46</v>
      </c>
      <c r="H227" t="s">
        <v>46</v>
      </c>
      <c r="I227">
        <v>4</v>
      </c>
      <c r="J227">
        <v>5</v>
      </c>
      <c r="K227" t="s">
        <v>756</v>
      </c>
      <c r="L227" t="s">
        <v>87</v>
      </c>
      <c r="M227">
        <v>3.26</v>
      </c>
      <c r="N227" t="s">
        <v>42</v>
      </c>
      <c r="O227">
        <f>M227-3.04</f>
        <v>0.21999999999999975</v>
      </c>
      <c r="P227">
        <f>3.43-M227</f>
        <v>0.17000000000000037</v>
      </c>
      <c r="Q227" t="s">
        <v>69</v>
      </c>
      <c r="R227">
        <v>4</v>
      </c>
      <c r="S227">
        <v>5</v>
      </c>
      <c r="T227" t="s">
        <v>756</v>
      </c>
      <c r="U227" t="s">
        <v>156</v>
      </c>
      <c r="V227" t="s">
        <v>775</v>
      </c>
      <c r="W227" t="s">
        <v>781</v>
      </c>
      <c r="X227" t="s">
        <v>784</v>
      </c>
      <c r="Y227" t="s">
        <v>785</v>
      </c>
      <c r="Z227" t="s">
        <v>786</v>
      </c>
      <c r="AA227" t="s">
        <v>60</v>
      </c>
      <c r="AB227" t="s">
        <v>37</v>
      </c>
      <c r="AC227" t="s">
        <v>38</v>
      </c>
      <c r="AD227" t="s">
        <v>179</v>
      </c>
      <c r="AE227" t="s">
        <v>180</v>
      </c>
      <c r="AF227">
        <v>96</v>
      </c>
      <c r="AG227" t="s">
        <v>40</v>
      </c>
      <c r="AH227" t="s">
        <v>50</v>
      </c>
      <c r="AI227" t="s">
        <v>46</v>
      </c>
      <c r="AJ227" t="s">
        <v>47</v>
      </c>
      <c r="AK227" t="s">
        <v>61</v>
      </c>
      <c r="AL227">
        <v>25</v>
      </c>
      <c r="AM227" t="s">
        <v>46</v>
      </c>
      <c r="AN227" t="s">
        <v>76</v>
      </c>
      <c r="AO227" t="s">
        <v>222</v>
      </c>
      <c r="AP227" t="s">
        <v>63</v>
      </c>
      <c r="AQ227" t="s">
        <v>46</v>
      </c>
      <c r="AR227" t="s">
        <v>63</v>
      </c>
      <c r="AS227" t="s">
        <v>1629</v>
      </c>
      <c r="AT227" t="s">
        <v>63</v>
      </c>
      <c r="AU227" t="s">
        <v>46</v>
      </c>
      <c r="AV227">
        <v>2016</v>
      </c>
      <c r="AW227" t="s">
        <v>46</v>
      </c>
    </row>
    <row r="228" spans="1:49" x14ac:dyDescent="0.2">
      <c r="A228">
        <v>227</v>
      </c>
      <c r="B228" t="s">
        <v>771</v>
      </c>
      <c r="C228" t="s">
        <v>55</v>
      </c>
      <c r="D228" t="s">
        <v>788</v>
      </c>
      <c r="E228" t="s">
        <v>42</v>
      </c>
      <c r="F228" t="s">
        <v>46</v>
      </c>
      <c r="G228" t="s">
        <v>46</v>
      </c>
      <c r="H228" t="s">
        <v>46</v>
      </c>
      <c r="I228">
        <v>4</v>
      </c>
      <c r="J228">
        <v>5</v>
      </c>
      <c r="K228" t="s">
        <v>756</v>
      </c>
      <c r="L228" t="s">
        <v>87</v>
      </c>
      <c r="M228">
        <v>7.13</v>
      </c>
      <c r="N228" t="s">
        <v>42</v>
      </c>
      <c r="O228">
        <f>M228-6.8</f>
        <v>0.33000000000000007</v>
      </c>
      <c r="P228">
        <f>7.55-M228</f>
        <v>0.41999999999999993</v>
      </c>
      <c r="Q228" t="s">
        <v>69</v>
      </c>
      <c r="R228">
        <v>4</v>
      </c>
      <c r="S228">
        <v>5</v>
      </c>
      <c r="T228" t="s">
        <v>756</v>
      </c>
      <c r="U228" t="s">
        <v>156</v>
      </c>
      <c r="V228" t="s">
        <v>776</v>
      </c>
      <c r="W228" t="s">
        <v>782</v>
      </c>
      <c r="X228" t="s">
        <v>784</v>
      </c>
      <c r="Y228" t="s">
        <v>785</v>
      </c>
      <c r="Z228" t="s">
        <v>786</v>
      </c>
      <c r="AA228" t="s">
        <v>60</v>
      </c>
      <c r="AB228" t="s">
        <v>37</v>
      </c>
      <c r="AC228" t="s">
        <v>38</v>
      </c>
      <c r="AD228" t="s">
        <v>179</v>
      </c>
      <c r="AE228" t="s">
        <v>180</v>
      </c>
      <c r="AF228">
        <v>24</v>
      </c>
      <c r="AG228" t="s">
        <v>40</v>
      </c>
      <c r="AH228" t="s">
        <v>50</v>
      </c>
      <c r="AI228" t="s">
        <v>46</v>
      </c>
      <c r="AJ228" t="s">
        <v>47</v>
      </c>
      <c r="AK228" t="s">
        <v>61</v>
      </c>
      <c r="AL228">
        <v>25</v>
      </c>
      <c r="AM228" t="s">
        <v>46</v>
      </c>
      <c r="AN228" t="s">
        <v>152</v>
      </c>
      <c r="AO228" t="s">
        <v>222</v>
      </c>
      <c r="AP228" t="s">
        <v>63</v>
      </c>
      <c r="AQ228" t="s">
        <v>46</v>
      </c>
      <c r="AR228" t="s">
        <v>63</v>
      </c>
      <c r="AS228" t="s">
        <v>1629</v>
      </c>
      <c r="AT228" t="s">
        <v>63</v>
      </c>
      <c r="AU228" t="s">
        <v>46</v>
      </c>
      <c r="AV228">
        <v>2016</v>
      </c>
      <c r="AW228" t="s">
        <v>46</v>
      </c>
    </row>
    <row r="229" spans="1:49" x14ac:dyDescent="0.2">
      <c r="A229">
        <v>228</v>
      </c>
      <c r="B229" t="s">
        <v>771</v>
      </c>
      <c r="C229" t="s">
        <v>55</v>
      </c>
      <c r="D229" t="s">
        <v>788</v>
      </c>
      <c r="E229" t="s">
        <v>42</v>
      </c>
      <c r="F229" t="s">
        <v>46</v>
      </c>
      <c r="G229" t="s">
        <v>46</v>
      </c>
      <c r="H229" t="s">
        <v>46</v>
      </c>
      <c r="I229">
        <v>4</v>
      </c>
      <c r="J229">
        <v>5</v>
      </c>
      <c r="K229" t="s">
        <v>756</v>
      </c>
      <c r="L229" t="s">
        <v>87</v>
      </c>
      <c r="M229">
        <v>5.7</v>
      </c>
      <c r="N229" t="s">
        <v>42</v>
      </c>
      <c r="O229">
        <f>M229-5.42</f>
        <v>0.28000000000000025</v>
      </c>
      <c r="P229">
        <f>5.97-M229</f>
        <v>0.26999999999999957</v>
      </c>
      <c r="Q229" t="s">
        <v>69</v>
      </c>
      <c r="R229">
        <v>4</v>
      </c>
      <c r="S229">
        <v>5</v>
      </c>
      <c r="T229" t="s">
        <v>756</v>
      </c>
      <c r="U229" t="s">
        <v>156</v>
      </c>
      <c r="V229" t="s">
        <v>777</v>
      </c>
      <c r="W229" t="s">
        <v>782</v>
      </c>
      <c r="X229" t="s">
        <v>784</v>
      </c>
      <c r="Y229" t="s">
        <v>785</v>
      </c>
      <c r="Z229" t="s">
        <v>786</v>
      </c>
      <c r="AA229" t="s">
        <v>60</v>
      </c>
      <c r="AB229" t="s">
        <v>37</v>
      </c>
      <c r="AC229" t="s">
        <v>38</v>
      </c>
      <c r="AD229" t="s">
        <v>179</v>
      </c>
      <c r="AE229" t="s">
        <v>180</v>
      </c>
      <c r="AF229">
        <v>48</v>
      </c>
      <c r="AG229" t="s">
        <v>40</v>
      </c>
      <c r="AH229" t="s">
        <v>50</v>
      </c>
      <c r="AI229" t="s">
        <v>46</v>
      </c>
      <c r="AJ229" t="s">
        <v>47</v>
      </c>
      <c r="AK229" t="s">
        <v>61</v>
      </c>
      <c r="AL229">
        <v>25</v>
      </c>
      <c r="AM229" t="s">
        <v>46</v>
      </c>
      <c r="AN229" t="s">
        <v>152</v>
      </c>
      <c r="AO229" t="s">
        <v>222</v>
      </c>
      <c r="AP229" t="s">
        <v>63</v>
      </c>
      <c r="AQ229" t="s">
        <v>46</v>
      </c>
      <c r="AR229" t="s">
        <v>63</v>
      </c>
      <c r="AS229" t="s">
        <v>1629</v>
      </c>
      <c r="AT229" t="s">
        <v>63</v>
      </c>
      <c r="AU229" t="s">
        <v>46</v>
      </c>
      <c r="AV229">
        <v>2016</v>
      </c>
      <c r="AW229" t="s">
        <v>46</v>
      </c>
    </row>
    <row r="230" spans="1:49" x14ac:dyDescent="0.2">
      <c r="A230">
        <v>229</v>
      </c>
      <c r="B230" t="s">
        <v>771</v>
      </c>
      <c r="C230" t="s">
        <v>55</v>
      </c>
      <c r="D230" t="s">
        <v>788</v>
      </c>
      <c r="E230" t="s">
        <v>42</v>
      </c>
      <c r="F230" t="s">
        <v>46</v>
      </c>
      <c r="G230" t="s">
        <v>46</v>
      </c>
      <c r="H230" t="s">
        <v>46</v>
      </c>
      <c r="I230">
        <v>4</v>
      </c>
      <c r="J230">
        <v>5</v>
      </c>
      <c r="K230" t="s">
        <v>756</v>
      </c>
      <c r="L230" t="s">
        <v>87</v>
      </c>
      <c r="M230">
        <v>4.17</v>
      </c>
      <c r="N230" t="s">
        <v>42</v>
      </c>
      <c r="O230">
        <f>M230-3.27</f>
        <v>0.89999999999999991</v>
      </c>
      <c r="P230">
        <f>4.65-M230</f>
        <v>0.48000000000000043</v>
      </c>
      <c r="Q230" t="s">
        <v>69</v>
      </c>
      <c r="R230">
        <v>4</v>
      </c>
      <c r="S230">
        <v>5</v>
      </c>
      <c r="T230" t="s">
        <v>756</v>
      </c>
      <c r="U230" t="s">
        <v>156</v>
      </c>
      <c r="V230" t="s">
        <v>778</v>
      </c>
      <c r="W230" t="s">
        <v>782</v>
      </c>
      <c r="X230" t="s">
        <v>784</v>
      </c>
      <c r="Y230" t="s">
        <v>785</v>
      </c>
      <c r="Z230" t="s">
        <v>786</v>
      </c>
      <c r="AA230" t="s">
        <v>60</v>
      </c>
      <c r="AB230" t="s">
        <v>37</v>
      </c>
      <c r="AC230" t="s">
        <v>38</v>
      </c>
      <c r="AD230" t="s">
        <v>179</v>
      </c>
      <c r="AE230" t="s">
        <v>180</v>
      </c>
      <c r="AF230">
        <v>72</v>
      </c>
      <c r="AG230" t="s">
        <v>40</v>
      </c>
      <c r="AH230" t="s">
        <v>50</v>
      </c>
      <c r="AI230" t="s">
        <v>46</v>
      </c>
      <c r="AJ230" t="s">
        <v>47</v>
      </c>
      <c r="AK230" t="s">
        <v>61</v>
      </c>
      <c r="AL230">
        <v>25</v>
      </c>
      <c r="AM230" t="s">
        <v>46</v>
      </c>
      <c r="AN230" t="s">
        <v>152</v>
      </c>
      <c r="AO230" t="s">
        <v>222</v>
      </c>
      <c r="AP230" t="s">
        <v>63</v>
      </c>
      <c r="AQ230" t="s">
        <v>46</v>
      </c>
      <c r="AR230" t="s">
        <v>63</v>
      </c>
      <c r="AS230" t="s">
        <v>1629</v>
      </c>
      <c r="AT230" t="s">
        <v>63</v>
      </c>
      <c r="AU230" t="s">
        <v>46</v>
      </c>
      <c r="AV230">
        <v>2016</v>
      </c>
      <c r="AW230" t="s">
        <v>46</v>
      </c>
    </row>
    <row r="231" spans="1:49" x14ac:dyDescent="0.2">
      <c r="A231">
        <v>230</v>
      </c>
      <c r="B231" t="s">
        <v>771</v>
      </c>
      <c r="C231" t="s">
        <v>55</v>
      </c>
      <c r="D231" t="s">
        <v>788</v>
      </c>
      <c r="E231" t="s">
        <v>42</v>
      </c>
      <c r="F231" t="s">
        <v>46</v>
      </c>
      <c r="G231" t="s">
        <v>46</v>
      </c>
      <c r="H231" t="s">
        <v>46</v>
      </c>
      <c r="I231">
        <v>4</v>
      </c>
      <c r="J231">
        <v>5</v>
      </c>
      <c r="K231" t="s">
        <v>756</v>
      </c>
      <c r="L231" t="s">
        <v>87</v>
      </c>
      <c r="M231">
        <v>9.61</v>
      </c>
      <c r="N231" t="s">
        <v>42</v>
      </c>
      <c r="O231">
        <f>M231-8.92</f>
        <v>0.6899999999999995</v>
      </c>
      <c r="P231">
        <f>11.45-M231</f>
        <v>1.8399999999999999</v>
      </c>
      <c r="Q231" t="s">
        <v>69</v>
      </c>
      <c r="R231">
        <v>4</v>
      </c>
      <c r="S231">
        <v>5</v>
      </c>
      <c r="T231" t="s">
        <v>756</v>
      </c>
      <c r="U231" t="s">
        <v>156</v>
      </c>
      <c r="V231" t="s">
        <v>779</v>
      </c>
      <c r="W231" t="s">
        <v>783</v>
      </c>
      <c r="X231" t="s">
        <v>784</v>
      </c>
      <c r="Y231" t="s">
        <v>785</v>
      </c>
      <c r="Z231" t="s">
        <v>786</v>
      </c>
      <c r="AA231" t="s">
        <v>60</v>
      </c>
      <c r="AB231" t="s">
        <v>37</v>
      </c>
      <c r="AC231" t="s">
        <v>38</v>
      </c>
      <c r="AD231" t="s">
        <v>179</v>
      </c>
      <c r="AE231" t="s">
        <v>180</v>
      </c>
      <c r="AF231">
        <v>72</v>
      </c>
      <c r="AG231" t="s">
        <v>40</v>
      </c>
      <c r="AH231" t="s">
        <v>50</v>
      </c>
      <c r="AI231" t="s">
        <v>46</v>
      </c>
      <c r="AJ231" t="s">
        <v>47</v>
      </c>
      <c r="AK231" t="s">
        <v>61</v>
      </c>
      <c r="AL231">
        <v>25</v>
      </c>
      <c r="AM231" t="s">
        <v>46</v>
      </c>
      <c r="AN231" t="s">
        <v>76</v>
      </c>
      <c r="AO231" t="s">
        <v>787</v>
      </c>
      <c r="AP231" t="s">
        <v>63</v>
      </c>
      <c r="AQ231" t="s">
        <v>46</v>
      </c>
      <c r="AR231" t="s">
        <v>63</v>
      </c>
      <c r="AS231" t="s">
        <v>1629</v>
      </c>
      <c r="AT231" t="s">
        <v>63</v>
      </c>
      <c r="AU231" t="s">
        <v>46</v>
      </c>
      <c r="AV231">
        <v>2016</v>
      </c>
      <c r="AW231" t="s">
        <v>46</v>
      </c>
    </row>
    <row r="232" spans="1:49" x14ac:dyDescent="0.2">
      <c r="A232">
        <v>231</v>
      </c>
      <c r="B232" t="s">
        <v>771</v>
      </c>
      <c r="C232" t="s">
        <v>55</v>
      </c>
      <c r="D232" t="s">
        <v>788</v>
      </c>
      <c r="E232" t="s">
        <v>42</v>
      </c>
      <c r="F232" t="s">
        <v>46</v>
      </c>
      <c r="G232" t="s">
        <v>46</v>
      </c>
      <c r="H232" t="s">
        <v>46</v>
      </c>
      <c r="I232">
        <v>4</v>
      </c>
      <c r="J232">
        <v>5</v>
      </c>
      <c r="K232" t="s">
        <v>756</v>
      </c>
      <c r="L232" t="s">
        <v>87</v>
      </c>
      <c r="M232">
        <v>8.67</v>
      </c>
      <c r="N232" t="s">
        <v>42</v>
      </c>
      <c r="O232">
        <f>M232-8.12</f>
        <v>0.55000000000000071</v>
      </c>
      <c r="P232">
        <f>9.28-M232</f>
        <v>0.60999999999999943</v>
      </c>
      <c r="Q232" t="s">
        <v>69</v>
      </c>
      <c r="R232">
        <v>4</v>
      </c>
      <c r="S232">
        <v>5</v>
      </c>
      <c r="T232" t="s">
        <v>756</v>
      </c>
      <c r="U232" t="s">
        <v>156</v>
      </c>
      <c r="V232" t="s">
        <v>780</v>
      </c>
      <c r="W232" t="s">
        <v>783</v>
      </c>
      <c r="X232" t="s">
        <v>784</v>
      </c>
      <c r="Y232" t="s">
        <v>785</v>
      </c>
      <c r="Z232" t="s">
        <v>786</v>
      </c>
      <c r="AA232" t="s">
        <v>60</v>
      </c>
      <c r="AB232" t="s">
        <v>37</v>
      </c>
      <c r="AC232" t="s">
        <v>38</v>
      </c>
      <c r="AD232" t="s">
        <v>179</v>
      </c>
      <c r="AE232" t="s">
        <v>180</v>
      </c>
      <c r="AF232">
        <v>96</v>
      </c>
      <c r="AG232" t="s">
        <v>40</v>
      </c>
      <c r="AH232" t="s">
        <v>50</v>
      </c>
      <c r="AI232" t="s">
        <v>46</v>
      </c>
      <c r="AJ232" t="s">
        <v>47</v>
      </c>
      <c r="AK232" t="s">
        <v>61</v>
      </c>
      <c r="AL232">
        <v>25</v>
      </c>
      <c r="AM232" t="s">
        <v>46</v>
      </c>
      <c r="AN232" t="s">
        <v>76</v>
      </c>
      <c r="AO232" t="s">
        <v>787</v>
      </c>
      <c r="AP232" t="s">
        <v>63</v>
      </c>
      <c r="AQ232" t="s">
        <v>46</v>
      </c>
      <c r="AR232" t="s">
        <v>63</v>
      </c>
      <c r="AS232" t="s">
        <v>1629</v>
      </c>
      <c r="AT232" t="s">
        <v>63</v>
      </c>
      <c r="AU232" t="s">
        <v>46</v>
      </c>
      <c r="AV232">
        <v>2016</v>
      </c>
      <c r="AW232" t="s">
        <v>46</v>
      </c>
    </row>
    <row r="233" spans="1:49" x14ac:dyDescent="0.2">
      <c r="A233">
        <v>232</v>
      </c>
      <c r="B233" t="s">
        <v>789</v>
      </c>
      <c r="C233" t="s">
        <v>66</v>
      </c>
      <c r="D233">
        <v>10.4</v>
      </c>
      <c r="E233" t="s">
        <v>413</v>
      </c>
      <c r="F233">
        <f>D233-8.5</f>
        <v>1.9000000000000004</v>
      </c>
      <c r="G233">
        <f>12.2-D233</f>
        <v>1.7999999999999989</v>
      </c>
      <c r="H233" t="s">
        <v>69</v>
      </c>
      <c r="I233">
        <v>3</v>
      </c>
      <c r="J233">
        <v>1</v>
      </c>
      <c r="K233" t="s">
        <v>791</v>
      </c>
      <c r="L233" t="s">
        <v>71</v>
      </c>
      <c r="M233">
        <v>9.3000000000000007</v>
      </c>
      <c r="N233" t="s">
        <v>413</v>
      </c>
      <c r="O233">
        <f>M233-8.1</f>
        <v>1.2000000000000011</v>
      </c>
      <c r="P233">
        <f>10.5-M233</f>
        <v>1.1999999999999993</v>
      </c>
      <c r="Q233" t="s">
        <v>69</v>
      </c>
      <c r="R233">
        <v>3</v>
      </c>
      <c r="S233">
        <v>1</v>
      </c>
      <c r="T233" t="s">
        <v>791</v>
      </c>
      <c r="U233" t="s">
        <v>158</v>
      </c>
      <c r="V233" t="s">
        <v>792</v>
      </c>
      <c r="W233" s="3" t="s">
        <v>793</v>
      </c>
      <c r="X233" t="s">
        <v>571</v>
      </c>
      <c r="Y233" t="s">
        <v>46</v>
      </c>
      <c r="Z233" t="s">
        <v>790</v>
      </c>
      <c r="AA233" t="s">
        <v>426</v>
      </c>
      <c r="AB233" t="s">
        <v>427</v>
      </c>
      <c r="AC233" t="s">
        <v>428</v>
      </c>
      <c r="AD233" t="s">
        <v>39</v>
      </c>
      <c r="AE233" t="s">
        <v>46</v>
      </c>
      <c r="AF233">
        <v>96</v>
      </c>
      <c r="AG233" t="s">
        <v>40</v>
      </c>
      <c r="AH233" t="s">
        <v>50</v>
      </c>
      <c r="AI233" t="s">
        <v>46</v>
      </c>
      <c r="AJ233" t="s">
        <v>47</v>
      </c>
      <c r="AK233" t="s">
        <v>61</v>
      </c>
      <c r="AL233">
        <v>25</v>
      </c>
      <c r="AM233">
        <v>7.8</v>
      </c>
      <c r="AN233" t="s">
        <v>46</v>
      </c>
      <c r="AO233" t="s">
        <v>46</v>
      </c>
      <c r="AP233" t="s">
        <v>63</v>
      </c>
      <c r="AQ233" t="s">
        <v>46</v>
      </c>
      <c r="AR233" t="s">
        <v>50</v>
      </c>
      <c r="AS233" t="s">
        <v>1649</v>
      </c>
      <c r="AT233" t="s">
        <v>63</v>
      </c>
      <c r="AU233" t="s">
        <v>46</v>
      </c>
      <c r="AV233">
        <v>2017</v>
      </c>
      <c r="AW233" t="s">
        <v>46</v>
      </c>
    </row>
    <row r="234" spans="1:49" x14ac:dyDescent="0.2">
      <c r="A234">
        <v>233</v>
      </c>
      <c r="B234" t="s">
        <v>789</v>
      </c>
      <c r="C234" t="s">
        <v>67</v>
      </c>
      <c r="D234">
        <v>7426.5</v>
      </c>
      <c r="E234" t="s">
        <v>413</v>
      </c>
      <c r="F234">
        <f>D234-5618.9</f>
        <v>1807.6000000000004</v>
      </c>
      <c r="G234">
        <f>9234.2-D234</f>
        <v>1807.7000000000007</v>
      </c>
      <c r="H234" t="s">
        <v>69</v>
      </c>
      <c r="I234">
        <v>3</v>
      </c>
      <c r="J234">
        <v>1</v>
      </c>
      <c r="K234" t="s">
        <v>791</v>
      </c>
      <c r="L234" t="s">
        <v>78</v>
      </c>
      <c r="M234">
        <v>6974.7</v>
      </c>
      <c r="N234" t="s">
        <v>413</v>
      </c>
      <c r="O234">
        <f>M234-5810.4</f>
        <v>1164.3000000000002</v>
      </c>
      <c r="P234">
        <f>8139.1-M234</f>
        <v>1164.4000000000005</v>
      </c>
      <c r="Q234" t="s">
        <v>69</v>
      </c>
      <c r="R234">
        <v>3</v>
      </c>
      <c r="S234">
        <v>1</v>
      </c>
      <c r="T234" t="s">
        <v>791</v>
      </c>
      <c r="U234" t="s">
        <v>158</v>
      </c>
      <c r="V234" t="s">
        <v>795</v>
      </c>
      <c r="W234" t="s">
        <v>794</v>
      </c>
      <c r="X234" t="s">
        <v>571</v>
      </c>
      <c r="Y234" t="s">
        <v>46</v>
      </c>
      <c r="Z234" t="s">
        <v>790</v>
      </c>
      <c r="AA234" t="s">
        <v>426</v>
      </c>
      <c r="AB234" t="s">
        <v>427</v>
      </c>
      <c r="AC234" t="s">
        <v>428</v>
      </c>
      <c r="AD234" t="s">
        <v>39</v>
      </c>
      <c r="AE234" t="s">
        <v>46</v>
      </c>
      <c r="AF234">
        <v>96</v>
      </c>
      <c r="AG234" t="s">
        <v>40</v>
      </c>
      <c r="AH234" t="s">
        <v>50</v>
      </c>
      <c r="AI234" t="s">
        <v>46</v>
      </c>
      <c r="AJ234" t="s">
        <v>47</v>
      </c>
      <c r="AK234" t="s">
        <v>61</v>
      </c>
      <c r="AL234">
        <v>25</v>
      </c>
      <c r="AM234">
        <v>7.8</v>
      </c>
      <c r="AN234" t="s">
        <v>46</v>
      </c>
      <c r="AO234" t="s">
        <v>46</v>
      </c>
      <c r="AP234" t="s">
        <v>63</v>
      </c>
      <c r="AQ234" t="s">
        <v>46</v>
      </c>
      <c r="AR234" t="s">
        <v>50</v>
      </c>
      <c r="AS234" t="s">
        <v>1649</v>
      </c>
      <c r="AT234" t="s">
        <v>63</v>
      </c>
      <c r="AU234" t="s">
        <v>46</v>
      </c>
      <c r="AV234">
        <v>2017</v>
      </c>
      <c r="AW234" t="s">
        <v>46</v>
      </c>
    </row>
    <row r="235" spans="1:49" x14ac:dyDescent="0.2">
      <c r="A235">
        <v>234</v>
      </c>
      <c r="B235" t="s">
        <v>796</v>
      </c>
      <c r="C235" t="s">
        <v>66</v>
      </c>
      <c r="D235">
        <v>94.6</v>
      </c>
      <c r="E235" t="s">
        <v>42</v>
      </c>
      <c r="F235">
        <f>D235-84.9</f>
        <v>9.6999999999999886</v>
      </c>
      <c r="G235">
        <f>104.4-D235</f>
        <v>9.8000000000000114</v>
      </c>
      <c r="H235" t="s">
        <v>69</v>
      </c>
      <c r="I235">
        <v>4</v>
      </c>
      <c r="J235">
        <v>10</v>
      </c>
      <c r="K235" t="s">
        <v>797</v>
      </c>
      <c r="L235" t="s">
        <v>71</v>
      </c>
      <c r="M235">
        <v>154.6</v>
      </c>
      <c r="N235" t="s">
        <v>42</v>
      </c>
      <c r="O235">
        <f>M235-138</f>
        <v>16.599999999999994</v>
      </c>
      <c r="P235">
        <f>171.2-M235</f>
        <v>16.599999999999994</v>
      </c>
      <c r="Q235" t="s">
        <v>69</v>
      </c>
      <c r="R235">
        <v>4</v>
      </c>
      <c r="S235">
        <v>10</v>
      </c>
      <c r="T235" t="s">
        <v>797</v>
      </c>
      <c r="U235" t="s">
        <v>158</v>
      </c>
      <c r="V235" t="s">
        <v>798</v>
      </c>
      <c r="W235" s="3" t="s">
        <v>799</v>
      </c>
      <c r="X235" t="s">
        <v>800</v>
      </c>
      <c r="Y235" t="s">
        <v>46</v>
      </c>
      <c r="Z235" t="s">
        <v>801</v>
      </c>
      <c r="AA235" t="s">
        <v>440</v>
      </c>
      <c r="AB235" t="s">
        <v>439</v>
      </c>
      <c r="AC235" t="s">
        <v>802</v>
      </c>
      <c r="AD235" t="s">
        <v>39</v>
      </c>
      <c r="AE235" t="s">
        <v>46</v>
      </c>
      <c r="AF235">
        <v>2</v>
      </c>
      <c r="AG235" t="s">
        <v>40</v>
      </c>
      <c r="AH235" t="s">
        <v>50</v>
      </c>
      <c r="AI235" t="s">
        <v>46</v>
      </c>
      <c r="AJ235" t="s">
        <v>47</v>
      </c>
      <c r="AK235" t="s">
        <v>61</v>
      </c>
      <c r="AL235">
        <v>25</v>
      </c>
      <c r="AM235" t="s">
        <v>46</v>
      </c>
      <c r="AN235" t="s">
        <v>46</v>
      </c>
      <c r="AO235" t="s">
        <v>46</v>
      </c>
      <c r="AP235" t="s">
        <v>63</v>
      </c>
      <c r="AQ235" t="s">
        <v>46</v>
      </c>
      <c r="AR235" t="s">
        <v>50</v>
      </c>
      <c r="AS235" t="s">
        <v>1649</v>
      </c>
      <c r="AT235" t="s">
        <v>63</v>
      </c>
      <c r="AU235" t="s">
        <v>46</v>
      </c>
      <c r="AV235">
        <v>2016</v>
      </c>
      <c r="AW235" t="s">
        <v>803</v>
      </c>
    </row>
    <row r="236" spans="1:49" x14ac:dyDescent="0.2">
      <c r="A236">
        <v>235</v>
      </c>
      <c r="B236" t="s">
        <v>796</v>
      </c>
      <c r="C236" t="s">
        <v>66</v>
      </c>
      <c r="D236">
        <v>81</v>
      </c>
      <c r="E236" t="s">
        <v>42</v>
      </c>
      <c r="F236">
        <f>D236-70.8</f>
        <v>10.200000000000003</v>
      </c>
      <c r="G236">
        <f>91.2-D236</f>
        <v>10.200000000000003</v>
      </c>
      <c r="H236" t="s">
        <v>69</v>
      </c>
      <c r="I236">
        <v>4</v>
      </c>
      <c r="J236">
        <v>10</v>
      </c>
      <c r="K236" t="s">
        <v>797</v>
      </c>
      <c r="L236" t="s">
        <v>71</v>
      </c>
      <c r="M236">
        <v>112.7</v>
      </c>
      <c r="N236" t="s">
        <v>42</v>
      </c>
      <c r="O236">
        <f>M236-101.5</f>
        <v>11.200000000000003</v>
      </c>
      <c r="P236">
        <f>123.8-M236</f>
        <v>11.099999999999994</v>
      </c>
      <c r="Q236" t="s">
        <v>69</v>
      </c>
      <c r="R236">
        <v>4</v>
      </c>
      <c r="S236">
        <v>10</v>
      </c>
      <c r="T236" t="s">
        <v>797</v>
      </c>
      <c r="U236" t="s">
        <v>158</v>
      </c>
      <c r="V236" t="s">
        <v>804</v>
      </c>
      <c r="W236" t="s">
        <v>799</v>
      </c>
      <c r="X236" t="s">
        <v>800</v>
      </c>
      <c r="Y236" t="s">
        <v>46</v>
      </c>
      <c r="Z236" t="s">
        <v>801</v>
      </c>
      <c r="AA236" t="s">
        <v>440</v>
      </c>
      <c r="AB236" t="s">
        <v>439</v>
      </c>
      <c r="AC236" t="s">
        <v>802</v>
      </c>
      <c r="AD236" t="s">
        <v>39</v>
      </c>
      <c r="AE236" t="s">
        <v>46</v>
      </c>
      <c r="AF236">
        <v>3</v>
      </c>
      <c r="AG236" t="s">
        <v>40</v>
      </c>
      <c r="AH236" t="s">
        <v>50</v>
      </c>
      <c r="AI236" t="s">
        <v>46</v>
      </c>
      <c r="AJ236" t="s">
        <v>47</v>
      </c>
      <c r="AK236" t="s">
        <v>61</v>
      </c>
      <c r="AL236">
        <v>25</v>
      </c>
      <c r="AM236" t="s">
        <v>46</v>
      </c>
      <c r="AN236" t="s">
        <v>46</v>
      </c>
      <c r="AO236" t="s">
        <v>46</v>
      </c>
      <c r="AP236" t="s">
        <v>63</v>
      </c>
      <c r="AQ236" t="s">
        <v>46</v>
      </c>
      <c r="AR236" t="s">
        <v>50</v>
      </c>
      <c r="AS236" t="s">
        <v>1649</v>
      </c>
      <c r="AT236" t="s">
        <v>63</v>
      </c>
      <c r="AU236" t="s">
        <v>46</v>
      </c>
      <c r="AV236">
        <v>2016</v>
      </c>
      <c r="AW236" t="s">
        <v>803</v>
      </c>
    </row>
    <row r="237" spans="1:49" x14ac:dyDescent="0.2">
      <c r="A237">
        <v>236</v>
      </c>
      <c r="B237" t="s">
        <v>796</v>
      </c>
      <c r="C237" t="s">
        <v>66</v>
      </c>
      <c r="D237">
        <v>73.599999999999994</v>
      </c>
      <c r="E237" t="s">
        <v>42</v>
      </c>
      <c r="F237">
        <f>D237-66.4</f>
        <v>7.1999999999999886</v>
      </c>
      <c r="G237">
        <f>80.8-D237</f>
        <v>7.2000000000000028</v>
      </c>
      <c r="H237" t="s">
        <v>69</v>
      </c>
      <c r="I237">
        <v>4</v>
      </c>
      <c r="J237">
        <v>10</v>
      </c>
      <c r="K237" t="s">
        <v>797</v>
      </c>
      <c r="L237" t="s">
        <v>71</v>
      </c>
      <c r="M237">
        <v>78.3</v>
      </c>
      <c r="N237" t="s">
        <v>42</v>
      </c>
      <c r="O237">
        <f>M237-71.6</f>
        <v>6.7000000000000028</v>
      </c>
      <c r="P237">
        <f>84.9-M237</f>
        <v>6.6000000000000085</v>
      </c>
      <c r="Q237" t="s">
        <v>69</v>
      </c>
      <c r="R237">
        <v>4</v>
      </c>
      <c r="S237">
        <v>10</v>
      </c>
      <c r="T237" t="s">
        <v>797</v>
      </c>
      <c r="U237" t="s">
        <v>158</v>
      </c>
      <c r="V237" t="s">
        <v>805</v>
      </c>
      <c r="W237" t="s">
        <v>799</v>
      </c>
      <c r="X237" t="s">
        <v>800</v>
      </c>
      <c r="Y237" t="s">
        <v>46</v>
      </c>
      <c r="Z237" t="s">
        <v>801</v>
      </c>
      <c r="AA237" t="s">
        <v>440</v>
      </c>
      <c r="AB237" t="s">
        <v>439</v>
      </c>
      <c r="AC237" t="s">
        <v>802</v>
      </c>
      <c r="AD237" t="s">
        <v>39</v>
      </c>
      <c r="AE237" t="s">
        <v>46</v>
      </c>
      <c r="AF237">
        <v>4</v>
      </c>
      <c r="AG237" t="s">
        <v>40</v>
      </c>
      <c r="AH237" t="s">
        <v>50</v>
      </c>
      <c r="AI237" t="s">
        <v>46</v>
      </c>
      <c r="AJ237" t="s">
        <v>47</v>
      </c>
      <c r="AK237" t="s">
        <v>61</v>
      </c>
      <c r="AL237">
        <v>25</v>
      </c>
      <c r="AM237" t="s">
        <v>46</v>
      </c>
      <c r="AN237" t="s">
        <v>46</v>
      </c>
      <c r="AO237" t="s">
        <v>46</v>
      </c>
      <c r="AP237" t="s">
        <v>63</v>
      </c>
      <c r="AQ237" t="s">
        <v>46</v>
      </c>
      <c r="AR237" t="s">
        <v>50</v>
      </c>
      <c r="AS237" t="s">
        <v>1649</v>
      </c>
      <c r="AT237" t="s">
        <v>63</v>
      </c>
      <c r="AU237" t="s">
        <v>46</v>
      </c>
      <c r="AV237">
        <v>2016</v>
      </c>
      <c r="AW237" t="s">
        <v>803</v>
      </c>
    </row>
    <row r="238" spans="1:49" x14ac:dyDescent="0.2">
      <c r="A238">
        <v>237</v>
      </c>
      <c r="B238" t="s">
        <v>796</v>
      </c>
      <c r="C238" t="s">
        <v>66</v>
      </c>
      <c r="D238">
        <v>64.599999999999994</v>
      </c>
      <c r="E238" t="s">
        <v>42</v>
      </c>
      <c r="F238">
        <f>D238-57.7</f>
        <v>6.8999999999999915</v>
      </c>
      <c r="G238">
        <f>71.6-D238</f>
        <v>7</v>
      </c>
      <c r="H238" t="s">
        <v>69</v>
      </c>
      <c r="I238">
        <v>4</v>
      </c>
      <c r="J238">
        <v>10</v>
      </c>
      <c r="K238" t="s">
        <v>797</v>
      </c>
      <c r="L238" t="s">
        <v>71</v>
      </c>
      <c r="M238">
        <v>62.4</v>
      </c>
      <c r="N238" t="s">
        <v>42</v>
      </c>
      <c r="O238">
        <f>M238-57.1</f>
        <v>5.2999999999999972</v>
      </c>
      <c r="P238">
        <f>67.7-M238</f>
        <v>5.3000000000000043</v>
      </c>
      <c r="Q238" t="s">
        <v>69</v>
      </c>
      <c r="R238">
        <v>4</v>
      </c>
      <c r="S238">
        <v>10</v>
      </c>
      <c r="T238" t="s">
        <v>797</v>
      </c>
      <c r="U238" t="s">
        <v>158</v>
      </c>
      <c r="V238" t="s">
        <v>806</v>
      </c>
      <c r="W238" t="s">
        <v>799</v>
      </c>
      <c r="X238" t="s">
        <v>800</v>
      </c>
      <c r="Y238" t="s">
        <v>46</v>
      </c>
      <c r="Z238" t="s">
        <v>801</v>
      </c>
      <c r="AA238" t="s">
        <v>440</v>
      </c>
      <c r="AB238" t="s">
        <v>439</v>
      </c>
      <c r="AC238" t="s">
        <v>802</v>
      </c>
      <c r="AD238" t="s">
        <v>39</v>
      </c>
      <c r="AE238" t="s">
        <v>46</v>
      </c>
      <c r="AF238">
        <v>6</v>
      </c>
      <c r="AG238" t="s">
        <v>40</v>
      </c>
      <c r="AH238" t="s">
        <v>50</v>
      </c>
      <c r="AI238" t="s">
        <v>46</v>
      </c>
      <c r="AJ238" t="s">
        <v>47</v>
      </c>
      <c r="AK238" t="s">
        <v>61</v>
      </c>
      <c r="AL238">
        <v>25</v>
      </c>
      <c r="AM238" t="s">
        <v>46</v>
      </c>
      <c r="AN238" t="s">
        <v>46</v>
      </c>
      <c r="AO238" t="s">
        <v>46</v>
      </c>
      <c r="AP238" t="s">
        <v>63</v>
      </c>
      <c r="AQ238" t="s">
        <v>46</v>
      </c>
      <c r="AR238" t="s">
        <v>50</v>
      </c>
      <c r="AS238" t="s">
        <v>1649</v>
      </c>
      <c r="AT238" t="s">
        <v>63</v>
      </c>
      <c r="AU238" t="s">
        <v>46</v>
      </c>
      <c r="AV238">
        <v>2016</v>
      </c>
      <c r="AW238" t="s">
        <v>803</v>
      </c>
    </row>
    <row r="239" spans="1:49" x14ac:dyDescent="0.2">
      <c r="A239">
        <v>238</v>
      </c>
      <c r="B239" t="s">
        <v>796</v>
      </c>
      <c r="C239" t="s">
        <v>66</v>
      </c>
      <c r="D239">
        <v>7.1</v>
      </c>
      <c r="E239" t="s">
        <v>42</v>
      </c>
      <c r="F239">
        <f>D239-5.9</f>
        <v>1.1999999999999993</v>
      </c>
      <c r="G239">
        <f>8.29-D239</f>
        <v>1.1899999999999995</v>
      </c>
      <c r="H239" t="s">
        <v>69</v>
      </c>
      <c r="I239">
        <v>4</v>
      </c>
      <c r="J239">
        <v>50</v>
      </c>
      <c r="K239" t="s">
        <v>807</v>
      </c>
      <c r="L239" t="s">
        <v>71</v>
      </c>
      <c r="M239">
        <v>6.78</v>
      </c>
      <c r="N239" t="s">
        <v>42</v>
      </c>
      <c r="O239">
        <f>M239-4.88</f>
        <v>1.9000000000000004</v>
      </c>
      <c r="P239">
        <f>8.67-M239</f>
        <v>1.8899999999999997</v>
      </c>
      <c r="Q239" t="s">
        <v>69</v>
      </c>
      <c r="R239">
        <v>4</v>
      </c>
      <c r="S239">
        <v>50</v>
      </c>
      <c r="T239" t="s">
        <v>807</v>
      </c>
      <c r="U239" t="s">
        <v>158</v>
      </c>
      <c r="V239" t="s">
        <v>808</v>
      </c>
      <c r="W239" t="s">
        <v>809</v>
      </c>
      <c r="X239" t="s">
        <v>800</v>
      </c>
      <c r="Y239" t="s">
        <v>46</v>
      </c>
      <c r="Z239" t="s">
        <v>801</v>
      </c>
      <c r="AA239" t="s">
        <v>440</v>
      </c>
      <c r="AB239" t="s">
        <v>439</v>
      </c>
      <c r="AC239" t="s">
        <v>802</v>
      </c>
      <c r="AD239" t="s">
        <v>39</v>
      </c>
      <c r="AE239" t="s">
        <v>46</v>
      </c>
      <c r="AF239">
        <v>24</v>
      </c>
      <c r="AG239" t="s">
        <v>40</v>
      </c>
      <c r="AH239" t="s">
        <v>50</v>
      </c>
      <c r="AI239" t="s">
        <v>46</v>
      </c>
      <c r="AJ239" t="s">
        <v>47</v>
      </c>
      <c r="AK239" t="s">
        <v>48</v>
      </c>
      <c r="AL239">
        <v>25</v>
      </c>
      <c r="AM239" t="s">
        <v>46</v>
      </c>
      <c r="AN239" t="s">
        <v>46</v>
      </c>
      <c r="AO239" t="s">
        <v>46</v>
      </c>
      <c r="AP239" t="s">
        <v>63</v>
      </c>
      <c r="AQ239" t="s">
        <v>46</v>
      </c>
      <c r="AR239" t="s">
        <v>50</v>
      </c>
      <c r="AS239" t="s">
        <v>1649</v>
      </c>
      <c r="AT239" t="s">
        <v>63</v>
      </c>
      <c r="AU239" t="s">
        <v>46</v>
      </c>
      <c r="AV239">
        <v>2016</v>
      </c>
      <c r="AW239" t="s">
        <v>803</v>
      </c>
    </row>
    <row r="240" spans="1:49" x14ac:dyDescent="0.2">
      <c r="A240">
        <v>239</v>
      </c>
      <c r="B240" t="s">
        <v>796</v>
      </c>
      <c r="C240" t="s">
        <v>67</v>
      </c>
      <c r="D240">
        <v>239.3</v>
      </c>
      <c r="E240" t="s">
        <v>42</v>
      </c>
      <c r="F240">
        <f>D240-233.7</f>
        <v>5.6000000000000227</v>
      </c>
      <c r="G240">
        <f>244.9-D240</f>
        <v>5.5999999999999943</v>
      </c>
      <c r="H240" t="s">
        <v>69</v>
      </c>
      <c r="I240">
        <v>4</v>
      </c>
      <c r="J240">
        <v>10</v>
      </c>
      <c r="K240" t="s">
        <v>797</v>
      </c>
      <c r="L240" t="s">
        <v>78</v>
      </c>
      <c r="M240">
        <v>170</v>
      </c>
      <c r="N240" t="s">
        <v>42</v>
      </c>
      <c r="O240">
        <f>M240-167.7</f>
        <v>2.3000000000000114</v>
      </c>
      <c r="P240">
        <f>172.4-M240</f>
        <v>2.4000000000000057</v>
      </c>
      <c r="Q240" t="s">
        <v>69</v>
      </c>
      <c r="R240">
        <v>4</v>
      </c>
      <c r="S240">
        <v>10</v>
      </c>
      <c r="T240" t="s">
        <v>797</v>
      </c>
      <c r="U240" t="s">
        <v>158</v>
      </c>
      <c r="V240" t="s">
        <v>810</v>
      </c>
      <c r="W240" t="s">
        <v>811</v>
      </c>
      <c r="X240" t="s">
        <v>800</v>
      </c>
      <c r="Y240" t="s">
        <v>46</v>
      </c>
      <c r="Z240" t="s">
        <v>801</v>
      </c>
      <c r="AA240" t="s">
        <v>440</v>
      </c>
      <c r="AB240" t="s">
        <v>439</v>
      </c>
      <c r="AC240" t="s">
        <v>802</v>
      </c>
      <c r="AD240" t="s">
        <v>39</v>
      </c>
      <c r="AE240" t="s">
        <v>46</v>
      </c>
      <c r="AF240">
        <v>2</v>
      </c>
      <c r="AG240" t="s">
        <v>40</v>
      </c>
      <c r="AH240" t="s">
        <v>50</v>
      </c>
      <c r="AI240" t="s">
        <v>46</v>
      </c>
      <c r="AJ240" t="s">
        <v>47</v>
      </c>
      <c r="AK240" t="s">
        <v>61</v>
      </c>
      <c r="AL240">
        <v>25</v>
      </c>
      <c r="AM240" t="s">
        <v>46</v>
      </c>
      <c r="AN240" t="s">
        <v>46</v>
      </c>
      <c r="AO240" t="s">
        <v>46</v>
      </c>
      <c r="AP240" t="s">
        <v>63</v>
      </c>
      <c r="AQ240" t="s">
        <v>46</v>
      </c>
      <c r="AR240" t="s">
        <v>50</v>
      </c>
      <c r="AS240" t="s">
        <v>1649</v>
      </c>
      <c r="AT240" t="s">
        <v>63</v>
      </c>
      <c r="AU240" t="s">
        <v>46</v>
      </c>
      <c r="AV240">
        <v>2016</v>
      </c>
      <c r="AW240" t="s">
        <v>803</v>
      </c>
    </row>
    <row r="241" spans="1:49" x14ac:dyDescent="0.2">
      <c r="A241">
        <v>240</v>
      </c>
      <c r="B241" t="s">
        <v>796</v>
      </c>
      <c r="C241" t="s">
        <v>67</v>
      </c>
      <c r="D241">
        <v>200.6</v>
      </c>
      <c r="E241" t="s">
        <v>42</v>
      </c>
      <c r="F241">
        <f>D241-191.4</f>
        <v>9.1999999999999886</v>
      </c>
      <c r="G241">
        <f>209.7-D241</f>
        <v>9.0999999999999943</v>
      </c>
      <c r="H241" t="s">
        <v>69</v>
      </c>
      <c r="I241">
        <v>4</v>
      </c>
      <c r="J241">
        <v>10</v>
      </c>
      <c r="K241" t="s">
        <v>797</v>
      </c>
      <c r="L241" t="s">
        <v>78</v>
      </c>
      <c r="M241">
        <v>119.7</v>
      </c>
      <c r="N241" t="s">
        <v>42</v>
      </c>
      <c r="O241">
        <f>M241-116.4</f>
        <v>3.2999999999999972</v>
      </c>
      <c r="P241">
        <f>123-M241</f>
        <v>3.2999999999999972</v>
      </c>
      <c r="Q241" t="s">
        <v>69</v>
      </c>
      <c r="R241">
        <v>4</v>
      </c>
      <c r="S241">
        <v>10</v>
      </c>
      <c r="T241" t="s">
        <v>797</v>
      </c>
      <c r="U241" t="s">
        <v>158</v>
      </c>
      <c r="V241" t="s">
        <v>812</v>
      </c>
      <c r="W241" t="s">
        <v>811</v>
      </c>
      <c r="X241" t="s">
        <v>800</v>
      </c>
      <c r="Y241" t="s">
        <v>46</v>
      </c>
      <c r="Z241" t="s">
        <v>801</v>
      </c>
      <c r="AA241" t="s">
        <v>440</v>
      </c>
      <c r="AB241" t="s">
        <v>439</v>
      </c>
      <c r="AC241" t="s">
        <v>802</v>
      </c>
      <c r="AD241" t="s">
        <v>39</v>
      </c>
      <c r="AE241" t="s">
        <v>46</v>
      </c>
      <c r="AF241">
        <v>3</v>
      </c>
      <c r="AG241" t="s">
        <v>40</v>
      </c>
      <c r="AH241" t="s">
        <v>50</v>
      </c>
      <c r="AI241" t="s">
        <v>46</v>
      </c>
      <c r="AJ241" t="s">
        <v>47</v>
      </c>
      <c r="AK241" t="s">
        <v>61</v>
      </c>
      <c r="AL241">
        <v>25</v>
      </c>
      <c r="AM241" t="s">
        <v>46</v>
      </c>
      <c r="AN241" t="s">
        <v>46</v>
      </c>
      <c r="AO241" t="s">
        <v>46</v>
      </c>
      <c r="AP241" t="s">
        <v>63</v>
      </c>
      <c r="AQ241" t="s">
        <v>46</v>
      </c>
      <c r="AR241" t="s">
        <v>50</v>
      </c>
      <c r="AS241" t="s">
        <v>1649</v>
      </c>
      <c r="AT241" t="s">
        <v>63</v>
      </c>
      <c r="AU241" t="s">
        <v>46</v>
      </c>
      <c r="AV241">
        <v>2016</v>
      </c>
      <c r="AW241" t="s">
        <v>803</v>
      </c>
    </row>
    <row r="242" spans="1:49" x14ac:dyDescent="0.2">
      <c r="A242">
        <v>241</v>
      </c>
      <c r="B242" t="s">
        <v>796</v>
      </c>
      <c r="C242" t="s">
        <v>67</v>
      </c>
      <c r="D242">
        <v>174</v>
      </c>
      <c r="E242" t="s">
        <v>42</v>
      </c>
      <c r="F242">
        <f>D242-163.3</f>
        <v>10.699999999999989</v>
      </c>
      <c r="G242">
        <f>184.8-D242</f>
        <v>10.800000000000011</v>
      </c>
      <c r="H242" t="s">
        <v>69</v>
      </c>
      <c r="I242">
        <v>4</v>
      </c>
      <c r="J242">
        <v>10</v>
      </c>
      <c r="K242" t="s">
        <v>797</v>
      </c>
      <c r="L242" t="s">
        <v>78</v>
      </c>
      <c r="M242">
        <v>98.5</v>
      </c>
      <c r="N242" t="s">
        <v>42</v>
      </c>
      <c r="O242">
        <f>M242-95</f>
        <v>3.5</v>
      </c>
      <c r="P242">
        <f>102-M242</f>
        <v>3.5</v>
      </c>
      <c r="Q242" t="s">
        <v>69</v>
      </c>
      <c r="R242">
        <v>4</v>
      </c>
      <c r="S242">
        <v>10</v>
      </c>
      <c r="T242" t="s">
        <v>797</v>
      </c>
      <c r="U242" t="s">
        <v>158</v>
      </c>
      <c r="V242" t="s">
        <v>813</v>
      </c>
      <c r="W242" t="s">
        <v>811</v>
      </c>
      <c r="X242" t="s">
        <v>800</v>
      </c>
      <c r="Y242" t="s">
        <v>46</v>
      </c>
      <c r="Z242" t="s">
        <v>801</v>
      </c>
      <c r="AA242" t="s">
        <v>440</v>
      </c>
      <c r="AB242" t="s">
        <v>439</v>
      </c>
      <c r="AC242" t="s">
        <v>802</v>
      </c>
      <c r="AD242" t="s">
        <v>39</v>
      </c>
      <c r="AE242" t="s">
        <v>46</v>
      </c>
      <c r="AF242">
        <v>4</v>
      </c>
      <c r="AG242" t="s">
        <v>40</v>
      </c>
      <c r="AH242" t="s">
        <v>50</v>
      </c>
      <c r="AI242" t="s">
        <v>46</v>
      </c>
      <c r="AJ242" t="s">
        <v>47</v>
      </c>
      <c r="AK242" t="s">
        <v>61</v>
      </c>
      <c r="AL242">
        <v>25</v>
      </c>
      <c r="AM242" t="s">
        <v>46</v>
      </c>
      <c r="AN242" t="s">
        <v>46</v>
      </c>
      <c r="AO242" t="s">
        <v>46</v>
      </c>
      <c r="AP242" t="s">
        <v>63</v>
      </c>
      <c r="AQ242" t="s">
        <v>46</v>
      </c>
      <c r="AR242" t="s">
        <v>50</v>
      </c>
      <c r="AS242" t="s">
        <v>1649</v>
      </c>
      <c r="AT242" t="s">
        <v>63</v>
      </c>
      <c r="AU242" t="s">
        <v>46</v>
      </c>
      <c r="AV242">
        <v>2016</v>
      </c>
      <c r="AW242" t="s">
        <v>803</v>
      </c>
    </row>
    <row r="243" spans="1:49" x14ac:dyDescent="0.2">
      <c r="A243">
        <v>242</v>
      </c>
      <c r="B243" t="s">
        <v>796</v>
      </c>
      <c r="C243" t="s">
        <v>67</v>
      </c>
      <c r="D243">
        <v>142</v>
      </c>
      <c r="E243" t="s">
        <v>42</v>
      </c>
      <c r="F243">
        <f>D243-136.9</f>
        <v>5.0999999999999943</v>
      </c>
      <c r="G243">
        <f>147-D243</f>
        <v>5</v>
      </c>
      <c r="H243" t="s">
        <v>69</v>
      </c>
      <c r="I243">
        <v>4</v>
      </c>
      <c r="J243">
        <v>10</v>
      </c>
      <c r="K243" t="s">
        <v>797</v>
      </c>
      <c r="L243" t="s">
        <v>78</v>
      </c>
      <c r="M243">
        <v>70.400000000000006</v>
      </c>
      <c r="N243" t="s">
        <v>42</v>
      </c>
      <c r="O243">
        <f>M243-65.9</f>
        <v>4.5</v>
      </c>
      <c r="P243">
        <f>75-M243</f>
        <v>4.5999999999999943</v>
      </c>
      <c r="Q243" t="s">
        <v>69</v>
      </c>
      <c r="R243">
        <v>4</v>
      </c>
      <c r="S243">
        <v>10</v>
      </c>
      <c r="T243" t="s">
        <v>797</v>
      </c>
      <c r="U243" t="s">
        <v>158</v>
      </c>
      <c r="V243" t="s">
        <v>814</v>
      </c>
      <c r="W243" t="s">
        <v>811</v>
      </c>
      <c r="X243" t="s">
        <v>800</v>
      </c>
      <c r="Y243" t="s">
        <v>46</v>
      </c>
      <c r="Z243" t="s">
        <v>801</v>
      </c>
      <c r="AA243" t="s">
        <v>440</v>
      </c>
      <c r="AB243" t="s">
        <v>439</v>
      </c>
      <c r="AC243" t="s">
        <v>802</v>
      </c>
      <c r="AD243" t="s">
        <v>39</v>
      </c>
      <c r="AE243" t="s">
        <v>46</v>
      </c>
      <c r="AF243">
        <v>6</v>
      </c>
      <c r="AG243" t="s">
        <v>40</v>
      </c>
      <c r="AH243" t="s">
        <v>50</v>
      </c>
      <c r="AI243" t="s">
        <v>46</v>
      </c>
      <c r="AJ243" t="s">
        <v>47</v>
      </c>
      <c r="AK243" t="s">
        <v>61</v>
      </c>
      <c r="AL243">
        <v>25</v>
      </c>
      <c r="AM243" t="s">
        <v>46</v>
      </c>
      <c r="AN243" t="s">
        <v>46</v>
      </c>
      <c r="AO243" t="s">
        <v>46</v>
      </c>
      <c r="AP243" t="s">
        <v>63</v>
      </c>
      <c r="AQ243" t="s">
        <v>46</v>
      </c>
      <c r="AR243" t="s">
        <v>50</v>
      </c>
      <c r="AS243" t="s">
        <v>1649</v>
      </c>
      <c r="AT243" t="s">
        <v>63</v>
      </c>
      <c r="AU243" t="s">
        <v>46</v>
      </c>
      <c r="AV243">
        <v>2016</v>
      </c>
      <c r="AW243" t="s">
        <v>803</v>
      </c>
    </row>
    <row r="244" spans="1:49" x14ac:dyDescent="0.2">
      <c r="A244">
        <v>243</v>
      </c>
      <c r="B244" t="s">
        <v>796</v>
      </c>
      <c r="C244" t="s">
        <v>67</v>
      </c>
      <c r="D244">
        <v>22.95</v>
      </c>
      <c r="E244" t="s">
        <v>42</v>
      </c>
      <c r="F244">
        <f>D244-15.6</f>
        <v>7.35</v>
      </c>
      <c r="G244">
        <f>30.3-D244</f>
        <v>7.3500000000000014</v>
      </c>
      <c r="H244" t="s">
        <v>69</v>
      </c>
      <c r="I244">
        <v>4</v>
      </c>
      <c r="J244">
        <v>50</v>
      </c>
      <c r="K244" t="s">
        <v>807</v>
      </c>
      <c r="L244" t="s">
        <v>78</v>
      </c>
      <c r="M244">
        <v>4.9800000000000004</v>
      </c>
      <c r="N244" t="s">
        <v>42</v>
      </c>
      <c r="O244">
        <f>M244-3.7</f>
        <v>1.2800000000000002</v>
      </c>
      <c r="P244">
        <f>6.27-M244</f>
        <v>1.2899999999999991</v>
      </c>
      <c r="Q244" t="s">
        <v>69</v>
      </c>
      <c r="R244">
        <v>4</v>
      </c>
      <c r="S244">
        <v>50</v>
      </c>
      <c r="T244" t="s">
        <v>807</v>
      </c>
      <c r="U244" t="s">
        <v>158</v>
      </c>
      <c r="V244" t="s">
        <v>815</v>
      </c>
      <c r="W244" t="s">
        <v>816</v>
      </c>
      <c r="X244" t="s">
        <v>800</v>
      </c>
      <c r="Y244" t="s">
        <v>46</v>
      </c>
      <c r="Z244" t="s">
        <v>801</v>
      </c>
      <c r="AA244" t="s">
        <v>440</v>
      </c>
      <c r="AB244" t="s">
        <v>439</v>
      </c>
      <c r="AC244" t="s">
        <v>802</v>
      </c>
      <c r="AD244" t="s">
        <v>39</v>
      </c>
      <c r="AE244" t="s">
        <v>46</v>
      </c>
      <c r="AF244">
        <v>24</v>
      </c>
      <c r="AG244" t="s">
        <v>40</v>
      </c>
      <c r="AH244" t="s">
        <v>50</v>
      </c>
      <c r="AI244" t="s">
        <v>46</v>
      </c>
      <c r="AJ244" t="s">
        <v>47</v>
      </c>
      <c r="AK244" t="s">
        <v>61</v>
      </c>
      <c r="AL244">
        <v>25</v>
      </c>
      <c r="AM244" t="s">
        <v>46</v>
      </c>
      <c r="AN244" t="s">
        <v>46</v>
      </c>
      <c r="AO244" t="s">
        <v>46</v>
      </c>
      <c r="AP244" t="s">
        <v>63</v>
      </c>
      <c r="AQ244" t="s">
        <v>46</v>
      </c>
      <c r="AR244" t="s">
        <v>50</v>
      </c>
      <c r="AS244" t="s">
        <v>1649</v>
      </c>
      <c r="AT244" t="s">
        <v>63</v>
      </c>
      <c r="AU244" t="s">
        <v>46</v>
      </c>
      <c r="AV244">
        <v>2016</v>
      </c>
      <c r="AW244" t="s">
        <v>803</v>
      </c>
    </row>
    <row r="245" spans="1:49" x14ac:dyDescent="0.2">
      <c r="A245">
        <v>244</v>
      </c>
      <c r="B245" t="s">
        <v>817</v>
      </c>
      <c r="C245" t="s">
        <v>818</v>
      </c>
      <c r="D245">
        <v>707</v>
      </c>
      <c r="E245" t="s">
        <v>42</v>
      </c>
      <c r="F245">
        <f>D245-366</f>
        <v>341</v>
      </c>
      <c r="G245">
        <f>1366-D245</f>
        <v>659</v>
      </c>
      <c r="H245" t="s">
        <v>69</v>
      </c>
      <c r="I245">
        <v>10</v>
      </c>
      <c r="J245">
        <v>1</v>
      </c>
      <c r="K245" t="s">
        <v>819</v>
      </c>
      <c r="L245" t="s">
        <v>820</v>
      </c>
      <c r="M245">
        <f>4060*0.17</f>
        <v>690.2</v>
      </c>
      <c r="N245" t="s">
        <v>42</v>
      </c>
      <c r="O245">
        <f>995*0.17</f>
        <v>169.15</v>
      </c>
      <c r="P245">
        <f>9548*0.17</f>
        <v>1623.16</v>
      </c>
      <c r="Q245" t="s">
        <v>69</v>
      </c>
      <c r="R245">
        <v>10</v>
      </c>
      <c r="S245">
        <v>1</v>
      </c>
      <c r="T245" t="s">
        <v>819</v>
      </c>
      <c r="U245" t="s">
        <v>158</v>
      </c>
      <c r="V245" t="s">
        <v>823</v>
      </c>
      <c r="W245" t="s">
        <v>824</v>
      </c>
      <c r="X245" t="s">
        <v>821</v>
      </c>
      <c r="Y245" t="s">
        <v>822</v>
      </c>
      <c r="Z245" t="s">
        <v>825</v>
      </c>
      <c r="AA245" t="s">
        <v>36</v>
      </c>
      <c r="AB245" t="s">
        <v>37</v>
      </c>
      <c r="AC245" t="s">
        <v>38</v>
      </c>
      <c r="AD245" t="s">
        <v>39</v>
      </c>
      <c r="AE245" t="s">
        <v>45</v>
      </c>
      <c r="AF245">
        <f>17*24</f>
        <v>408</v>
      </c>
      <c r="AG245" t="s">
        <v>826</v>
      </c>
      <c r="AH245" t="s">
        <v>50</v>
      </c>
      <c r="AI245" t="s">
        <v>46</v>
      </c>
      <c r="AJ245" t="s">
        <v>47</v>
      </c>
      <c r="AK245" t="s">
        <v>48</v>
      </c>
      <c r="AL245">
        <v>26</v>
      </c>
      <c r="AM245">
        <v>7.6</v>
      </c>
      <c r="AN245" t="s">
        <v>76</v>
      </c>
      <c r="AO245" t="s">
        <v>46</v>
      </c>
      <c r="AP245" t="s">
        <v>50</v>
      </c>
      <c r="AQ245">
        <v>90</v>
      </c>
      <c r="AR245" t="s">
        <v>50</v>
      </c>
      <c r="AS245" t="s">
        <v>1641</v>
      </c>
      <c r="AT245" t="s">
        <v>50</v>
      </c>
      <c r="AU245" t="s">
        <v>63</v>
      </c>
      <c r="AV245">
        <v>2008</v>
      </c>
      <c r="AW245" t="s">
        <v>46</v>
      </c>
    </row>
    <row r="246" spans="1:49" x14ac:dyDescent="0.2">
      <c r="A246">
        <v>245</v>
      </c>
      <c r="B246" t="s">
        <v>827</v>
      </c>
      <c r="C246" t="s">
        <v>80</v>
      </c>
      <c r="D246" t="s">
        <v>830</v>
      </c>
      <c r="E246" t="s">
        <v>68</v>
      </c>
      <c r="F246" t="s">
        <v>46</v>
      </c>
      <c r="G246" t="s">
        <v>46</v>
      </c>
      <c r="H246" t="s">
        <v>46</v>
      </c>
      <c r="I246">
        <v>4</v>
      </c>
      <c r="J246">
        <v>1</v>
      </c>
      <c r="K246" t="s">
        <v>828</v>
      </c>
      <c r="L246" t="s">
        <v>829</v>
      </c>
      <c r="M246">
        <v>12.08</v>
      </c>
      <c r="N246" t="s">
        <v>68</v>
      </c>
      <c r="O246">
        <v>3.15</v>
      </c>
      <c r="P246">
        <v>3.15</v>
      </c>
      <c r="Q246" t="s">
        <v>43</v>
      </c>
      <c r="R246">
        <v>4</v>
      </c>
      <c r="S246">
        <v>1</v>
      </c>
      <c r="T246" t="s">
        <v>828</v>
      </c>
      <c r="U246" t="s">
        <v>831</v>
      </c>
      <c r="V246" t="s">
        <v>832</v>
      </c>
      <c r="W246" t="s">
        <v>833</v>
      </c>
      <c r="X246" t="s">
        <v>571</v>
      </c>
      <c r="Y246" t="s">
        <v>46</v>
      </c>
      <c r="Z246" t="s">
        <v>834</v>
      </c>
      <c r="AA246" t="s">
        <v>426</v>
      </c>
      <c r="AB246" t="s">
        <v>427</v>
      </c>
      <c r="AC246" t="s">
        <v>428</v>
      </c>
      <c r="AD246" t="s">
        <v>39</v>
      </c>
      <c r="AE246" t="s">
        <v>46</v>
      </c>
      <c r="AF246">
        <f>7*24</f>
        <v>168</v>
      </c>
      <c r="AG246" t="s">
        <v>40</v>
      </c>
      <c r="AH246" t="s">
        <v>50</v>
      </c>
      <c r="AI246" t="s">
        <v>46</v>
      </c>
      <c r="AJ246" t="s">
        <v>47</v>
      </c>
      <c r="AK246" t="s">
        <v>48</v>
      </c>
      <c r="AL246">
        <v>22</v>
      </c>
      <c r="AM246" t="s">
        <v>46</v>
      </c>
      <c r="AN246" t="s">
        <v>46</v>
      </c>
      <c r="AO246" t="s">
        <v>46</v>
      </c>
      <c r="AP246" t="s">
        <v>50</v>
      </c>
      <c r="AQ246" t="s">
        <v>46</v>
      </c>
      <c r="AR246" t="s">
        <v>63</v>
      </c>
      <c r="AS246" t="s">
        <v>1629</v>
      </c>
      <c r="AT246" t="s">
        <v>63</v>
      </c>
      <c r="AU246" t="s">
        <v>46</v>
      </c>
      <c r="AV246">
        <v>2021</v>
      </c>
      <c r="AW246" t="s">
        <v>835</v>
      </c>
    </row>
    <row r="247" spans="1:49" s="5" customFormat="1" ht="17" x14ac:dyDescent="0.2">
      <c r="A247">
        <v>246</v>
      </c>
      <c r="B247" s="5" t="s">
        <v>836</v>
      </c>
      <c r="C247" s="5" t="s">
        <v>55</v>
      </c>
      <c r="D247" s="5">
        <v>18.2</v>
      </c>
      <c r="E247" s="5" t="s">
        <v>42</v>
      </c>
      <c r="F247" s="5">
        <f>D247-17.4</f>
        <v>0.80000000000000071</v>
      </c>
      <c r="G247" s="5">
        <f>18.9-D247</f>
        <v>0.69999999999999929</v>
      </c>
      <c r="H247" s="5" t="s">
        <v>69</v>
      </c>
      <c r="I247" s="5">
        <v>4</v>
      </c>
      <c r="J247" s="5">
        <v>3</v>
      </c>
      <c r="K247" s="5" t="s">
        <v>837</v>
      </c>
      <c r="L247" t="s">
        <v>838</v>
      </c>
      <c r="M247" s="5">
        <v>21.8</v>
      </c>
      <c r="N247" s="5" t="s">
        <v>42</v>
      </c>
      <c r="O247" s="5">
        <f>M247-19.5</f>
        <v>2.3000000000000007</v>
      </c>
      <c r="P247" s="5">
        <f>24.2-M247</f>
        <v>2.3999999999999986</v>
      </c>
      <c r="Q247" s="5" t="s">
        <v>69</v>
      </c>
      <c r="R247" s="5">
        <v>4</v>
      </c>
      <c r="S247" s="5">
        <v>3</v>
      </c>
      <c r="T247" s="5" t="s">
        <v>837</v>
      </c>
      <c r="U247" s="5" t="s">
        <v>156</v>
      </c>
      <c r="V247" s="5" t="s">
        <v>839</v>
      </c>
      <c r="W247" s="5" t="s">
        <v>840</v>
      </c>
      <c r="X247" s="5" t="s">
        <v>841</v>
      </c>
      <c r="Y247" s="5" t="s">
        <v>842</v>
      </c>
      <c r="Z247" t="s">
        <v>843</v>
      </c>
      <c r="AA247" s="5" t="s">
        <v>844</v>
      </c>
      <c r="AB247" t="s">
        <v>1687</v>
      </c>
      <c r="AC247" s="5" t="s">
        <v>38</v>
      </c>
      <c r="AD247" s="5" t="s">
        <v>39</v>
      </c>
      <c r="AE247" s="5" t="s">
        <v>75</v>
      </c>
      <c r="AF247" s="5">
        <v>96</v>
      </c>
      <c r="AG247" s="5" t="s">
        <v>40</v>
      </c>
      <c r="AH247" s="5" t="s">
        <v>50</v>
      </c>
      <c r="AI247" s="5" t="s">
        <v>46</v>
      </c>
      <c r="AJ247" s="5" t="s">
        <v>47</v>
      </c>
      <c r="AK247" s="5" t="s">
        <v>61</v>
      </c>
      <c r="AL247" s="5">
        <v>20</v>
      </c>
      <c r="AM247" s="5" t="s">
        <v>46</v>
      </c>
      <c r="AN247" s="5" t="s">
        <v>46</v>
      </c>
      <c r="AO247" s="5" t="s">
        <v>46</v>
      </c>
      <c r="AP247" s="5" t="s">
        <v>50</v>
      </c>
      <c r="AQ247" s="5" t="s">
        <v>46</v>
      </c>
      <c r="AR247" s="5" t="s">
        <v>50</v>
      </c>
      <c r="AS247" t="s">
        <v>1629</v>
      </c>
      <c r="AT247" s="5" t="s">
        <v>63</v>
      </c>
      <c r="AU247" s="5" t="s">
        <v>46</v>
      </c>
      <c r="AV247" s="5">
        <v>2012</v>
      </c>
      <c r="AW247" s="5" t="s">
        <v>46</v>
      </c>
    </row>
    <row r="248" spans="1:49" x14ac:dyDescent="0.2">
      <c r="A248">
        <v>247</v>
      </c>
      <c r="B248" t="s">
        <v>836</v>
      </c>
      <c r="C248" t="s">
        <v>620</v>
      </c>
      <c r="D248">
        <v>13.5</v>
      </c>
      <c r="E248" t="s">
        <v>42</v>
      </c>
      <c r="F248">
        <f>D248-11.9</f>
        <v>1.5999999999999996</v>
      </c>
      <c r="G248">
        <f>15.5-D248</f>
        <v>2</v>
      </c>
      <c r="H248" t="s">
        <v>69</v>
      </c>
      <c r="I248">
        <v>4</v>
      </c>
      <c r="J248">
        <v>3</v>
      </c>
      <c r="K248" t="s">
        <v>837</v>
      </c>
      <c r="L248" t="s">
        <v>845</v>
      </c>
      <c r="M248">
        <v>9.9</v>
      </c>
      <c r="N248" t="s">
        <v>42</v>
      </c>
      <c r="O248">
        <f>M248-9</f>
        <v>0.90000000000000036</v>
      </c>
      <c r="P248">
        <f>10.7-M248</f>
        <v>0.79999999999999893</v>
      </c>
      <c r="Q248" t="s">
        <v>69</v>
      </c>
      <c r="R248">
        <v>4</v>
      </c>
      <c r="S248">
        <v>3</v>
      </c>
      <c r="T248" t="s">
        <v>837</v>
      </c>
      <c r="U248" t="s">
        <v>156</v>
      </c>
      <c r="V248" t="s">
        <v>846</v>
      </c>
      <c r="W248" t="s">
        <v>847</v>
      </c>
      <c r="X248" t="s">
        <v>841</v>
      </c>
      <c r="Y248" t="s">
        <v>842</v>
      </c>
      <c r="Z248" t="s">
        <v>843</v>
      </c>
      <c r="AA248" t="s">
        <v>844</v>
      </c>
      <c r="AB248" t="s">
        <v>1687</v>
      </c>
      <c r="AC248" t="s">
        <v>38</v>
      </c>
      <c r="AD248" t="s">
        <v>39</v>
      </c>
      <c r="AE248" t="s">
        <v>75</v>
      </c>
      <c r="AF248">
        <v>96</v>
      </c>
      <c r="AG248" t="s">
        <v>77</v>
      </c>
      <c r="AH248" t="s">
        <v>50</v>
      </c>
      <c r="AI248" t="s">
        <v>46</v>
      </c>
      <c r="AJ248" t="s">
        <v>47</v>
      </c>
      <c r="AK248" t="s">
        <v>61</v>
      </c>
      <c r="AL248">
        <v>20</v>
      </c>
      <c r="AM248" t="s">
        <v>46</v>
      </c>
      <c r="AN248" t="s">
        <v>46</v>
      </c>
      <c r="AO248" t="s">
        <v>46</v>
      </c>
      <c r="AP248" t="s">
        <v>50</v>
      </c>
      <c r="AQ248" t="s">
        <v>46</v>
      </c>
      <c r="AR248" t="s">
        <v>50</v>
      </c>
      <c r="AS248" t="s">
        <v>1631</v>
      </c>
      <c r="AT248" t="s">
        <v>63</v>
      </c>
      <c r="AU248" t="s">
        <v>46</v>
      </c>
      <c r="AV248">
        <v>2012</v>
      </c>
      <c r="AW248" t="s">
        <v>46</v>
      </c>
    </row>
    <row r="249" spans="1:49" x14ac:dyDescent="0.2">
      <c r="A249">
        <v>248</v>
      </c>
      <c r="B249" t="s">
        <v>836</v>
      </c>
      <c r="C249" t="s">
        <v>97</v>
      </c>
      <c r="D249">
        <v>1.5</v>
      </c>
      <c r="E249" t="s">
        <v>42</v>
      </c>
      <c r="F249">
        <f>D249-1.2</f>
        <v>0.30000000000000004</v>
      </c>
      <c r="G249">
        <f>1.8-D249</f>
        <v>0.30000000000000004</v>
      </c>
      <c r="H249" t="s">
        <v>69</v>
      </c>
      <c r="I249">
        <v>4</v>
      </c>
      <c r="J249">
        <v>3</v>
      </c>
      <c r="K249" t="s">
        <v>837</v>
      </c>
      <c r="L249" t="s">
        <v>848</v>
      </c>
      <c r="M249">
        <v>1</v>
      </c>
      <c r="N249" t="s">
        <v>42</v>
      </c>
      <c r="O249">
        <f>M249-0.8</f>
        <v>0.19999999999999996</v>
      </c>
      <c r="P249">
        <f>1.2-M249</f>
        <v>0.19999999999999996</v>
      </c>
      <c r="Q249" t="s">
        <v>69</v>
      </c>
      <c r="R249">
        <v>4</v>
      </c>
      <c r="S249">
        <v>3</v>
      </c>
      <c r="T249" t="s">
        <v>837</v>
      </c>
      <c r="U249" t="s">
        <v>156</v>
      </c>
      <c r="V249" t="s">
        <v>849</v>
      </c>
      <c r="W249" t="s">
        <v>850</v>
      </c>
      <c r="X249" t="s">
        <v>841</v>
      </c>
      <c r="Y249" t="s">
        <v>842</v>
      </c>
      <c r="Z249" t="s">
        <v>843</v>
      </c>
      <c r="AA249" t="s">
        <v>844</v>
      </c>
      <c r="AB249" t="s">
        <v>1687</v>
      </c>
      <c r="AC249" t="s">
        <v>38</v>
      </c>
      <c r="AD249" t="s">
        <v>39</v>
      </c>
      <c r="AE249" t="s">
        <v>75</v>
      </c>
      <c r="AF249">
        <v>96</v>
      </c>
      <c r="AG249" t="s">
        <v>77</v>
      </c>
      <c r="AH249" t="s">
        <v>50</v>
      </c>
      <c r="AI249" t="s">
        <v>46</v>
      </c>
      <c r="AJ249" t="s">
        <v>47</v>
      </c>
      <c r="AK249" t="s">
        <v>61</v>
      </c>
      <c r="AL249">
        <v>20</v>
      </c>
      <c r="AM249" t="s">
        <v>46</v>
      </c>
      <c r="AN249" t="s">
        <v>46</v>
      </c>
      <c r="AO249" t="s">
        <v>46</v>
      </c>
      <c r="AP249" t="s">
        <v>50</v>
      </c>
      <c r="AQ249" t="s">
        <v>46</v>
      </c>
      <c r="AR249" t="s">
        <v>50</v>
      </c>
      <c r="AS249" t="s">
        <v>1630</v>
      </c>
      <c r="AT249" t="s">
        <v>63</v>
      </c>
      <c r="AU249" t="s">
        <v>46</v>
      </c>
      <c r="AV249">
        <v>2012</v>
      </c>
      <c r="AW249" t="s">
        <v>46</v>
      </c>
    </row>
    <row r="250" spans="1:49" x14ac:dyDescent="0.2">
      <c r="A250">
        <v>249</v>
      </c>
      <c r="B250" t="s">
        <v>851</v>
      </c>
      <c r="C250" t="s">
        <v>852</v>
      </c>
      <c r="D250">
        <v>236</v>
      </c>
      <c r="E250" t="s">
        <v>68</v>
      </c>
      <c r="F250">
        <f>D250-187</f>
        <v>49</v>
      </c>
      <c r="G250">
        <f>448-D250</f>
        <v>212</v>
      </c>
      <c r="H250" t="s">
        <v>69</v>
      </c>
      <c r="I250">
        <v>4</v>
      </c>
      <c r="J250">
        <v>1</v>
      </c>
      <c r="K250" t="s">
        <v>828</v>
      </c>
      <c r="L250" t="s">
        <v>853</v>
      </c>
      <c r="M250">
        <v>14</v>
      </c>
      <c r="N250" t="s">
        <v>68</v>
      </c>
      <c r="O250">
        <f>M250-6.6</f>
        <v>7.4</v>
      </c>
      <c r="P250">
        <f>30.9-M250</f>
        <v>16.899999999999999</v>
      </c>
      <c r="Q250" t="s">
        <v>69</v>
      </c>
      <c r="R250">
        <v>4</v>
      </c>
      <c r="S250">
        <v>1</v>
      </c>
      <c r="T250" t="s">
        <v>828</v>
      </c>
      <c r="U250" t="s">
        <v>46</v>
      </c>
      <c r="V250" t="s">
        <v>854</v>
      </c>
      <c r="W250" t="s">
        <v>856</v>
      </c>
      <c r="X250" t="s">
        <v>858</v>
      </c>
      <c r="Y250" t="s">
        <v>46</v>
      </c>
      <c r="Z250" t="s">
        <v>859</v>
      </c>
      <c r="AA250" t="s">
        <v>46</v>
      </c>
      <c r="AB250" t="s">
        <v>46</v>
      </c>
      <c r="AC250" t="s">
        <v>46</v>
      </c>
      <c r="AD250" t="s">
        <v>39</v>
      </c>
      <c r="AE250" t="s">
        <v>46</v>
      </c>
      <c r="AF250">
        <v>1</v>
      </c>
      <c r="AG250" t="s">
        <v>77</v>
      </c>
      <c r="AH250" t="s">
        <v>50</v>
      </c>
      <c r="AI250" t="s">
        <v>46</v>
      </c>
      <c r="AJ250" t="s">
        <v>47</v>
      </c>
      <c r="AK250" t="s">
        <v>61</v>
      </c>
      <c r="AL250" t="s">
        <v>46</v>
      </c>
      <c r="AM250" t="s">
        <v>46</v>
      </c>
      <c r="AN250" t="s">
        <v>46</v>
      </c>
      <c r="AO250" t="s">
        <v>46</v>
      </c>
      <c r="AP250" t="s">
        <v>50</v>
      </c>
      <c r="AQ250" t="s">
        <v>46</v>
      </c>
      <c r="AR250" t="s">
        <v>50</v>
      </c>
      <c r="AS250" t="s">
        <v>1647</v>
      </c>
      <c r="AT250" t="s">
        <v>63</v>
      </c>
      <c r="AU250" t="s">
        <v>46</v>
      </c>
      <c r="AV250">
        <v>2011</v>
      </c>
      <c r="AW250" t="s">
        <v>860</v>
      </c>
    </row>
    <row r="251" spans="1:49" x14ac:dyDescent="0.2">
      <c r="A251">
        <v>250</v>
      </c>
      <c r="B251" t="s">
        <v>851</v>
      </c>
      <c r="C251" t="s">
        <v>852</v>
      </c>
      <c r="D251">
        <v>404</v>
      </c>
      <c r="E251" t="s">
        <v>68</v>
      </c>
      <c r="F251">
        <f>D251-120</f>
        <v>284</v>
      </c>
      <c r="G251">
        <f>1000-D251</f>
        <v>596</v>
      </c>
      <c r="H251" t="s">
        <v>69</v>
      </c>
      <c r="I251">
        <v>4</v>
      </c>
      <c r="J251">
        <v>1</v>
      </c>
      <c r="K251" t="s">
        <v>828</v>
      </c>
      <c r="L251" t="s">
        <v>853</v>
      </c>
      <c r="M251">
        <v>23</v>
      </c>
      <c r="N251" t="s">
        <v>68</v>
      </c>
      <c r="O251">
        <f>M251-16.4</f>
        <v>6.6000000000000014</v>
      </c>
      <c r="P251">
        <f>38-M251</f>
        <v>15</v>
      </c>
      <c r="Q251" t="s">
        <v>69</v>
      </c>
      <c r="R251">
        <v>4</v>
      </c>
      <c r="S251">
        <v>1</v>
      </c>
      <c r="T251" t="s">
        <v>828</v>
      </c>
      <c r="U251" t="s">
        <v>46</v>
      </c>
      <c r="V251" t="s">
        <v>855</v>
      </c>
      <c r="W251" t="s">
        <v>857</v>
      </c>
      <c r="X251" t="s">
        <v>858</v>
      </c>
      <c r="Y251" t="s">
        <v>46</v>
      </c>
      <c r="Z251" t="s">
        <v>859</v>
      </c>
      <c r="AA251" t="s">
        <v>46</v>
      </c>
      <c r="AB251" t="s">
        <v>46</v>
      </c>
      <c r="AC251" t="s">
        <v>46</v>
      </c>
      <c r="AD251" t="s">
        <v>39</v>
      </c>
      <c r="AE251" t="s">
        <v>46</v>
      </c>
      <c r="AF251">
        <v>1</v>
      </c>
      <c r="AG251" t="s">
        <v>77</v>
      </c>
      <c r="AH251" t="s">
        <v>50</v>
      </c>
      <c r="AI251" t="s">
        <v>46</v>
      </c>
      <c r="AJ251" t="s">
        <v>47</v>
      </c>
      <c r="AK251" t="s">
        <v>61</v>
      </c>
      <c r="AL251" t="s">
        <v>46</v>
      </c>
      <c r="AM251" t="s">
        <v>46</v>
      </c>
      <c r="AN251" t="s">
        <v>46</v>
      </c>
      <c r="AO251" t="s">
        <v>46</v>
      </c>
      <c r="AP251" t="s">
        <v>50</v>
      </c>
      <c r="AQ251" t="s">
        <v>46</v>
      </c>
      <c r="AR251" t="s">
        <v>50</v>
      </c>
      <c r="AS251" t="s">
        <v>1647</v>
      </c>
      <c r="AT251" t="s">
        <v>63</v>
      </c>
      <c r="AU251" t="s">
        <v>46</v>
      </c>
      <c r="AV251">
        <v>2011</v>
      </c>
      <c r="AW251" t="s">
        <v>861</v>
      </c>
    </row>
    <row r="252" spans="1:49" x14ac:dyDescent="0.2">
      <c r="A252">
        <v>251</v>
      </c>
      <c r="B252" t="s">
        <v>862</v>
      </c>
      <c r="C252" t="s">
        <v>80</v>
      </c>
      <c r="D252">
        <v>10.199999999999999</v>
      </c>
      <c r="E252" t="s">
        <v>68</v>
      </c>
      <c r="F252" s="1">
        <f>D252-10.4</f>
        <v>-0.20000000000000107</v>
      </c>
      <c r="G252">
        <f>11.2-D252</f>
        <v>1</v>
      </c>
      <c r="H252" t="s">
        <v>69</v>
      </c>
      <c r="I252">
        <v>2</v>
      </c>
      <c r="J252">
        <v>1</v>
      </c>
      <c r="K252" t="s">
        <v>863</v>
      </c>
      <c r="L252" t="s">
        <v>864</v>
      </c>
      <c r="M252">
        <v>9.08</v>
      </c>
      <c r="N252" t="s">
        <v>68</v>
      </c>
      <c r="O252">
        <f>M252-8.4</f>
        <v>0.67999999999999972</v>
      </c>
      <c r="P252">
        <f>9.7-M252</f>
        <v>0.61999999999999922</v>
      </c>
      <c r="Q252" t="s">
        <v>69</v>
      </c>
      <c r="R252">
        <v>2</v>
      </c>
      <c r="S252">
        <v>1</v>
      </c>
      <c r="T252" t="s">
        <v>863</v>
      </c>
      <c r="U252" t="s">
        <v>156</v>
      </c>
      <c r="V252" t="s">
        <v>865</v>
      </c>
      <c r="W252" t="s">
        <v>867</v>
      </c>
      <c r="X252" t="s">
        <v>870</v>
      </c>
      <c r="Y252" t="s">
        <v>46</v>
      </c>
      <c r="Z252" t="s">
        <v>869</v>
      </c>
      <c r="AA252" t="s">
        <v>426</v>
      </c>
      <c r="AB252" t="s">
        <v>427</v>
      </c>
      <c r="AC252" t="s">
        <v>428</v>
      </c>
      <c r="AD252" t="s">
        <v>39</v>
      </c>
      <c r="AE252" t="s">
        <v>46</v>
      </c>
      <c r="AF252">
        <v>96</v>
      </c>
      <c r="AG252" t="s">
        <v>40</v>
      </c>
      <c r="AH252" t="s">
        <v>50</v>
      </c>
      <c r="AI252" t="s">
        <v>46</v>
      </c>
      <c r="AJ252" t="s">
        <v>47</v>
      </c>
      <c r="AK252" t="s">
        <v>61</v>
      </c>
      <c r="AL252">
        <v>22</v>
      </c>
      <c r="AM252" s="6">
        <v>7.5</v>
      </c>
      <c r="AN252" t="s">
        <v>46</v>
      </c>
      <c r="AO252" t="s">
        <v>46</v>
      </c>
      <c r="AP252" t="s">
        <v>63</v>
      </c>
      <c r="AQ252">
        <v>80.099999999999994</v>
      </c>
      <c r="AR252" t="s">
        <v>50</v>
      </c>
      <c r="AS252" t="s">
        <v>1629</v>
      </c>
      <c r="AT252" t="s">
        <v>63</v>
      </c>
      <c r="AU252" t="s">
        <v>46</v>
      </c>
      <c r="AV252">
        <v>1997</v>
      </c>
      <c r="AW252" t="s">
        <v>872</v>
      </c>
    </row>
    <row r="253" spans="1:49" x14ac:dyDescent="0.2">
      <c r="A253">
        <v>252</v>
      </c>
      <c r="B253" t="s">
        <v>862</v>
      </c>
      <c r="C253" t="s">
        <v>80</v>
      </c>
      <c r="D253">
        <v>7.2</v>
      </c>
      <c r="E253" t="s">
        <v>68</v>
      </c>
      <c r="F253">
        <f>D253-4.4</f>
        <v>2.8</v>
      </c>
      <c r="G253">
        <f>8.9-D253</f>
        <v>1.7000000000000002</v>
      </c>
      <c r="H253" t="s">
        <v>69</v>
      </c>
      <c r="I253">
        <v>2</v>
      </c>
      <c r="J253">
        <v>1</v>
      </c>
      <c r="K253" t="s">
        <v>863</v>
      </c>
      <c r="L253" t="s">
        <v>864</v>
      </c>
      <c r="M253">
        <v>9.09</v>
      </c>
      <c r="N253" t="s">
        <v>68</v>
      </c>
      <c r="O253">
        <f>M253-8.06</f>
        <v>1.0299999999999994</v>
      </c>
      <c r="P253">
        <f>10.2-M253</f>
        <v>1.1099999999999994</v>
      </c>
      <c r="Q253" t="s">
        <v>69</v>
      </c>
      <c r="R253">
        <v>2</v>
      </c>
      <c r="S253">
        <v>1</v>
      </c>
      <c r="T253" t="s">
        <v>863</v>
      </c>
      <c r="U253" t="s">
        <v>156</v>
      </c>
      <c r="V253" t="s">
        <v>866</v>
      </c>
      <c r="W253" t="s">
        <v>868</v>
      </c>
      <c r="X253" t="s">
        <v>723</v>
      </c>
      <c r="Y253" t="s">
        <v>46</v>
      </c>
      <c r="Z253" t="s">
        <v>871</v>
      </c>
      <c r="AA253" t="s">
        <v>426</v>
      </c>
      <c r="AB253" t="s">
        <v>427</v>
      </c>
      <c r="AC253" t="s">
        <v>428</v>
      </c>
      <c r="AD253" t="s">
        <v>39</v>
      </c>
      <c r="AE253" t="s">
        <v>46</v>
      </c>
      <c r="AF253">
        <v>96</v>
      </c>
      <c r="AG253" t="s">
        <v>40</v>
      </c>
      <c r="AH253" t="s">
        <v>50</v>
      </c>
      <c r="AI253" t="s">
        <v>46</v>
      </c>
      <c r="AJ253" t="s">
        <v>47</v>
      </c>
      <c r="AK253" t="s">
        <v>61</v>
      </c>
      <c r="AL253">
        <v>22</v>
      </c>
      <c r="AM253">
        <v>7.5</v>
      </c>
      <c r="AN253" t="s">
        <v>46</v>
      </c>
      <c r="AO253" t="s">
        <v>46</v>
      </c>
      <c r="AP253" t="s">
        <v>63</v>
      </c>
      <c r="AQ253">
        <v>80.099999999999994</v>
      </c>
      <c r="AR253" t="s">
        <v>50</v>
      </c>
      <c r="AS253" t="s">
        <v>1629</v>
      </c>
      <c r="AT253" t="s">
        <v>63</v>
      </c>
      <c r="AU253" t="s">
        <v>46</v>
      </c>
      <c r="AV253">
        <v>1997</v>
      </c>
      <c r="AW253" t="s">
        <v>46</v>
      </c>
    </row>
    <row r="254" spans="1:49" x14ac:dyDescent="0.2">
      <c r="A254">
        <v>253</v>
      </c>
      <c r="B254" t="s">
        <v>873</v>
      </c>
      <c r="C254" t="s">
        <v>55</v>
      </c>
      <c r="D254">
        <v>33.1</v>
      </c>
      <c r="E254" t="s">
        <v>413</v>
      </c>
      <c r="F254">
        <f>D254-21.6</f>
        <v>11.5</v>
      </c>
      <c r="G254">
        <f>47.9-D254</f>
        <v>14.799999999999997</v>
      </c>
      <c r="H254" t="s">
        <v>69</v>
      </c>
      <c r="I254">
        <v>4</v>
      </c>
      <c r="J254">
        <v>1</v>
      </c>
      <c r="K254" t="s">
        <v>828</v>
      </c>
      <c r="L254" t="s">
        <v>838</v>
      </c>
      <c r="M254">
        <v>9.1999999999999993</v>
      </c>
      <c r="N254" t="s">
        <v>413</v>
      </c>
      <c r="O254">
        <f>M254-4.4</f>
        <v>4.7999999999999989</v>
      </c>
      <c r="P254">
        <f>17.3-M254</f>
        <v>8.1000000000000014</v>
      </c>
      <c r="Q254" t="s">
        <v>69</v>
      </c>
      <c r="R254">
        <v>4</v>
      </c>
      <c r="S254">
        <v>1</v>
      </c>
      <c r="T254" t="s">
        <v>828</v>
      </c>
      <c r="U254" t="s">
        <v>874</v>
      </c>
      <c r="V254" t="s">
        <v>875</v>
      </c>
      <c r="W254" t="s">
        <v>876</v>
      </c>
      <c r="X254" t="s">
        <v>754</v>
      </c>
      <c r="Y254" t="s">
        <v>46</v>
      </c>
      <c r="Z254" t="s">
        <v>879</v>
      </c>
      <c r="AA254" t="s">
        <v>752</v>
      </c>
      <c r="AB254" t="s">
        <v>753</v>
      </c>
      <c r="AC254" t="s">
        <v>428</v>
      </c>
      <c r="AD254" t="s">
        <v>39</v>
      </c>
      <c r="AE254" t="s">
        <v>46</v>
      </c>
      <c r="AF254">
        <v>48</v>
      </c>
      <c r="AG254" t="s">
        <v>40</v>
      </c>
      <c r="AH254" t="s">
        <v>50</v>
      </c>
      <c r="AI254" t="s">
        <v>46</v>
      </c>
      <c r="AJ254" t="s">
        <v>47</v>
      </c>
      <c r="AK254" t="s">
        <v>61</v>
      </c>
      <c r="AL254">
        <v>24</v>
      </c>
      <c r="AM254">
        <v>6.5</v>
      </c>
      <c r="AN254" t="s">
        <v>46</v>
      </c>
      <c r="AO254" t="s">
        <v>46</v>
      </c>
      <c r="AP254" t="s">
        <v>63</v>
      </c>
      <c r="AQ254" t="s">
        <v>46</v>
      </c>
      <c r="AR254" t="s">
        <v>50</v>
      </c>
      <c r="AS254" t="s">
        <v>1629</v>
      </c>
      <c r="AT254" t="s">
        <v>63</v>
      </c>
      <c r="AU254" t="s">
        <v>46</v>
      </c>
      <c r="AV254">
        <v>2007</v>
      </c>
      <c r="AW254" t="s">
        <v>46</v>
      </c>
    </row>
    <row r="255" spans="1:49" x14ac:dyDescent="0.2">
      <c r="A255">
        <v>254</v>
      </c>
      <c r="B255" t="s">
        <v>873</v>
      </c>
      <c r="C255" t="s">
        <v>55</v>
      </c>
      <c r="D255">
        <v>22.6</v>
      </c>
      <c r="E255" t="s">
        <v>413</v>
      </c>
      <c r="F255">
        <f>D255-20.3</f>
        <v>2.3000000000000007</v>
      </c>
      <c r="G255">
        <f>25.7-D255</f>
        <v>3.0999999999999979</v>
      </c>
      <c r="H255" t="s">
        <v>69</v>
      </c>
      <c r="I255">
        <v>4</v>
      </c>
      <c r="J255">
        <v>1</v>
      </c>
      <c r="K255" t="s">
        <v>828</v>
      </c>
      <c r="L255" t="s">
        <v>838</v>
      </c>
      <c r="M255">
        <v>15.9</v>
      </c>
      <c r="N255" t="s">
        <v>413</v>
      </c>
      <c r="O255">
        <f>M255-14.3</f>
        <v>1.5999999999999996</v>
      </c>
      <c r="P255">
        <f>17.5-M255</f>
        <v>1.5999999999999996</v>
      </c>
      <c r="Q255" t="s">
        <v>69</v>
      </c>
      <c r="R255">
        <v>4</v>
      </c>
      <c r="S255">
        <v>1</v>
      </c>
      <c r="T255" t="s">
        <v>828</v>
      </c>
      <c r="U255" t="s">
        <v>874</v>
      </c>
      <c r="V255" t="s">
        <v>877</v>
      </c>
      <c r="W255" t="s">
        <v>876</v>
      </c>
      <c r="X255" t="s">
        <v>754</v>
      </c>
      <c r="Y255" t="s">
        <v>46</v>
      </c>
      <c r="Z255" t="s">
        <v>879</v>
      </c>
      <c r="AA255" t="s">
        <v>752</v>
      </c>
      <c r="AB255" t="s">
        <v>753</v>
      </c>
      <c r="AC255" t="s">
        <v>428</v>
      </c>
      <c r="AD255" t="s">
        <v>39</v>
      </c>
      <c r="AE255" t="s">
        <v>46</v>
      </c>
      <c r="AF255">
        <f>5*24</f>
        <v>120</v>
      </c>
      <c r="AG255" t="s">
        <v>40</v>
      </c>
      <c r="AH255" t="s">
        <v>50</v>
      </c>
      <c r="AI255" t="s">
        <v>46</v>
      </c>
      <c r="AJ255" t="s">
        <v>47</v>
      </c>
      <c r="AK255" t="s">
        <v>48</v>
      </c>
      <c r="AL255">
        <v>24</v>
      </c>
      <c r="AM255">
        <v>6.5</v>
      </c>
      <c r="AN255" t="s">
        <v>46</v>
      </c>
      <c r="AO255" t="s">
        <v>46</v>
      </c>
      <c r="AP255" t="s">
        <v>63</v>
      </c>
      <c r="AQ255" t="s">
        <v>46</v>
      </c>
      <c r="AR255" t="s">
        <v>50</v>
      </c>
      <c r="AS255" t="s">
        <v>1629</v>
      </c>
      <c r="AT255" t="s">
        <v>63</v>
      </c>
      <c r="AU255" t="s">
        <v>46</v>
      </c>
      <c r="AV255">
        <v>2007</v>
      </c>
      <c r="AW255" t="s">
        <v>46</v>
      </c>
    </row>
    <row r="256" spans="1:49" x14ac:dyDescent="0.2">
      <c r="A256">
        <v>255</v>
      </c>
      <c r="B256" t="s">
        <v>873</v>
      </c>
      <c r="C256" t="s">
        <v>55</v>
      </c>
      <c r="D256">
        <v>20.5</v>
      </c>
      <c r="E256" t="s">
        <v>413</v>
      </c>
      <c r="F256">
        <f>D256-19.6</f>
        <v>0.89999999999999858</v>
      </c>
      <c r="G256">
        <f>21.7-D256</f>
        <v>1.1999999999999993</v>
      </c>
      <c r="H256" t="s">
        <v>69</v>
      </c>
      <c r="I256">
        <v>4</v>
      </c>
      <c r="J256">
        <v>1</v>
      </c>
      <c r="K256" t="s">
        <v>828</v>
      </c>
      <c r="L256" t="s">
        <v>838</v>
      </c>
      <c r="M256">
        <v>11.6</v>
      </c>
      <c r="N256" t="s">
        <v>413</v>
      </c>
      <c r="O256">
        <f>M256-10.9</f>
        <v>0.69999999999999929</v>
      </c>
      <c r="P256" s="1">
        <f>2.1-M256</f>
        <v>-9.5</v>
      </c>
      <c r="Q256" t="s">
        <v>69</v>
      </c>
      <c r="R256">
        <v>4</v>
      </c>
      <c r="S256">
        <v>1</v>
      </c>
      <c r="T256" t="s">
        <v>828</v>
      </c>
      <c r="U256" t="s">
        <v>874</v>
      </c>
      <c r="V256" t="s">
        <v>878</v>
      </c>
      <c r="W256" t="s">
        <v>876</v>
      </c>
      <c r="X256" t="s">
        <v>754</v>
      </c>
      <c r="Y256" t="s">
        <v>46</v>
      </c>
      <c r="Z256" t="s">
        <v>879</v>
      </c>
      <c r="AA256" t="s">
        <v>752</v>
      </c>
      <c r="AB256" t="s">
        <v>753</v>
      </c>
      <c r="AC256" t="s">
        <v>428</v>
      </c>
      <c r="AD256" t="s">
        <v>39</v>
      </c>
      <c r="AE256" t="s">
        <v>46</v>
      </c>
      <c r="AF256">
        <f>10*24</f>
        <v>240</v>
      </c>
      <c r="AG256" t="s">
        <v>40</v>
      </c>
      <c r="AH256" t="s">
        <v>50</v>
      </c>
      <c r="AI256" t="s">
        <v>46</v>
      </c>
      <c r="AJ256" t="s">
        <v>47</v>
      </c>
      <c r="AK256" t="s">
        <v>48</v>
      </c>
      <c r="AL256">
        <v>24</v>
      </c>
      <c r="AM256">
        <v>6.5</v>
      </c>
      <c r="AN256" t="s">
        <v>46</v>
      </c>
      <c r="AO256" t="s">
        <v>46</v>
      </c>
      <c r="AP256" t="s">
        <v>63</v>
      </c>
      <c r="AQ256" t="s">
        <v>46</v>
      </c>
      <c r="AR256" t="s">
        <v>50</v>
      </c>
      <c r="AS256" t="s">
        <v>1629</v>
      </c>
      <c r="AT256" t="s">
        <v>63</v>
      </c>
      <c r="AU256" t="s">
        <v>46</v>
      </c>
      <c r="AV256">
        <v>2007</v>
      </c>
      <c r="AW256" t="s">
        <v>880</v>
      </c>
    </row>
    <row r="257" spans="1:49" x14ac:dyDescent="0.2">
      <c r="A257">
        <v>256</v>
      </c>
      <c r="B257" t="s">
        <v>882</v>
      </c>
      <c r="C257" t="s">
        <v>883</v>
      </c>
      <c r="D257">
        <v>59.9</v>
      </c>
      <c r="E257" t="s">
        <v>68</v>
      </c>
      <c r="F257">
        <f>D257-52.8</f>
        <v>7.1000000000000014</v>
      </c>
      <c r="G257">
        <f>68-D257</f>
        <v>8.1000000000000014</v>
      </c>
      <c r="H257" t="s">
        <v>69</v>
      </c>
      <c r="I257">
        <v>3</v>
      </c>
      <c r="J257">
        <v>1</v>
      </c>
      <c r="K257" t="s">
        <v>725</v>
      </c>
      <c r="L257" t="s">
        <v>895</v>
      </c>
      <c r="M257">
        <v>38.700000000000003</v>
      </c>
      <c r="N257" t="s">
        <v>68</v>
      </c>
      <c r="O257">
        <f>M257-34.8</f>
        <v>3.9000000000000057</v>
      </c>
      <c r="P257">
        <f>43-M257</f>
        <v>4.2999999999999972</v>
      </c>
      <c r="Q257" t="s">
        <v>69</v>
      </c>
      <c r="R257">
        <v>3</v>
      </c>
      <c r="S257">
        <v>1</v>
      </c>
      <c r="T257" t="s">
        <v>725</v>
      </c>
      <c r="U257" t="s">
        <v>884</v>
      </c>
      <c r="V257" t="s">
        <v>889</v>
      </c>
      <c r="W257" t="s">
        <v>885</v>
      </c>
      <c r="X257" t="s">
        <v>751</v>
      </c>
      <c r="Y257" t="s">
        <v>46</v>
      </c>
      <c r="Z257" t="s">
        <v>893</v>
      </c>
      <c r="AA257" t="s">
        <v>752</v>
      </c>
      <c r="AB257" t="s">
        <v>753</v>
      </c>
      <c r="AC257" t="s">
        <v>428</v>
      </c>
      <c r="AD257" t="s">
        <v>39</v>
      </c>
      <c r="AE257" t="s">
        <v>46</v>
      </c>
      <c r="AF257">
        <f>7*24</f>
        <v>168</v>
      </c>
      <c r="AG257" t="s">
        <v>40</v>
      </c>
      <c r="AH257" t="s">
        <v>50</v>
      </c>
      <c r="AI257" t="s">
        <v>46</v>
      </c>
      <c r="AJ257" t="s">
        <v>47</v>
      </c>
      <c r="AK257" t="s">
        <v>48</v>
      </c>
      <c r="AL257">
        <v>24</v>
      </c>
      <c r="AM257" t="s">
        <v>46</v>
      </c>
      <c r="AN257" t="s">
        <v>46</v>
      </c>
      <c r="AO257" t="s">
        <v>46</v>
      </c>
      <c r="AP257" t="s">
        <v>63</v>
      </c>
      <c r="AQ257" t="s">
        <v>46</v>
      </c>
      <c r="AR257" t="s">
        <v>50</v>
      </c>
      <c r="AS257" t="s">
        <v>1631</v>
      </c>
      <c r="AT257" t="s">
        <v>63</v>
      </c>
      <c r="AU257" t="s">
        <v>46</v>
      </c>
      <c r="AV257">
        <v>2021</v>
      </c>
      <c r="AW257" t="s">
        <v>894</v>
      </c>
    </row>
    <row r="258" spans="1:49" x14ac:dyDescent="0.2">
      <c r="A258">
        <v>257</v>
      </c>
      <c r="B258" t="s">
        <v>882</v>
      </c>
      <c r="C258" t="s">
        <v>883</v>
      </c>
      <c r="D258">
        <v>59.9</v>
      </c>
      <c r="E258" t="s">
        <v>68</v>
      </c>
      <c r="F258">
        <f>D258-52.8</f>
        <v>7.1000000000000014</v>
      </c>
      <c r="G258">
        <f>68-D258</f>
        <v>8.1000000000000014</v>
      </c>
      <c r="H258" t="s">
        <v>69</v>
      </c>
      <c r="I258">
        <v>3</v>
      </c>
      <c r="J258">
        <v>1</v>
      </c>
      <c r="K258" t="s">
        <v>725</v>
      </c>
      <c r="L258" t="s">
        <v>896</v>
      </c>
      <c r="M258">
        <v>369.7</v>
      </c>
      <c r="N258" t="s">
        <v>68</v>
      </c>
      <c r="O258">
        <f>M258-328</f>
        <v>41.699999999999989</v>
      </c>
      <c r="P258">
        <f>416.7-M258</f>
        <v>47</v>
      </c>
      <c r="Q258" t="s">
        <v>69</v>
      </c>
      <c r="R258">
        <v>3</v>
      </c>
      <c r="S258">
        <v>1</v>
      </c>
      <c r="T258" t="s">
        <v>725</v>
      </c>
      <c r="U258" t="s">
        <v>884</v>
      </c>
      <c r="V258" t="s">
        <v>889</v>
      </c>
      <c r="W258" t="s">
        <v>886</v>
      </c>
      <c r="X258" t="s">
        <v>751</v>
      </c>
      <c r="Y258" t="s">
        <v>46</v>
      </c>
      <c r="Z258" t="s">
        <v>893</v>
      </c>
      <c r="AA258" t="s">
        <v>752</v>
      </c>
      <c r="AB258" t="s">
        <v>753</v>
      </c>
      <c r="AC258" t="s">
        <v>428</v>
      </c>
      <c r="AD258" t="s">
        <v>39</v>
      </c>
      <c r="AE258" t="s">
        <v>46</v>
      </c>
      <c r="AF258">
        <f>7*24</f>
        <v>168</v>
      </c>
      <c r="AG258" t="s">
        <v>40</v>
      </c>
      <c r="AH258" t="s">
        <v>50</v>
      </c>
      <c r="AI258" t="s">
        <v>46</v>
      </c>
      <c r="AJ258" t="s">
        <v>47</v>
      </c>
      <c r="AK258" t="s">
        <v>48</v>
      </c>
      <c r="AL258">
        <v>24</v>
      </c>
      <c r="AM258" t="s">
        <v>46</v>
      </c>
      <c r="AN258" t="s">
        <v>46</v>
      </c>
      <c r="AO258" t="s">
        <v>46</v>
      </c>
      <c r="AP258" t="s">
        <v>63</v>
      </c>
      <c r="AQ258" t="s">
        <v>46</v>
      </c>
      <c r="AR258" t="s">
        <v>50</v>
      </c>
      <c r="AS258" t="s">
        <v>1648</v>
      </c>
      <c r="AT258" t="s">
        <v>63</v>
      </c>
      <c r="AU258" t="s">
        <v>46</v>
      </c>
      <c r="AV258">
        <v>2021</v>
      </c>
      <c r="AW258" t="s">
        <v>894</v>
      </c>
    </row>
    <row r="259" spans="1:49" x14ac:dyDescent="0.2">
      <c r="A259">
        <v>258</v>
      </c>
      <c r="B259" t="s">
        <v>882</v>
      </c>
      <c r="C259" t="s">
        <v>883</v>
      </c>
      <c r="D259">
        <v>1.2</v>
      </c>
      <c r="E259" t="s">
        <v>68</v>
      </c>
      <c r="F259">
        <f>D259-0</f>
        <v>1.2</v>
      </c>
      <c r="G259">
        <f>1068-D259</f>
        <v>1066.8</v>
      </c>
      <c r="H259" t="s">
        <v>69</v>
      </c>
      <c r="I259">
        <v>3</v>
      </c>
      <c r="J259">
        <v>1</v>
      </c>
      <c r="K259" t="s">
        <v>725</v>
      </c>
      <c r="L259" t="s">
        <v>895</v>
      </c>
      <c r="M259">
        <v>810</v>
      </c>
      <c r="N259" t="s">
        <v>68</v>
      </c>
      <c r="O259">
        <f>M259-191.6</f>
        <v>618.4</v>
      </c>
      <c r="P259">
        <f>47459-M259</f>
        <v>46649</v>
      </c>
      <c r="Q259" t="s">
        <v>69</v>
      </c>
      <c r="R259">
        <v>3</v>
      </c>
      <c r="S259">
        <v>1</v>
      </c>
      <c r="T259" t="s">
        <v>725</v>
      </c>
      <c r="U259" t="s">
        <v>884</v>
      </c>
      <c r="V259" t="s">
        <v>890</v>
      </c>
      <c r="W259" t="s">
        <v>887</v>
      </c>
      <c r="X259" t="s">
        <v>891</v>
      </c>
      <c r="Y259" t="s">
        <v>46</v>
      </c>
      <c r="Z259" t="s">
        <v>893</v>
      </c>
      <c r="AA259" t="s">
        <v>892</v>
      </c>
      <c r="AB259" t="s">
        <v>753</v>
      </c>
      <c r="AC259" t="s">
        <v>428</v>
      </c>
      <c r="AD259" t="s">
        <v>39</v>
      </c>
      <c r="AE259" t="s">
        <v>46</v>
      </c>
      <c r="AF259">
        <f>7*24</f>
        <v>168</v>
      </c>
      <c r="AG259" s="3" t="s">
        <v>40</v>
      </c>
      <c r="AH259" t="s">
        <v>50</v>
      </c>
      <c r="AI259" t="s">
        <v>46</v>
      </c>
      <c r="AJ259" t="s">
        <v>47</v>
      </c>
      <c r="AK259" t="s">
        <v>48</v>
      </c>
      <c r="AL259">
        <v>24</v>
      </c>
      <c r="AM259" t="s">
        <v>46</v>
      </c>
      <c r="AN259" t="s">
        <v>46</v>
      </c>
      <c r="AO259" t="s">
        <v>46</v>
      </c>
      <c r="AP259" t="s">
        <v>63</v>
      </c>
      <c r="AQ259" t="s">
        <v>46</v>
      </c>
      <c r="AR259" t="s">
        <v>50</v>
      </c>
      <c r="AS259" t="s">
        <v>1631</v>
      </c>
      <c r="AT259" t="s">
        <v>63</v>
      </c>
      <c r="AU259" t="s">
        <v>46</v>
      </c>
      <c r="AV259">
        <v>2021</v>
      </c>
      <c r="AW259" t="s">
        <v>897</v>
      </c>
    </row>
    <row r="260" spans="1:49" x14ac:dyDescent="0.2">
      <c r="A260">
        <v>259</v>
      </c>
      <c r="B260" t="s">
        <v>882</v>
      </c>
      <c r="C260" t="s">
        <v>883</v>
      </c>
      <c r="D260">
        <v>1.2</v>
      </c>
      <c r="E260" t="s">
        <v>68</v>
      </c>
      <c r="F260">
        <f>D260-0</f>
        <v>1.2</v>
      </c>
      <c r="G260">
        <f>1068-D260</f>
        <v>1066.8</v>
      </c>
      <c r="H260" t="s">
        <v>69</v>
      </c>
      <c r="I260">
        <v>3</v>
      </c>
      <c r="J260">
        <v>1</v>
      </c>
      <c r="K260" t="s">
        <v>725</v>
      </c>
      <c r="L260" t="s">
        <v>896</v>
      </c>
      <c r="M260">
        <v>7.1</v>
      </c>
      <c r="N260" s="3" t="s">
        <v>68</v>
      </c>
      <c r="O260">
        <f>M260-1.2</f>
        <v>5.8999999999999995</v>
      </c>
      <c r="P260">
        <f>42-M260</f>
        <v>34.9</v>
      </c>
      <c r="Q260" t="s">
        <v>69</v>
      </c>
      <c r="R260">
        <v>3</v>
      </c>
      <c r="S260">
        <v>1</v>
      </c>
      <c r="T260" t="s">
        <v>725</v>
      </c>
      <c r="U260" s="3" t="s">
        <v>884</v>
      </c>
      <c r="V260" t="s">
        <v>890</v>
      </c>
      <c r="W260" t="s">
        <v>888</v>
      </c>
      <c r="X260" t="s">
        <v>891</v>
      </c>
      <c r="Y260" t="s">
        <v>46</v>
      </c>
      <c r="Z260" t="s">
        <v>893</v>
      </c>
      <c r="AA260" t="s">
        <v>892</v>
      </c>
      <c r="AB260" t="s">
        <v>753</v>
      </c>
      <c r="AC260" t="s">
        <v>428</v>
      </c>
      <c r="AD260" t="s">
        <v>39</v>
      </c>
      <c r="AE260" t="s">
        <v>46</v>
      </c>
      <c r="AF260">
        <v>168</v>
      </c>
      <c r="AG260" s="3" t="s">
        <v>40</v>
      </c>
      <c r="AH260" t="s">
        <v>50</v>
      </c>
      <c r="AI260" t="s">
        <v>46</v>
      </c>
      <c r="AJ260" t="s">
        <v>47</v>
      </c>
      <c r="AK260" t="s">
        <v>48</v>
      </c>
      <c r="AL260">
        <v>24</v>
      </c>
      <c r="AM260" t="s">
        <v>46</v>
      </c>
      <c r="AN260" t="s">
        <v>46</v>
      </c>
      <c r="AO260" t="s">
        <v>46</v>
      </c>
      <c r="AP260" t="s">
        <v>63</v>
      </c>
      <c r="AQ260" t="s">
        <v>46</v>
      </c>
      <c r="AR260" t="s">
        <v>50</v>
      </c>
      <c r="AS260" t="s">
        <v>1648</v>
      </c>
      <c r="AT260" t="s">
        <v>63</v>
      </c>
      <c r="AU260" t="s">
        <v>46</v>
      </c>
      <c r="AV260">
        <v>2021</v>
      </c>
      <c r="AW260" t="s">
        <v>897</v>
      </c>
    </row>
    <row r="261" spans="1:49" x14ac:dyDescent="0.2">
      <c r="A261">
        <v>260</v>
      </c>
      <c r="B261" t="s">
        <v>898</v>
      </c>
      <c r="C261" t="s">
        <v>899</v>
      </c>
      <c r="D261">
        <v>14.9</v>
      </c>
      <c r="E261" t="s">
        <v>68</v>
      </c>
      <c r="F261">
        <f>D261-12.5</f>
        <v>2.4000000000000004</v>
      </c>
      <c r="G261">
        <f>17.4-D261</f>
        <v>2.4999999999999982</v>
      </c>
      <c r="H261" t="s">
        <v>69</v>
      </c>
      <c r="I261">
        <v>5</v>
      </c>
      <c r="J261">
        <v>10</v>
      </c>
      <c r="K261" t="s">
        <v>456</v>
      </c>
      <c r="L261" t="s">
        <v>900</v>
      </c>
      <c r="M261">
        <v>41.3</v>
      </c>
      <c r="N261" t="s">
        <v>68</v>
      </c>
      <c r="O261">
        <f>M261-30.9</f>
        <v>10.399999999999999</v>
      </c>
      <c r="P261">
        <f>51.7-M261</f>
        <v>10.400000000000006</v>
      </c>
      <c r="Q261" t="s">
        <v>69</v>
      </c>
      <c r="R261">
        <v>5</v>
      </c>
      <c r="S261">
        <v>10</v>
      </c>
      <c r="T261" t="s">
        <v>456</v>
      </c>
      <c r="U261" t="s">
        <v>156</v>
      </c>
      <c r="V261" t="s">
        <v>901</v>
      </c>
      <c r="W261" t="s">
        <v>902</v>
      </c>
      <c r="X261" t="s">
        <v>461</v>
      </c>
      <c r="Y261" t="s">
        <v>46</v>
      </c>
      <c r="Z261" t="s">
        <v>903</v>
      </c>
      <c r="AA261" t="s">
        <v>462</v>
      </c>
      <c r="AB261" t="s">
        <v>74</v>
      </c>
      <c r="AC261" t="s">
        <v>38</v>
      </c>
      <c r="AD261" t="s">
        <v>169</v>
      </c>
      <c r="AE261" t="s">
        <v>75</v>
      </c>
      <c r="AF261">
        <f>29*24</f>
        <v>696</v>
      </c>
      <c r="AG261" t="s">
        <v>826</v>
      </c>
      <c r="AH261" t="s">
        <v>50</v>
      </c>
      <c r="AI261" t="s">
        <v>46</v>
      </c>
      <c r="AJ261" t="s">
        <v>47</v>
      </c>
      <c r="AK261" t="s">
        <v>48</v>
      </c>
      <c r="AL261">
        <v>20</v>
      </c>
      <c r="AM261" t="s">
        <v>46</v>
      </c>
      <c r="AN261" t="s">
        <v>76</v>
      </c>
      <c r="AO261" t="s">
        <v>46</v>
      </c>
      <c r="AP261" t="s">
        <v>63</v>
      </c>
      <c r="AQ261" t="s">
        <v>46</v>
      </c>
      <c r="AR261" t="s">
        <v>50</v>
      </c>
      <c r="AS261" t="s">
        <v>1649</v>
      </c>
      <c r="AT261" t="s">
        <v>63</v>
      </c>
      <c r="AU261" t="s">
        <v>46</v>
      </c>
      <c r="AV261">
        <v>2019</v>
      </c>
      <c r="AW261" t="s">
        <v>904</v>
      </c>
    </row>
    <row r="262" spans="1:49" x14ac:dyDescent="0.2">
      <c r="A262">
        <v>261</v>
      </c>
      <c r="B262" t="s">
        <v>905</v>
      </c>
      <c r="C262" t="s">
        <v>120</v>
      </c>
      <c r="D262">
        <v>0.1</v>
      </c>
      <c r="E262" t="s">
        <v>42</v>
      </c>
      <c r="F262">
        <f>D262-0.08</f>
        <v>2.0000000000000004E-2</v>
      </c>
      <c r="G262">
        <f>0.45-D262</f>
        <v>0.35</v>
      </c>
      <c r="H262" t="s">
        <v>69</v>
      </c>
      <c r="I262">
        <f>3*4</f>
        <v>12</v>
      </c>
      <c r="J262">
        <v>25</v>
      </c>
      <c r="K262" t="s">
        <v>906</v>
      </c>
      <c r="L262" t="s">
        <v>907</v>
      </c>
      <c r="M262">
        <v>2.5</v>
      </c>
      <c r="N262" t="s">
        <v>42</v>
      </c>
      <c r="O262">
        <f>M262-1.38</f>
        <v>1.1200000000000001</v>
      </c>
      <c r="P262">
        <f>4.13-M262</f>
        <v>1.63</v>
      </c>
      <c r="Q262" t="s">
        <v>69</v>
      </c>
      <c r="R262">
        <f>3*4</f>
        <v>12</v>
      </c>
      <c r="S262">
        <v>25</v>
      </c>
      <c r="T262" t="s">
        <v>906</v>
      </c>
      <c r="U262" t="s">
        <v>46</v>
      </c>
      <c r="V262" t="s">
        <v>908</v>
      </c>
      <c r="W262" t="s">
        <v>909</v>
      </c>
      <c r="X262" t="s">
        <v>910</v>
      </c>
      <c r="Y262" t="s">
        <v>911</v>
      </c>
      <c r="Z262" t="s">
        <v>912</v>
      </c>
      <c r="AA262" t="s">
        <v>232</v>
      </c>
      <c r="AB262" t="s">
        <v>74</v>
      </c>
      <c r="AC262" t="s">
        <v>38</v>
      </c>
      <c r="AD262" t="s">
        <v>169</v>
      </c>
      <c r="AE262" t="s">
        <v>180</v>
      </c>
      <c r="AF262">
        <v>240</v>
      </c>
      <c r="AG262" t="s">
        <v>77</v>
      </c>
      <c r="AH262" t="s">
        <v>63</v>
      </c>
      <c r="AI262" t="s">
        <v>46</v>
      </c>
      <c r="AJ262" t="s">
        <v>913</v>
      </c>
      <c r="AK262" t="s">
        <v>48</v>
      </c>
      <c r="AL262" t="s">
        <v>46</v>
      </c>
      <c r="AM262" t="s">
        <v>46</v>
      </c>
      <c r="AN262" t="s">
        <v>76</v>
      </c>
      <c r="AO262" t="s">
        <v>914</v>
      </c>
      <c r="AP262" t="s">
        <v>50</v>
      </c>
      <c r="AQ262" t="s">
        <v>46</v>
      </c>
      <c r="AR262" t="s">
        <v>50</v>
      </c>
      <c r="AS262" t="s">
        <v>1637</v>
      </c>
      <c r="AT262" t="s">
        <v>1634</v>
      </c>
      <c r="AU262" t="s">
        <v>46</v>
      </c>
      <c r="AV262">
        <v>2022</v>
      </c>
      <c r="AW262" t="s">
        <v>46</v>
      </c>
    </row>
    <row r="263" spans="1:49" x14ac:dyDescent="0.2">
      <c r="A263">
        <v>262</v>
      </c>
      <c r="B263" t="s">
        <v>905</v>
      </c>
      <c r="C263" t="s">
        <v>915</v>
      </c>
      <c r="D263">
        <v>5</v>
      </c>
      <c r="E263" t="s">
        <v>42</v>
      </c>
      <c r="F263">
        <f>D263-2.91</f>
        <v>2.09</v>
      </c>
      <c r="G263">
        <f>5.83-D263</f>
        <v>0.83000000000000007</v>
      </c>
      <c r="H263" t="s">
        <v>69</v>
      </c>
      <c r="I263">
        <f>3*4</f>
        <v>12</v>
      </c>
      <c r="J263">
        <v>25</v>
      </c>
      <c r="K263" t="s">
        <v>906</v>
      </c>
      <c r="L263" t="s">
        <v>916</v>
      </c>
      <c r="M263">
        <v>5</v>
      </c>
      <c r="N263" t="s">
        <v>42</v>
      </c>
      <c r="O263">
        <f>M263-2.93</f>
        <v>2.0699999999999998</v>
      </c>
      <c r="P263">
        <f>5.47-M263</f>
        <v>0.46999999999999975</v>
      </c>
      <c r="Q263" t="s">
        <v>69</v>
      </c>
      <c r="R263">
        <f>3*4</f>
        <v>12</v>
      </c>
      <c r="S263">
        <v>25</v>
      </c>
      <c r="T263" t="s">
        <v>906</v>
      </c>
      <c r="U263" t="s">
        <v>46</v>
      </c>
      <c r="V263" t="s">
        <v>917</v>
      </c>
      <c r="W263" t="s">
        <v>918</v>
      </c>
      <c r="X263" t="s">
        <v>910</v>
      </c>
      <c r="Y263" t="s">
        <v>911</v>
      </c>
      <c r="Z263" t="s">
        <v>912</v>
      </c>
      <c r="AA263" t="s">
        <v>232</v>
      </c>
      <c r="AB263" t="s">
        <v>74</v>
      </c>
      <c r="AC263" t="s">
        <v>38</v>
      </c>
      <c r="AD263" t="s">
        <v>169</v>
      </c>
      <c r="AE263" t="s">
        <v>180</v>
      </c>
      <c r="AF263">
        <v>240</v>
      </c>
      <c r="AG263" t="s">
        <v>919</v>
      </c>
      <c r="AH263" t="s">
        <v>63</v>
      </c>
      <c r="AI263" t="s">
        <v>46</v>
      </c>
      <c r="AJ263" t="s">
        <v>913</v>
      </c>
      <c r="AK263" t="s">
        <v>48</v>
      </c>
      <c r="AL263" t="s">
        <v>46</v>
      </c>
      <c r="AM263" t="s">
        <v>46</v>
      </c>
      <c r="AN263" t="s">
        <v>76</v>
      </c>
      <c r="AO263" t="s">
        <v>914</v>
      </c>
      <c r="AP263" t="s">
        <v>50</v>
      </c>
      <c r="AQ263" t="s">
        <v>46</v>
      </c>
      <c r="AR263" t="s">
        <v>50</v>
      </c>
      <c r="AS263" t="s">
        <v>1637</v>
      </c>
      <c r="AT263" t="s">
        <v>1634</v>
      </c>
      <c r="AU263" t="s">
        <v>46</v>
      </c>
      <c r="AV263">
        <v>2022</v>
      </c>
      <c r="AW263" t="s">
        <v>46</v>
      </c>
    </row>
    <row r="264" spans="1:49" x14ac:dyDescent="0.2">
      <c r="A264">
        <v>263</v>
      </c>
      <c r="B264" t="s">
        <v>905</v>
      </c>
      <c r="C264" t="s">
        <v>205</v>
      </c>
      <c r="D264">
        <v>5</v>
      </c>
      <c r="E264" t="s">
        <v>42</v>
      </c>
      <c r="F264">
        <f>D264-2.78</f>
        <v>2.2200000000000002</v>
      </c>
      <c r="G264">
        <f>6.43-D264</f>
        <v>1.4299999999999997</v>
      </c>
      <c r="H264" t="s">
        <v>69</v>
      </c>
      <c r="I264">
        <f>3*4</f>
        <v>12</v>
      </c>
      <c r="J264">
        <v>25</v>
      </c>
      <c r="K264" t="s">
        <v>906</v>
      </c>
      <c r="L264" t="s">
        <v>920</v>
      </c>
      <c r="M264">
        <v>5</v>
      </c>
      <c r="N264" t="s">
        <v>42</v>
      </c>
      <c r="O264">
        <f>M264-2.86</f>
        <v>2.14</v>
      </c>
      <c r="P264">
        <f>6.32-M264</f>
        <v>1.3200000000000003</v>
      </c>
      <c r="Q264" t="s">
        <v>69</v>
      </c>
      <c r="R264">
        <f>3*4</f>
        <v>12</v>
      </c>
      <c r="S264">
        <v>25</v>
      </c>
      <c r="T264" t="s">
        <v>906</v>
      </c>
      <c r="U264" t="s">
        <v>46</v>
      </c>
      <c r="V264" t="s">
        <v>921</v>
      </c>
      <c r="W264" t="s">
        <v>922</v>
      </c>
      <c r="X264" t="s">
        <v>910</v>
      </c>
      <c r="Y264" t="s">
        <v>911</v>
      </c>
      <c r="Z264" t="s">
        <v>912</v>
      </c>
      <c r="AA264" t="s">
        <v>232</v>
      </c>
      <c r="AB264" t="s">
        <v>74</v>
      </c>
      <c r="AC264" t="s">
        <v>38</v>
      </c>
      <c r="AD264" t="s">
        <v>169</v>
      </c>
      <c r="AE264" t="s">
        <v>180</v>
      </c>
      <c r="AF264">
        <v>240</v>
      </c>
      <c r="AG264" t="s">
        <v>77</v>
      </c>
      <c r="AH264" t="s">
        <v>63</v>
      </c>
      <c r="AI264" t="s">
        <v>46</v>
      </c>
      <c r="AJ264" t="s">
        <v>913</v>
      </c>
      <c r="AK264" t="s">
        <v>48</v>
      </c>
      <c r="AL264" t="s">
        <v>46</v>
      </c>
      <c r="AM264" t="s">
        <v>46</v>
      </c>
      <c r="AN264" t="s">
        <v>76</v>
      </c>
      <c r="AO264" t="s">
        <v>914</v>
      </c>
      <c r="AP264" t="s">
        <v>50</v>
      </c>
      <c r="AQ264" t="s">
        <v>46</v>
      </c>
      <c r="AR264" t="s">
        <v>50</v>
      </c>
      <c r="AS264" t="s">
        <v>1637</v>
      </c>
      <c r="AT264" t="s">
        <v>1634</v>
      </c>
      <c r="AU264" t="s">
        <v>46</v>
      </c>
      <c r="AV264">
        <v>2022</v>
      </c>
      <c r="AW264" t="s">
        <v>46</v>
      </c>
    </row>
    <row r="265" spans="1:49" x14ac:dyDescent="0.2">
      <c r="A265">
        <v>264</v>
      </c>
      <c r="B265" t="s">
        <v>905</v>
      </c>
      <c r="C265" t="s">
        <v>923</v>
      </c>
      <c r="D265">
        <v>2.5</v>
      </c>
      <c r="E265" t="s">
        <v>42</v>
      </c>
      <c r="F265">
        <f>D265-1.82</f>
        <v>0.67999999999999994</v>
      </c>
      <c r="G265">
        <f>5.08-D265</f>
        <v>2.58</v>
      </c>
      <c r="H265" t="s">
        <v>69</v>
      </c>
      <c r="I265">
        <f>3*4</f>
        <v>12</v>
      </c>
      <c r="J265">
        <v>25</v>
      </c>
      <c r="K265" t="s">
        <v>906</v>
      </c>
      <c r="L265" t="s">
        <v>924</v>
      </c>
      <c r="M265">
        <v>2.5</v>
      </c>
      <c r="N265" t="s">
        <v>42</v>
      </c>
      <c r="O265">
        <f>M265-1.95</f>
        <v>0.55000000000000004</v>
      </c>
      <c r="P265">
        <f>4.47-M265</f>
        <v>1.9699999999999998</v>
      </c>
      <c r="Q265" t="s">
        <v>69</v>
      </c>
      <c r="R265">
        <f>3*4</f>
        <v>12</v>
      </c>
      <c r="S265">
        <v>25</v>
      </c>
      <c r="T265" t="s">
        <v>906</v>
      </c>
      <c r="U265" t="s">
        <v>46</v>
      </c>
      <c r="V265" t="s">
        <v>925</v>
      </c>
      <c r="W265" t="s">
        <v>926</v>
      </c>
      <c r="X265" t="s">
        <v>910</v>
      </c>
      <c r="Y265" t="s">
        <v>911</v>
      </c>
      <c r="Z265" t="s">
        <v>912</v>
      </c>
      <c r="AA265" t="s">
        <v>232</v>
      </c>
      <c r="AB265" t="s">
        <v>74</v>
      </c>
      <c r="AC265" t="s">
        <v>38</v>
      </c>
      <c r="AD265" t="s">
        <v>169</v>
      </c>
      <c r="AE265" t="s">
        <v>180</v>
      </c>
      <c r="AF265">
        <v>240</v>
      </c>
      <c r="AG265" t="s">
        <v>826</v>
      </c>
      <c r="AH265" t="s">
        <v>63</v>
      </c>
      <c r="AI265" t="s">
        <v>46</v>
      </c>
      <c r="AJ265" t="s">
        <v>913</v>
      </c>
      <c r="AK265" t="s">
        <v>48</v>
      </c>
      <c r="AL265" t="s">
        <v>46</v>
      </c>
      <c r="AM265" t="s">
        <v>46</v>
      </c>
      <c r="AN265" t="s">
        <v>76</v>
      </c>
      <c r="AO265" t="s">
        <v>914</v>
      </c>
      <c r="AP265" t="s">
        <v>50</v>
      </c>
      <c r="AQ265" t="s">
        <v>46</v>
      </c>
      <c r="AR265" t="s">
        <v>50</v>
      </c>
      <c r="AS265" t="s">
        <v>1637</v>
      </c>
      <c r="AT265" t="s">
        <v>1634</v>
      </c>
      <c r="AU265" t="s">
        <v>46</v>
      </c>
      <c r="AV265">
        <v>2022</v>
      </c>
      <c r="AW265" t="s">
        <v>46</v>
      </c>
    </row>
    <row r="266" spans="1:49" x14ac:dyDescent="0.2">
      <c r="A266">
        <v>265</v>
      </c>
      <c r="B266" t="s">
        <v>927</v>
      </c>
      <c r="C266" t="s">
        <v>201</v>
      </c>
      <c r="D266">
        <v>97.9</v>
      </c>
      <c r="E266" t="s">
        <v>42</v>
      </c>
      <c r="F266">
        <f>D266-81.4</f>
        <v>16.5</v>
      </c>
      <c r="G266">
        <f>127.7-D266</f>
        <v>29.799999999999997</v>
      </c>
      <c r="H266" t="s">
        <v>69</v>
      </c>
      <c r="I266">
        <v>5</v>
      </c>
      <c r="J266">
        <v>20</v>
      </c>
      <c r="K266" t="s">
        <v>928</v>
      </c>
      <c r="L266" t="s">
        <v>929</v>
      </c>
      <c r="M266">
        <v>38</v>
      </c>
      <c r="N266" t="s">
        <v>42</v>
      </c>
      <c r="O266">
        <f>M266-32</f>
        <v>6</v>
      </c>
      <c r="P266">
        <f>48-M266</f>
        <v>10</v>
      </c>
      <c r="Q266" t="s">
        <v>69</v>
      </c>
      <c r="R266">
        <v>5</v>
      </c>
      <c r="S266">
        <v>20</v>
      </c>
      <c r="T266" t="s">
        <v>928</v>
      </c>
      <c r="U266" t="s">
        <v>156</v>
      </c>
      <c r="V266" t="s">
        <v>930</v>
      </c>
      <c r="W266" t="s">
        <v>931</v>
      </c>
      <c r="X266" t="s">
        <v>257</v>
      </c>
      <c r="Y266" t="s">
        <v>258</v>
      </c>
      <c r="Z266" t="s">
        <v>46</v>
      </c>
      <c r="AA266" t="s">
        <v>73</v>
      </c>
      <c r="AB266" t="s">
        <v>74</v>
      </c>
      <c r="AC266" t="s">
        <v>38</v>
      </c>
      <c r="AD266" t="s">
        <v>39</v>
      </c>
      <c r="AE266" t="s">
        <v>465</v>
      </c>
      <c r="AF266">
        <v>24</v>
      </c>
      <c r="AG266" t="s">
        <v>77</v>
      </c>
      <c r="AH266" t="s">
        <v>50</v>
      </c>
      <c r="AI266" t="s">
        <v>46</v>
      </c>
      <c r="AJ266" t="s">
        <v>47</v>
      </c>
      <c r="AK266" t="s">
        <v>61</v>
      </c>
      <c r="AL266">
        <v>21</v>
      </c>
      <c r="AM266" t="s">
        <v>46</v>
      </c>
      <c r="AN266" t="s">
        <v>46</v>
      </c>
      <c r="AO266">
        <v>24</v>
      </c>
      <c r="AP266" t="s">
        <v>63</v>
      </c>
      <c r="AQ266" t="s">
        <v>46</v>
      </c>
      <c r="AR266" t="s">
        <v>50</v>
      </c>
      <c r="AS266" t="s">
        <v>1629</v>
      </c>
      <c r="AT266" t="s">
        <v>63</v>
      </c>
      <c r="AU266" t="s">
        <v>46</v>
      </c>
      <c r="AV266">
        <v>2009</v>
      </c>
      <c r="AW266" t="s">
        <v>932</v>
      </c>
    </row>
    <row r="267" spans="1:49" x14ac:dyDescent="0.2">
      <c r="A267">
        <v>266</v>
      </c>
      <c r="B267" t="s">
        <v>927</v>
      </c>
      <c r="C267" t="s">
        <v>201</v>
      </c>
      <c r="D267">
        <v>56.6</v>
      </c>
      <c r="E267" t="s">
        <v>42</v>
      </c>
      <c r="F267">
        <f>D267-34.4</f>
        <v>22.200000000000003</v>
      </c>
      <c r="G267">
        <f>77.2-D267</f>
        <v>20.6</v>
      </c>
      <c r="H267" t="s">
        <v>69</v>
      </c>
      <c r="I267">
        <v>5</v>
      </c>
      <c r="J267">
        <v>20</v>
      </c>
      <c r="K267" t="s">
        <v>928</v>
      </c>
      <c r="L267" t="s">
        <v>929</v>
      </c>
      <c r="M267">
        <v>30</v>
      </c>
      <c r="N267" t="s">
        <v>42</v>
      </c>
      <c r="O267">
        <f>M267-28</f>
        <v>2</v>
      </c>
      <c r="P267">
        <f>44-M267</f>
        <v>14</v>
      </c>
      <c r="Q267" t="s">
        <v>69</v>
      </c>
      <c r="R267">
        <v>5</v>
      </c>
      <c r="S267">
        <v>20</v>
      </c>
      <c r="T267" t="s">
        <v>928</v>
      </c>
      <c r="U267" t="s">
        <v>156</v>
      </c>
      <c r="V267" t="s">
        <v>933</v>
      </c>
      <c r="W267" t="s">
        <v>931</v>
      </c>
      <c r="X267" t="s">
        <v>257</v>
      </c>
      <c r="Y267" t="s">
        <v>258</v>
      </c>
      <c r="Z267" t="s">
        <v>46</v>
      </c>
      <c r="AA267" t="s">
        <v>73</v>
      </c>
      <c r="AB267" t="s">
        <v>74</v>
      </c>
      <c r="AC267" t="s">
        <v>38</v>
      </c>
      <c r="AD267" t="s">
        <v>39</v>
      </c>
      <c r="AE267" t="s">
        <v>465</v>
      </c>
      <c r="AF267">
        <v>48</v>
      </c>
      <c r="AG267" t="s">
        <v>77</v>
      </c>
      <c r="AH267" t="s">
        <v>50</v>
      </c>
      <c r="AI267" t="s">
        <v>46</v>
      </c>
      <c r="AJ267" t="s">
        <v>47</v>
      </c>
      <c r="AK267" t="s">
        <v>61</v>
      </c>
      <c r="AL267">
        <v>21</v>
      </c>
      <c r="AM267" t="s">
        <v>46</v>
      </c>
      <c r="AN267" t="s">
        <v>46</v>
      </c>
      <c r="AO267">
        <v>24</v>
      </c>
      <c r="AP267" t="s">
        <v>63</v>
      </c>
      <c r="AQ267" t="s">
        <v>46</v>
      </c>
      <c r="AR267" t="s">
        <v>50</v>
      </c>
      <c r="AS267" t="s">
        <v>1629</v>
      </c>
      <c r="AT267" t="s">
        <v>63</v>
      </c>
      <c r="AU267" t="s">
        <v>46</v>
      </c>
      <c r="AV267">
        <v>2009</v>
      </c>
      <c r="AW267" t="s">
        <v>932</v>
      </c>
    </row>
    <row r="268" spans="1:49" x14ac:dyDescent="0.2">
      <c r="A268">
        <v>267</v>
      </c>
      <c r="B268" t="s">
        <v>927</v>
      </c>
      <c r="C268" t="s">
        <v>201</v>
      </c>
      <c r="D268">
        <v>61.9</v>
      </c>
      <c r="E268" t="s">
        <v>413</v>
      </c>
      <c r="F268">
        <f>D268-61.9</f>
        <v>0</v>
      </c>
      <c r="G268">
        <f>62-D268</f>
        <v>0.10000000000000142</v>
      </c>
      <c r="H268" t="s">
        <v>69</v>
      </c>
      <c r="I268">
        <v>2</v>
      </c>
      <c r="J268">
        <v>2</v>
      </c>
      <c r="K268" t="s">
        <v>934</v>
      </c>
      <c r="L268" t="s">
        <v>929</v>
      </c>
      <c r="M268">
        <v>56</v>
      </c>
      <c r="N268" t="s">
        <v>413</v>
      </c>
      <c r="O268">
        <f>M268-30</f>
        <v>26</v>
      </c>
      <c r="P268">
        <f>82-M268</f>
        <v>26</v>
      </c>
      <c r="Q268" t="s">
        <v>69</v>
      </c>
      <c r="R268">
        <v>2</v>
      </c>
      <c r="S268">
        <v>2</v>
      </c>
      <c r="T268" t="s">
        <v>934</v>
      </c>
      <c r="U268" t="s">
        <v>935</v>
      </c>
      <c r="V268" t="s">
        <v>936</v>
      </c>
      <c r="W268" t="s">
        <v>937</v>
      </c>
      <c r="X268" t="s">
        <v>418</v>
      </c>
      <c r="Y268" t="s">
        <v>46</v>
      </c>
      <c r="Z268" t="s">
        <v>46</v>
      </c>
      <c r="AA268" t="s">
        <v>419</v>
      </c>
      <c r="AB268" t="s">
        <v>420</v>
      </c>
      <c r="AC268" t="s">
        <v>421</v>
      </c>
      <c r="AD268" t="s">
        <v>39</v>
      </c>
      <c r="AE268" t="s">
        <v>46</v>
      </c>
      <c r="AF268">
        <v>0.5</v>
      </c>
      <c r="AG268" t="s">
        <v>77</v>
      </c>
      <c r="AH268" t="s">
        <v>50</v>
      </c>
      <c r="AI268" t="s">
        <v>46</v>
      </c>
      <c r="AJ268" t="s">
        <v>47</v>
      </c>
      <c r="AK268" t="s">
        <v>61</v>
      </c>
      <c r="AL268">
        <v>15</v>
      </c>
      <c r="AM268" t="s">
        <v>46</v>
      </c>
      <c r="AN268" t="s">
        <v>46</v>
      </c>
      <c r="AO268" t="s">
        <v>46</v>
      </c>
      <c r="AP268" t="s">
        <v>63</v>
      </c>
      <c r="AQ268" t="s">
        <v>46</v>
      </c>
      <c r="AR268" t="s">
        <v>50</v>
      </c>
      <c r="AS268" t="s">
        <v>1629</v>
      </c>
      <c r="AT268" t="s">
        <v>63</v>
      </c>
      <c r="AU268" t="s">
        <v>46</v>
      </c>
      <c r="AV268">
        <v>2009</v>
      </c>
      <c r="AW268" t="s">
        <v>938</v>
      </c>
    </row>
    <row r="269" spans="1:49" x14ac:dyDescent="0.2">
      <c r="A269">
        <v>268</v>
      </c>
      <c r="B269" t="s">
        <v>927</v>
      </c>
      <c r="C269" t="s">
        <v>201</v>
      </c>
      <c r="D269">
        <v>241</v>
      </c>
      <c r="E269" t="s">
        <v>42</v>
      </c>
      <c r="F269">
        <f>D269-224</f>
        <v>17</v>
      </c>
      <c r="G269">
        <f>257-D269</f>
        <v>16</v>
      </c>
      <c r="H269" t="s">
        <v>69</v>
      </c>
      <c r="I269">
        <v>6</v>
      </c>
      <c r="J269">
        <v>7</v>
      </c>
      <c r="K269" t="s">
        <v>939</v>
      </c>
      <c r="L269" t="s">
        <v>929</v>
      </c>
      <c r="M269">
        <v>214</v>
      </c>
      <c r="N269" t="s">
        <v>42</v>
      </c>
      <c r="O269">
        <f>M269-202</f>
        <v>12</v>
      </c>
      <c r="P269">
        <f>230-M269</f>
        <v>16</v>
      </c>
      <c r="Q269" t="s">
        <v>69</v>
      </c>
      <c r="R269">
        <v>6</v>
      </c>
      <c r="S269">
        <v>7</v>
      </c>
      <c r="T269" t="s">
        <v>939</v>
      </c>
      <c r="U269" t="s">
        <v>156</v>
      </c>
      <c r="V269" t="s">
        <v>940</v>
      </c>
      <c r="W269" t="s">
        <v>941</v>
      </c>
      <c r="X269" t="s">
        <v>34</v>
      </c>
      <c r="Y269" t="s">
        <v>35</v>
      </c>
      <c r="Z269" t="s">
        <v>942</v>
      </c>
      <c r="AA269" t="s">
        <v>36</v>
      </c>
      <c r="AB269" t="s">
        <v>37</v>
      </c>
      <c r="AC269" t="s">
        <v>38</v>
      </c>
      <c r="AD269" t="s">
        <v>39</v>
      </c>
      <c r="AE269" t="s">
        <v>75</v>
      </c>
      <c r="AF269">
        <v>96</v>
      </c>
      <c r="AG269" t="s">
        <v>77</v>
      </c>
      <c r="AH269" t="s">
        <v>50</v>
      </c>
      <c r="AI269" t="s">
        <v>46</v>
      </c>
      <c r="AJ269" t="s">
        <v>47</v>
      </c>
      <c r="AK269" t="s">
        <v>61</v>
      </c>
      <c r="AL269">
        <v>21</v>
      </c>
      <c r="AM269">
        <v>8.4</v>
      </c>
      <c r="AN269" t="s">
        <v>46</v>
      </c>
      <c r="AO269" t="s">
        <v>46</v>
      </c>
      <c r="AP269" t="s">
        <v>63</v>
      </c>
      <c r="AQ269">
        <v>140</v>
      </c>
      <c r="AR269" t="s">
        <v>50</v>
      </c>
      <c r="AS269" t="s">
        <v>1629</v>
      </c>
      <c r="AT269" t="s">
        <v>63</v>
      </c>
      <c r="AU269" t="s">
        <v>46</v>
      </c>
      <c r="AV269">
        <v>2009</v>
      </c>
      <c r="AW269" t="s">
        <v>46</v>
      </c>
    </row>
    <row r="270" spans="1:49" x14ac:dyDescent="0.2">
      <c r="A270">
        <v>269</v>
      </c>
      <c r="B270" t="s">
        <v>943</v>
      </c>
      <c r="C270" t="s">
        <v>944</v>
      </c>
      <c r="D270">
        <v>4.3599999999999998E-6</v>
      </c>
      <c r="E270" t="s">
        <v>68</v>
      </c>
      <c r="F270">
        <v>7.3E-7</v>
      </c>
      <c r="G270">
        <v>8.7000000000000003E-7</v>
      </c>
      <c r="H270" t="s">
        <v>69</v>
      </c>
      <c r="I270">
        <v>2</v>
      </c>
      <c r="J270">
        <v>2</v>
      </c>
      <c r="K270" t="s">
        <v>1676</v>
      </c>
      <c r="L270" t="s">
        <v>945</v>
      </c>
      <c r="M270">
        <v>4.6E-6</v>
      </c>
      <c r="N270" t="s">
        <v>68</v>
      </c>
      <c r="O270">
        <v>9.1999999999999998E-7</v>
      </c>
      <c r="P270">
        <v>1.1599999999999999E-6</v>
      </c>
      <c r="Q270" t="s">
        <v>69</v>
      </c>
      <c r="R270">
        <v>2</v>
      </c>
      <c r="S270">
        <v>2</v>
      </c>
      <c r="T270" t="s">
        <v>1676</v>
      </c>
      <c r="U270" t="s">
        <v>946</v>
      </c>
      <c r="V270" t="s">
        <v>954</v>
      </c>
      <c r="W270" t="s">
        <v>957</v>
      </c>
      <c r="X270" t="s">
        <v>947</v>
      </c>
      <c r="Y270" t="s">
        <v>46</v>
      </c>
      <c r="Z270" t="s">
        <v>46</v>
      </c>
      <c r="AA270" t="s">
        <v>419</v>
      </c>
      <c r="AB270" t="s">
        <v>948</v>
      </c>
      <c r="AC270" t="s">
        <v>421</v>
      </c>
      <c r="AD270" t="s">
        <v>39</v>
      </c>
      <c r="AE270" t="s">
        <v>46</v>
      </c>
      <c r="AF270">
        <v>0.5</v>
      </c>
      <c r="AG270" t="s">
        <v>40</v>
      </c>
      <c r="AH270" t="s">
        <v>50</v>
      </c>
      <c r="AI270" t="s">
        <v>46</v>
      </c>
      <c r="AJ270" t="s">
        <v>47</v>
      </c>
      <c r="AK270" t="s">
        <v>61</v>
      </c>
      <c r="AL270" t="s">
        <v>46</v>
      </c>
      <c r="AM270" t="s">
        <v>46</v>
      </c>
      <c r="AN270" t="s">
        <v>46</v>
      </c>
      <c r="AO270" t="s">
        <v>46</v>
      </c>
      <c r="AP270" t="s">
        <v>50</v>
      </c>
      <c r="AQ270" t="s">
        <v>46</v>
      </c>
      <c r="AR270" t="s">
        <v>50</v>
      </c>
      <c r="AS270" t="s">
        <v>1630</v>
      </c>
      <c r="AT270" t="s">
        <v>63</v>
      </c>
      <c r="AU270" t="s">
        <v>46</v>
      </c>
      <c r="AV270">
        <v>2018</v>
      </c>
      <c r="AW270" t="s">
        <v>1677</v>
      </c>
    </row>
    <row r="271" spans="1:49" x14ac:dyDescent="0.2">
      <c r="A271">
        <v>270</v>
      </c>
      <c r="B271" t="s">
        <v>943</v>
      </c>
      <c r="C271" t="s">
        <v>949</v>
      </c>
      <c r="D271">
        <v>2E-3</v>
      </c>
      <c r="E271" t="s">
        <v>68</v>
      </c>
      <c r="F271">
        <v>1.9959999999999999E-3</v>
      </c>
      <c r="G271">
        <v>8.9300000000000004E-2</v>
      </c>
      <c r="H271" t="s">
        <v>69</v>
      </c>
      <c r="I271">
        <v>2</v>
      </c>
      <c r="J271">
        <v>2</v>
      </c>
      <c r="K271" t="s">
        <v>1676</v>
      </c>
      <c r="L271" t="s">
        <v>950</v>
      </c>
      <c r="M271">
        <v>1.1E-4</v>
      </c>
      <c r="N271" t="s">
        <v>68</v>
      </c>
      <c r="O271">
        <v>3.1999999999999999E-5</v>
      </c>
      <c r="P271">
        <v>4.5000000000000003E-5</v>
      </c>
      <c r="Q271" t="s">
        <v>69</v>
      </c>
      <c r="R271">
        <v>2</v>
      </c>
      <c r="S271">
        <v>2</v>
      </c>
      <c r="T271" t="s">
        <v>1676</v>
      </c>
      <c r="U271" t="s">
        <v>946</v>
      </c>
      <c r="V271" t="s">
        <v>955</v>
      </c>
      <c r="W271" t="s">
        <v>958</v>
      </c>
      <c r="X271" t="s">
        <v>947</v>
      </c>
      <c r="Y271" t="s">
        <v>46</v>
      </c>
      <c r="Z271" t="s">
        <v>46</v>
      </c>
      <c r="AA271" t="s">
        <v>419</v>
      </c>
      <c r="AB271" t="s">
        <v>948</v>
      </c>
      <c r="AC271" t="s">
        <v>421</v>
      </c>
      <c r="AD271" t="s">
        <v>39</v>
      </c>
      <c r="AE271" t="s">
        <v>46</v>
      </c>
      <c r="AF271">
        <v>0.5</v>
      </c>
      <c r="AG271" t="s">
        <v>77</v>
      </c>
      <c r="AH271" t="s">
        <v>50</v>
      </c>
      <c r="AI271" t="s">
        <v>46</v>
      </c>
      <c r="AJ271" t="s">
        <v>47</v>
      </c>
      <c r="AK271" t="s">
        <v>61</v>
      </c>
      <c r="AL271" t="s">
        <v>46</v>
      </c>
      <c r="AM271" t="s">
        <v>46</v>
      </c>
      <c r="AN271" t="s">
        <v>46</v>
      </c>
      <c r="AO271" t="s">
        <v>46</v>
      </c>
      <c r="AP271" t="s">
        <v>50</v>
      </c>
      <c r="AQ271" t="s">
        <v>46</v>
      </c>
      <c r="AR271" t="s">
        <v>50</v>
      </c>
      <c r="AS271" t="s">
        <v>1640</v>
      </c>
      <c r="AT271" t="s">
        <v>63</v>
      </c>
      <c r="AU271" t="s">
        <v>46</v>
      </c>
      <c r="AV271">
        <v>2018</v>
      </c>
      <c r="AW271" t="s">
        <v>1678</v>
      </c>
    </row>
    <row r="272" spans="1:49" x14ac:dyDescent="0.2">
      <c r="A272">
        <v>271</v>
      </c>
      <c r="B272" t="s">
        <v>943</v>
      </c>
      <c r="C272" t="s">
        <v>949</v>
      </c>
      <c r="D272">
        <v>1.6899999999999999E-4</v>
      </c>
      <c r="E272" t="s">
        <v>68</v>
      </c>
      <c r="F272">
        <v>1.7E-5</v>
      </c>
      <c r="G272">
        <v>1.9000000000000001E-5</v>
      </c>
      <c r="H272" t="s">
        <v>69</v>
      </c>
      <c r="I272">
        <v>2</v>
      </c>
      <c r="J272">
        <v>2</v>
      </c>
      <c r="K272" t="s">
        <v>1676</v>
      </c>
      <c r="L272" t="s">
        <v>950</v>
      </c>
      <c r="M272">
        <v>8.4699999999999999E-5</v>
      </c>
      <c r="N272" t="s">
        <v>68</v>
      </c>
      <c r="O272">
        <v>6.7000000000000002E-6</v>
      </c>
      <c r="P272">
        <v>7.3000000000000004E-6</v>
      </c>
      <c r="Q272" t="s">
        <v>69</v>
      </c>
      <c r="R272">
        <v>2</v>
      </c>
      <c r="S272">
        <v>2</v>
      </c>
      <c r="T272" t="s">
        <v>1676</v>
      </c>
      <c r="U272" t="s">
        <v>946</v>
      </c>
      <c r="V272" t="s">
        <v>956</v>
      </c>
      <c r="W272" t="s">
        <v>959</v>
      </c>
      <c r="X272" t="s">
        <v>571</v>
      </c>
      <c r="Y272" t="s">
        <v>46</v>
      </c>
      <c r="Z272" t="s">
        <v>46</v>
      </c>
      <c r="AA272" t="s">
        <v>426</v>
      </c>
      <c r="AB272" t="s">
        <v>427</v>
      </c>
      <c r="AC272" t="s">
        <v>428</v>
      </c>
      <c r="AD272" t="s">
        <v>39</v>
      </c>
      <c r="AE272" t="s">
        <v>46</v>
      </c>
      <c r="AF272">
        <v>24</v>
      </c>
      <c r="AG272" t="s">
        <v>77</v>
      </c>
      <c r="AH272" t="s">
        <v>50</v>
      </c>
      <c r="AI272" t="s">
        <v>46</v>
      </c>
      <c r="AJ272" t="s">
        <v>47</v>
      </c>
      <c r="AK272" t="s">
        <v>61</v>
      </c>
      <c r="AL272" t="s">
        <v>46</v>
      </c>
      <c r="AM272" t="s">
        <v>46</v>
      </c>
      <c r="AN272" t="s">
        <v>46</v>
      </c>
      <c r="AO272" t="s">
        <v>46</v>
      </c>
      <c r="AP272" t="s">
        <v>50</v>
      </c>
      <c r="AQ272" t="s">
        <v>46</v>
      </c>
      <c r="AR272" t="s">
        <v>50</v>
      </c>
      <c r="AS272" t="s">
        <v>1640</v>
      </c>
      <c r="AT272" t="s">
        <v>63</v>
      </c>
      <c r="AU272" t="s">
        <v>46</v>
      </c>
      <c r="AV272">
        <v>2018</v>
      </c>
      <c r="AW272" t="s">
        <v>1679</v>
      </c>
    </row>
    <row r="273" spans="1:49" x14ac:dyDescent="0.2">
      <c r="A273">
        <v>272</v>
      </c>
      <c r="B273" t="s">
        <v>951</v>
      </c>
      <c r="C273" t="s">
        <v>66</v>
      </c>
      <c r="D273">
        <v>78.2</v>
      </c>
      <c r="E273" t="s">
        <v>42</v>
      </c>
      <c r="F273">
        <v>9</v>
      </c>
      <c r="G273">
        <v>9</v>
      </c>
      <c r="H273" t="s">
        <v>43</v>
      </c>
      <c r="I273">
        <v>3</v>
      </c>
      <c r="J273">
        <v>10</v>
      </c>
      <c r="K273" t="s">
        <v>952</v>
      </c>
      <c r="L273" t="s">
        <v>953</v>
      </c>
      <c r="M273">
        <v>73.5</v>
      </c>
      <c r="N273" t="s">
        <v>42</v>
      </c>
      <c r="O273">
        <v>6.2</v>
      </c>
      <c r="P273">
        <v>6.2</v>
      </c>
      <c r="Q273" t="s">
        <v>43</v>
      </c>
      <c r="R273">
        <v>3</v>
      </c>
      <c r="S273">
        <v>10</v>
      </c>
      <c r="T273" t="s">
        <v>952</v>
      </c>
      <c r="U273" t="s">
        <v>158</v>
      </c>
      <c r="V273" t="s">
        <v>960</v>
      </c>
      <c r="W273" t="s">
        <v>961</v>
      </c>
      <c r="X273" t="s">
        <v>800</v>
      </c>
      <c r="Y273" t="s">
        <v>46</v>
      </c>
      <c r="Z273" t="s">
        <v>801</v>
      </c>
      <c r="AA273" t="s">
        <v>440</v>
      </c>
      <c r="AB273" t="s">
        <v>439</v>
      </c>
      <c r="AC273" t="s">
        <v>802</v>
      </c>
      <c r="AD273" t="s">
        <v>39</v>
      </c>
      <c r="AE273" t="s">
        <v>46</v>
      </c>
      <c r="AF273">
        <v>4</v>
      </c>
      <c r="AG273" t="s">
        <v>40</v>
      </c>
      <c r="AH273" t="s">
        <v>50</v>
      </c>
      <c r="AI273" t="s">
        <v>46</v>
      </c>
      <c r="AJ273" t="s">
        <v>47</v>
      </c>
      <c r="AK273" t="s">
        <v>61</v>
      </c>
      <c r="AL273">
        <v>25</v>
      </c>
      <c r="AM273">
        <v>7.75</v>
      </c>
      <c r="AN273" t="s">
        <v>152</v>
      </c>
      <c r="AO273" t="s">
        <v>46</v>
      </c>
      <c r="AP273" t="s">
        <v>50</v>
      </c>
      <c r="AQ273" t="s">
        <v>46</v>
      </c>
      <c r="AR273" t="s">
        <v>50</v>
      </c>
      <c r="AS273" t="s">
        <v>1649</v>
      </c>
      <c r="AT273" t="s">
        <v>63</v>
      </c>
      <c r="AU273" t="s">
        <v>46</v>
      </c>
      <c r="AV273">
        <v>2020</v>
      </c>
      <c r="AW273" t="s">
        <v>962</v>
      </c>
    </row>
    <row r="274" spans="1:49" x14ac:dyDescent="0.2">
      <c r="A274">
        <v>273</v>
      </c>
      <c r="B274" t="s">
        <v>951</v>
      </c>
      <c r="C274" t="s">
        <v>67</v>
      </c>
      <c r="D274">
        <v>174.4</v>
      </c>
      <c r="E274" t="s">
        <v>42</v>
      </c>
      <c r="F274">
        <v>11.6</v>
      </c>
      <c r="G274">
        <v>11.6</v>
      </c>
      <c r="H274" t="s">
        <v>43</v>
      </c>
      <c r="I274">
        <v>3</v>
      </c>
      <c r="J274">
        <v>10</v>
      </c>
      <c r="K274" t="s">
        <v>952</v>
      </c>
      <c r="L274" t="s">
        <v>963</v>
      </c>
      <c r="M274">
        <v>98</v>
      </c>
      <c r="N274" t="s">
        <v>42</v>
      </c>
      <c r="O274">
        <v>1.8</v>
      </c>
      <c r="P274">
        <v>1.8</v>
      </c>
      <c r="Q274" t="s">
        <v>43</v>
      </c>
      <c r="R274">
        <v>3</v>
      </c>
      <c r="S274">
        <v>10</v>
      </c>
      <c r="T274" t="s">
        <v>952</v>
      </c>
      <c r="U274" t="s">
        <v>158</v>
      </c>
      <c r="V274" t="s">
        <v>964</v>
      </c>
      <c r="W274" t="s">
        <v>965</v>
      </c>
      <c r="X274" t="s">
        <v>800</v>
      </c>
      <c r="Y274" t="s">
        <v>46</v>
      </c>
      <c r="Z274" t="s">
        <v>801</v>
      </c>
      <c r="AA274" t="s">
        <v>440</v>
      </c>
      <c r="AB274" t="s">
        <v>439</v>
      </c>
      <c r="AC274" t="s">
        <v>802</v>
      </c>
      <c r="AD274" t="s">
        <v>39</v>
      </c>
      <c r="AE274" t="s">
        <v>46</v>
      </c>
      <c r="AF274">
        <v>4</v>
      </c>
      <c r="AG274" t="s">
        <v>77</v>
      </c>
      <c r="AH274" t="s">
        <v>50</v>
      </c>
      <c r="AI274" t="s">
        <v>46</v>
      </c>
      <c r="AJ274" t="s">
        <v>47</v>
      </c>
      <c r="AK274" t="s">
        <v>61</v>
      </c>
      <c r="AL274">
        <v>25</v>
      </c>
      <c r="AM274">
        <v>7.75</v>
      </c>
      <c r="AN274" t="s">
        <v>152</v>
      </c>
      <c r="AO274" t="s">
        <v>46</v>
      </c>
      <c r="AP274" t="s">
        <v>50</v>
      </c>
      <c r="AQ274" t="s">
        <v>46</v>
      </c>
      <c r="AR274" t="s">
        <v>50</v>
      </c>
      <c r="AS274" t="s">
        <v>1649</v>
      </c>
      <c r="AT274" t="s">
        <v>63</v>
      </c>
      <c r="AU274" t="s">
        <v>46</v>
      </c>
      <c r="AV274">
        <v>2020</v>
      </c>
      <c r="AW274" t="s">
        <v>962</v>
      </c>
    </row>
    <row r="275" spans="1:49" x14ac:dyDescent="0.2">
      <c r="A275">
        <v>274</v>
      </c>
      <c r="B275" t="s">
        <v>951</v>
      </c>
      <c r="C275" t="s">
        <v>66</v>
      </c>
      <c r="D275">
        <v>8.1999999999999993</v>
      </c>
      <c r="E275" t="s">
        <v>68</v>
      </c>
      <c r="F275">
        <v>0.81</v>
      </c>
      <c r="G275">
        <v>0.81</v>
      </c>
      <c r="H275" t="s">
        <v>43</v>
      </c>
      <c r="I275">
        <v>3</v>
      </c>
      <c r="J275">
        <v>5</v>
      </c>
      <c r="K275" t="s">
        <v>966</v>
      </c>
      <c r="L275" t="s">
        <v>953</v>
      </c>
      <c r="M275">
        <v>1.1000000000000001</v>
      </c>
      <c r="N275" t="s">
        <v>68</v>
      </c>
      <c r="O275">
        <v>0.06</v>
      </c>
      <c r="P275">
        <v>0.06</v>
      </c>
      <c r="Q275" t="s">
        <v>43</v>
      </c>
      <c r="R275">
        <v>3</v>
      </c>
      <c r="S275">
        <v>5</v>
      </c>
      <c r="T275" t="s">
        <v>966</v>
      </c>
      <c r="U275" t="s">
        <v>158</v>
      </c>
      <c r="V275" t="s">
        <v>967</v>
      </c>
      <c r="W275" t="s">
        <v>968</v>
      </c>
      <c r="X275" t="s">
        <v>72</v>
      </c>
      <c r="Y275" t="s">
        <v>46</v>
      </c>
      <c r="Z275" t="s">
        <v>482</v>
      </c>
      <c r="AA275" t="s">
        <v>73</v>
      </c>
      <c r="AB275" t="s">
        <v>74</v>
      </c>
      <c r="AC275" t="s">
        <v>38</v>
      </c>
      <c r="AD275" t="s">
        <v>39</v>
      </c>
      <c r="AE275" t="s">
        <v>465</v>
      </c>
      <c r="AF275">
        <v>48</v>
      </c>
      <c r="AG275" t="s">
        <v>40</v>
      </c>
      <c r="AH275" t="s">
        <v>50</v>
      </c>
      <c r="AI275" t="s">
        <v>46</v>
      </c>
      <c r="AJ275" t="s">
        <v>47</v>
      </c>
      <c r="AK275" t="s">
        <v>61</v>
      </c>
      <c r="AL275">
        <v>25</v>
      </c>
      <c r="AM275">
        <v>7.3</v>
      </c>
      <c r="AN275" t="s">
        <v>46</v>
      </c>
      <c r="AO275">
        <v>24</v>
      </c>
      <c r="AP275" t="s">
        <v>63</v>
      </c>
      <c r="AQ275">
        <v>44</v>
      </c>
      <c r="AR275" t="s">
        <v>50</v>
      </c>
      <c r="AS275" t="s">
        <v>1649</v>
      </c>
      <c r="AT275" t="s">
        <v>63</v>
      </c>
      <c r="AU275" t="s">
        <v>46</v>
      </c>
      <c r="AV275">
        <v>2020</v>
      </c>
      <c r="AW275" t="s">
        <v>46</v>
      </c>
    </row>
    <row r="276" spans="1:49" x14ac:dyDescent="0.2">
      <c r="A276">
        <v>275</v>
      </c>
      <c r="B276" t="s">
        <v>951</v>
      </c>
      <c r="C276" t="s">
        <v>67</v>
      </c>
      <c r="D276">
        <v>9.7999999999999997E-3</v>
      </c>
      <c r="E276" t="s">
        <v>68</v>
      </c>
      <c r="F276">
        <v>6.0000000000000002E-5</v>
      </c>
      <c r="G276">
        <v>6.0000000000000002E-5</v>
      </c>
      <c r="H276" t="s">
        <v>43</v>
      </c>
      <c r="I276">
        <v>3</v>
      </c>
      <c r="J276">
        <v>5</v>
      </c>
      <c r="K276" t="s">
        <v>966</v>
      </c>
      <c r="L276" t="s">
        <v>963</v>
      </c>
      <c r="M276">
        <v>1E-3</v>
      </c>
      <c r="N276" t="s">
        <v>68</v>
      </c>
      <c r="O276">
        <v>8.0000000000000007E-5</v>
      </c>
      <c r="P276">
        <v>8.0000000000000007E-5</v>
      </c>
      <c r="Q276" t="s">
        <v>43</v>
      </c>
      <c r="R276">
        <v>3</v>
      </c>
      <c r="S276">
        <v>5</v>
      </c>
      <c r="T276" t="s">
        <v>966</v>
      </c>
      <c r="U276" t="s">
        <v>158</v>
      </c>
      <c r="V276" t="s">
        <v>969</v>
      </c>
      <c r="W276" t="s">
        <v>970</v>
      </c>
      <c r="X276" t="s">
        <v>72</v>
      </c>
      <c r="Y276" t="s">
        <v>46</v>
      </c>
      <c r="Z276" t="s">
        <v>482</v>
      </c>
      <c r="AA276" t="s">
        <v>73</v>
      </c>
      <c r="AB276" t="s">
        <v>74</v>
      </c>
      <c r="AC276" t="s">
        <v>38</v>
      </c>
      <c r="AD276" t="s">
        <v>39</v>
      </c>
      <c r="AE276" t="s">
        <v>465</v>
      </c>
      <c r="AF276">
        <v>48</v>
      </c>
      <c r="AG276" t="s">
        <v>40</v>
      </c>
      <c r="AH276" t="s">
        <v>50</v>
      </c>
      <c r="AI276" t="s">
        <v>46</v>
      </c>
      <c r="AJ276" t="s">
        <v>47</v>
      </c>
      <c r="AK276" t="s">
        <v>61</v>
      </c>
      <c r="AL276">
        <v>25</v>
      </c>
      <c r="AM276">
        <v>7.3</v>
      </c>
      <c r="AN276" t="s">
        <v>46</v>
      </c>
      <c r="AO276">
        <v>24</v>
      </c>
      <c r="AP276" t="s">
        <v>63</v>
      </c>
      <c r="AQ276">
        <v>44</v>
      </c>
      <c r="AR276" t="s">
        <v>50</v>
      </c>
      <c r="AS276" t="s">
        <v>1649</v>
      </c>
      <c r="AT276" t="s">
        <v>63</v>
      </c>
      <c r="AU276" t="s">
        <v>46</v>
      </c>
      <c r="AV276">
        <v>2020</v>
      </c>
      <c r="AW276" t="s">
        <v>46</v>
      </c>
    </row>
    <row r="277" spans="1:49" x14ac:dyDescent="0.2">
      <c r="A277">
        <v>276</v>
      </c>
      <c r="B277" t="s">
        <v>971</v>
      </c>
      <c r="C277" t="s">
        <v>33</v>
      </c>
      <c r="D277" t="s">
        <v>373</v>
      </c>
      <c r="E277" t="s">
        <v>162</v>
      </c>
      <c r="F277" t="s">
        <v>46</v>
      </c>
      <c r="G277" t="s">
        <v>46</v>
      </c>
      <c r="H277" t="s">
        <v>46</v>
      </c>
      <c r="I277">
        <v>11</v>
      </c>
      <c r="J277">
        <v>1</v>
      </c>
      <c r="K277" t="s">
        <v>972</v>
      </c>
      <c r="L277" t="s">
        <v>973</v>
      </c>
      <c r="M277" t="s">
        <v>373</v>
      </c>
      <c r="N277" t="s">
        <v>162</v>
      </c>
      <c r="O277" t="s">
        <v>46</v>
      </c>
      <c r="P277" t="s">
        <v>46</v>
      </c>
      <c r="Q277" t="s">
        <v>46</v>
      </c>
      <c r="R277">
        <v>10</v>
      </c>
      <c r="S277">
        <v>1</v>
      </c>
      <c r="T277" t="s">
        <v>974</v>
      </c>
      <c r="U277" t="s">
        <v>46</v>
      </c>
      <c r="V277" t="s">
        <v>975</v>
      </c>
      <c r="W277" t="s">
        <v>976</v>
      </c>
      <c r="X277" t="s">
        <v>978</v>
      </c>
      <c r="Y277" t="s">
        <v>977</v>
      </c>
      <c r="Z277" t="s">
        <v>979</v>
      </c>
      <c r="AA277" t="s">
        <v>168</v>
      </c>
      <c r="AB277" t="s">
        <v>37</v>
      </c>
      <c r="AC277" t="s">
        <v>38</v>
      </c>
      <c r="AD277" t="s">
        <v>169</v>
      </c>
      <c r="AE277" t="s">
        <v>75</v>
      </c>
      <c r="AF277">
        <f>9*24</f>
        <v>216</v>
      </c>
      <c r="AG277" t="s">
        <v>40</v>
      </c>
      <c r="AH277" t="s">
        <v>50</v>
      </c>
      <c r="AI277" t="s">
        <v>463</v>
      </c>
      <c r="AJ277" t="s">
        <v>913</v>
      </c>
      <c r="AK277" t="s">
        <v>48</v>
      </c>
      <c r="AL277" t="s">
        <v>46</v>
      </c>
      <c r="AM277" t="s">
        <v>46</v>
      </c>
      <c r="AN277" t="s">
        <v>76</v>
      </c>
      <c r="AO277">
        <f>8*7*24</f>
        <v>1344</v>
      </c>
      <c r="AP277" t="s">
        <v>50</v>
      </c>
      <c r="AQ277" t="s">
        <v>46</v>
      </c>
      <c r="AR277" t="s">
        <v>63</v>
      </c>
      <c r="AS277" t="s">
        <v>1630</v>
      </c>
      <c r="AT277" t="s">
        <v>63</v>
      </c>
      <c r="AU277" t="s">
        <v>46</v>
      </c>
      <c r="AV277">
        <v>2007</v>
      </c>
      <c r="AW277" t="s">
        <v>980</v>
      </c>
    </row>
    <row r="278" spans="1:49" x14ac:dyDescent="0.2">
      <c r="A278">
        <v>277</v>
      </c>
      <c r="B278" t="s">
        <v>981</v>
      </c>
      <c r="C278" t="s">
        <v>620</v>
      </c>
      <c r="D278">
        <v>479.7</v>
      </c>
      <c r="E278" t="s">
        <v>42</v>
      </c>
      <c r="F278">
        <f>D278-322.2</f>
        <v>157.5</v>
      </c>
      <c r="G278">
        <f>749.4-D278</f>
        <v>269.7</v>
      </c>
      <c r="H278" t="s">
        <v>69</v>
      </c>
      <c r="I278">
        <v>4</v>
      </c>
      <c r="J278">
        <v>5</v>
      </c>
      <c r="K278" t="s">
        <v>756</v>
      </c>
      <c r="L278" t="s">
        <v>982</v>
      </c>
      <c r="M278">
        <v>175.2</v>
      </c>
      <c r="N278" t="s">
        <v>42</v>
      </c>
      <c r="O278">
        <f>M278-109.3</f>
        <v>65.899999999999991</v>
      </c>
      <c r="P278">
        <f>214.5-M278</f>
        <v>39.300000000000011</v>
      </c>
      <c r="Q278" t="s">
        <v>69</v>
      </c>
      <c r="R278">
        <v>4</v>
      </c>
      <c r="S278">
        <v>5</v>
      </c>
      <c r="T278" t="s">
        <v>756</v>
      </c>
      <c r="U278" t="s">
        <v>156</v>
      </c>
      <c r="V278" t="s">
        <v>983</v>
      </c>
      <c r="W278" t="s">
        <v>984</v>
      </c>
      <c r="X278" t="s">
        <v>985</v>
      </c>
      <c r="Y278" t="s">
        <v>986</v>
      </c>
      <c r="Z278" t="s">
        <v>987</v>
      </c>
      <c r="AA278" t="s">
        <v>60</v>
      </c>
      <c r="AB278" t="s">
        <v>37</v>
      </c>
      <c r="AC278" t="s">
        <v>38</v>
      </c>
      <c r="AD278" t="s">
        <v>179</v>
      </c>
      <c r="AE278" t="s">
        <v>180</v>
      </c>
      <c r="AF278">
        <v>96</v>
      </c>
      <c r="AG278" t="s">
        <v>77</v>
      </c>
      <c r="AH278" t="s">
        <v>50</v>
      </c>
      <c r="AI278" t="s">
        <v>46</v>
      </c>
      <c r="AJ278" t="s">
        <v>47</v>
      </c>
      <c r="AK278" t="s">
        <v>61</v>
      </c>
      <c r="AL278">
        <v>25</v>
      </c>
      <c r="AM278">
        <v>8</v>
      </c>
      <c r="AN278" t="s">
        <v>46</v>
      </c>
      <c r="AO278" t="s">
        <v>222</v>
      </c>
      <c r="AP278" t="s">
        <v>50</v>
      </c>
      <c r="AQ278">
        <v>215</v>
      </c>
      <c r="AR278" t="s">
        <v>50</v>
      </c>
      <c r="AS278" t="s">
        <v>1631</v>
      </c>
      <c r="AT278" t="s">
        <v>63</v>
      </c>
      <c r="AU278" t="s">
        <v>46</v>
      </c>
      <c r="AV278">
        <v>2010</v>
      </c>
      <c r="AW278" t="s">
        <v>46</v>
      </c>
    </row>
    <row r="279" spans="1:49" x14ac:dyDescent="0.2">
      <c r="A279">
        <v>278</v>
      </c>
      <c r="B279" t="s">
        <v>988</v>
      </c>
      <c r="C279" t="s">
        <v>117</v>
      </c>
      <c r="D279" t="s">
        <v>989</v>
      </c>
      <c r="E279" t="s">
        <v>162</v>
      </c>
      <c r="F279" t="s">
        <v>46</v>
      </c>
      <c r="G279" t="s">
        <v>46</v>
      </c>
      <c r="H279" t="s">
        <v>46</v>
      </c>
      <c r="I279">
        <v>4</v>
      </c>
      <c r="J279">
        <v>10</v>
      </c>
      <c r="K279" t="s">
        <v>990</v>
      </c>
      <c r="L279" t="s">
        <v>991</v>
      </c>
      <c r="M279">
        <v>118</v>
      </c>
      <c r="N279" t="s">
        <v>162</v>
      </c>
      <c r="O279">
        <f>M279-68</f>
        <v>50</v>
      </c>
      <c r="P279">
        <f>168-M279</f>
        <v>50</v>
      </c>
      <c r="Q279" t="s">
        <v>69</v>
      </c>
      <c r="R279">
        <v>4</v>
      </c>
      <c r="S279">
        <v>10</v>
      </c>
      <c r="T279" t="s">
        <v>990</v>
      </c>
      <c r="U279" t="s">
        <v>992</v>
      </c>
      <c r="V279" t="s">
        <v>993</v>
      </c>
      <c r="W279" t="s">
        <v>994</v>
      </c>
      <c r="X279" t="s">
        <v>995</v>
      </c>
      <c r="Y279" t="s">
        <v>46</v>
      </c>
      <c r="Z279" t="s">
        <v>46</v>
      </c>
      <c r="AA279" t="s">
        <v>996</v>
      </c>
      <c r="AB279" t="s">
        <v>997</v>
      </c>
      <c r="AC279" t="s">
        <v>38</v>
      </c>
      <c r="AD279" t="s">
        <v>169</v>
      </c>
      <c r="AE279" t="s">
        <v>75</v>
      </c>
      <c r="AF279">
        <f>28*24</f>
        <v>672</v>
      </c>
      <c r="AG279" t="s">
        <v>40</v>
      </c>
      <c r="AH279" t="s">
        <v>63</v>
      </c>
      <c r="AI279" t="s">
        <v>46</v>
      </c>
      <c r="AJ279" t="s">
        <v>47</v>
      </c>
      <c r="AK279" t="s">
        <v>48</v>
      </c>
      <c r="AL279">
        <v>20</v>
      </c>
      <c r="AM279" t="s">
        <v>46</v>
      </c>
      <c r="AN279" t="s">
        <v>76</v>
      </c>
      <c r="AO279">
        <f>18*24</f>
        <v>432</v>
      </c>
      <c r="AP279" t="s">
        <v>63</v>
      </c>
      <c r="AQ279" t="s">
        <v>46</v>
      </c>
      <c r="AR279" t="s">
        <v>63</v>
      </c>
      <c r="AS279" t="s">
        <v>1637</v>
      </c>
      <c r="AT279" t="s">
        <v>63</v>
      </c>
      <c r="AU279" t="s">
        <v>46</v>
      </c>
      <c r="AV279">
        <v>2019</v>
      </c>
      <c r="AW279" t="s">
        <v>998</v>
      </c>
    </row>
    <row r="280" spans="1:49" x14ac:dyDescent="0.2">
      <c r="A280">
        <v>279</v>
      </c>
      <c r="B280" t="s">
        <v>999</v>
      </c>
      <c r="C280" t="s">
        <v>1000</v>
      </c>
      <c r="D280">
        <v>0.65399239499999995</v>
      </c>
      <c r="E280" t="s">
        <v>42</v>
      </c>
      <c r="F280">
        <f>D280-0.599239544</f>
        <v>5.4752850999999936E-2</v>
      </c>
      <c r="G280">
        <f>0.708745247-D280</f>
        <v>5.4752852000000019E-2</v>
      </c>
      <c r="H280" t="s">
        <v>43</v>
      </c>
      <c r="I280">
        <v>2</v>
      </c>
      <c r="J280">
        <v>10</v>
      </c>
      <c r="K280" t="s">
        <v>1001</v>
      </c>
      <c r="L280" t="s">
        <v>1002</v>
      </c>
      <c r="M280" s="3">
        <v>0.17794677</v>
      </c>
      <c r="N280" t="s">
        <v>42</v>
      </c>
      <c r="O280">
        <f>M280-0.144486692015209</f>
        <v>3.3460077984791003E-2</v>
      </c>
      <c r="P280">
        <v>3.3460077984791003E-2</v>
      </c>
      <c r="Q280" t="s">
        <v>43</v>
      </c>
      <c r="R280">
        <v>2</v>
      </c>
      <c r="S280">
        <v>10</v>
      </c>
      <c r="T280" t="s">
        <v>1001</v>
      </c>
      <c r="U280" t="s">
        <v>1003</v>
      </c>
      <c r="V280" t="s">
        <v>1004</v>
      </c>
      <c r="W280" t="s">
        <v>1005</v>
      </c>
      <c r="X280" t="s">
        <v>449</v>
      </c>
      <c r="Y280" t="s">
        <v>46</v>
      </c>
      <c r="Z280" t="s">
        <v>1006</v>
      </c>
      <c r="AA280" t="s">
        <v>73</v>
      </c>
      <c r="AB280" t="s">
        <v>74</v>
      </c>
      <c r="AC280" t="s">
        <v>38</v>
      </c>
      <c r="AD280" t="s">
        <v>39</v>
      </c>
      <c r="AE280" t="s">
        <v>465</v>
      </c>
      <c r="AF280">
        <v>48</v>
      </c>
      <c r="AG280" t="s">
        <v>77</v>
      </c>
      <c r="AH280" t="s">
        <v>63</v>
      </c>
      <c r="AI280" t="s">
        <v>46</v>
      </c>
      <c r="AJ280" t="s">
        <v>47</v>
      </c>
      <c r="AK280" t="s">
        <v>61</v>
      </c>
      <c r="AL280">
        <v>20</v>
      </c>
      <c r="AM280" t="s">
        <v>46</v>
      </c>
      <c r="AN280" t="s">
        <v>46</v>
      </c>
      <c r="AO280">
        <v>24</v>
      </c>
      <c r="AP280" t="s">
        <v>63</v>
      </c>
      <c r="AQ280" t="s">
        <v>46</v>
      </c>
      <c r="AR280" t="s">
        <v>50</v>
      </c>
      <c r="AS280" t="s">
        <v>1637</v>
      </c>
      <c r="AT280" t="s">
        <v>63</v>
      </c>
      <c r="AU280" t="s">
        <v>46</v>
      </c>
      <c r="AV280">
        <v>2019</v>
      </c>
      <c r="AW280" t="s">
        <v>46</v>
      </c>
    </row>
    <row r="281" spans="1:49" x14ac:dyDescent="0.2">
      <c r="A281">
        <v>280</v>
      </c>
      <c r="B281" t="s">
        <v>999</v>
      </c>
      <c r="C281" t="s">
        <v>1000</v>
      </c>
      <c r="D281">
        <v>0.65399239499999995</v>
      </c>
      <c r="E281" t="s">
        <v>42</v>
      </c>
      <c r="F281">
        <f>D281-0.599239544</f>
        <v>5.4752850999999936E-2</v>
      </c>
      <c r="G281">
        <f>0.708745247-D281</f>
        <v>5.4752852000000019E-2</v>
      </c>
      <c r="H281" t="s">
        <v>43</v>
      </c>
      <c r="I281">
        <v>2</v>
      </c>
      <c r="J281">
        <v>10</v>
      </c>
      <c r="K281" t="s">
        <v>1001</v>
      </c>
      <c r="L281" t="s">
        <v>1007</v>
      </c>
      <c r="M281">
        <v>0.57490494299999995</v>
      </c>
      <c r="N281" t="s">
        <v>42</v>
      </c>
      <c r="O281">
        <f>M281-0.448669202</f>
        <v>0.12623574099999996</v>
      </c>
      <c r="P281">
        <v>0.12623574099999996</v>
      </c>
      <c r="Q281" t="s">
        <v>43</v>
      </c>
      <c r="R281">
        <v>2</v>
      </c>
      <c r="S281">
        <v>10</v>
      </c>
      <c r="T281" t="s">
        <v>1001</v>
      </c>
      <c r="U281" t="s">
        <v>1003</v>
      </c>
      <c r="V281" t="s">
        <v>1004</v>
      </c>
      <c r="W281" t="s">
        <v>1008</v>
      </c>
      <c r="X281" t="s">
        <v>449</v>
      </c>
      <c r="Y281" t="s">
        <v>46</v>
      </c>
      <c r="Z281" t="s">
        <v>1006</v>
      </c>
      <c r="AA281" t="s">
        <v>73</v>
      </c>
      <c r="AB281" t="s">
        <v>74</v>
      </c>
      <c r="AC281" t="s">
        <v>38</v>
      </c>
      <c r="AD281" t="s">
        <v>39</v>
      </c>
      <c r="AE281" t="s">
        <v>465</v>
      </c>
      <c r="AF281">
        <v>48</v>
      </c>
      <c r="AG281" t="s">
        <v>77</v>
      </c>
      <c r="AH281" t="s">
        <v>63</v>
      </c>
      <c r="AI281" t="s">
        <v>46</v>
      </c>
      <c r="AJ281" t="s">
        <v>47</v>
      </c>
      <c r="AK281" t="s">
        <v>61</v>
      </c>
      <c r="AL281">
        <v>20</v>
      </c>
      <c r="AM281" t="s">
        <v>46</v>
      </c>
      <c r="AN281" t="s">
        <v>46</v>
      </c>
      <c r="AO281">
        <v>24</v>
      </c>
      <c r="AP281" t="s">
        <v>63</v>
      </c>
      <c r="AQ281" t="s">
        <v>46</v>
      </c>
      <c r="AR281" t="s">
        <v>50</v>
      </c>
      <c r="AS281" t="s">
        <v>1637</v>
      </c>
      <c r="AT281" t="s">
        <v>63</v>
      </c>
      <c r="AU281" t="s">
        <v>46</v>
      </c>
      <c r="AV281">
        <v>2019</v>
      </c>
      <c r="AW281" t="s">
        <v>46</v>
      </c>
    </row>
    <row r="282" spans="1:49" x14ac:dyDescent="0.2">
      <c r="A282">
        <v>281</v>
      </c>
      <c r="B282" t="s">
        <v>1009</v>
      </c>
      <c r="C282" t="s">
        <v>1010</v>
      </c>
      <c r="D282">
        <v>2.5</v>
      </c>
      <c r="E282" t="s">
        <v>42</v>
      </c>
      <c r="F282">
        <f>D282-1.9</f>
        <v>0.60000000000000009</v>
      </c>
      <c r="G282">
        <f>3.2-D282</f>
        <v>0.70000000000000018</v>
      </c>
      <c r="H282" t="s">
        <v>69</v>
      </c>
      <c r="I282">
        <v>3</v>
      </c>
      <c r="J282">
        <v>10</v>
      </c>
      <c r="K282" t="s">
        <v>952</v>
      </c>
      <c r="L282" t="s">
        <v>1011</v>
      </c>
      <c r="M282">
        <v>5.7</v>
      </c>
      <c r="N282" t="s">
        <v>42</v>
      </c>
      <c r="O282">
        <f>M282-5.5</f>
        <v>0.20000000000000018</v>
      </c>
      <c r="P282">
        <f>5.9-M282</f>
        <v>0.20000000000000018</v>
      </c>
      <c r="Q282" t="s">
        <v>69</v>
      </c>
      <c r="R282">
        <v>3</v>
      </c>
      <c r="S282">
        <v>10</v>
      </c>
      <c r="T282" t="s">
        <v>952</v>
      </c>
      <c r="U282" t="s">
        <v>156</v>
      </c>
      <c r="V282" t="s">
        <v>1012</v>
      </c>
      <c r="W282" t="s">
        <v>1013</v>
      </c>
      <c r="X282" t="s">
        <v>1014</v>
      </c>
      <c r="Y282" t="s">
        <v>46</v>
      </c>
      <c r="Z282" t="s">
        <v>1015</v>
      </c>
      <c r="AA282" t="s">
        <v>36</v>
      </c>
      <c r="AB282" t="s">
        <v>37</v>
      </c>
      <c r="AC282" t="s">
        <v>38</v>
      </c>
      <c r="AD282" t="s">
        <v>39</v>
      </c>
      <c r="AE282" t="s">
        <v>75</v>
      </c>
      <c r="AF282">
        <v>96</v>
      </c>
      <c r="AG282" t="s">
        <v>77</v>
      </c>
      <c r="AH282" t="s">
        <v>50</v>
      </c>
      <c r="AI282" t="s">
        <v>46</v>
      </c>
      <c r="AJ282" t="s">
        <v>47</v>
      </c>
      <c r="AK282" t="s">
        <v>61</v>
      </c>
      <c r="AL282">
        <v>28</v>
      </c>
      <c r="AM282" t="s">
        <v>46</v>
      </c>
      <c r="AN282" t="s">
        <v>152</v>
      </c>
      <c r="AO282" t="s">
        <v>46</v>
      </c>
      <c r="AP282" t="s">
        <v>63</v>
      </c>
      <c r="AQ282" t="s">
        <v>46</v>
      </c>
      <c r="AR282" t="s">
        <v>50</v>
      </c>
      <c r="AS282" t="s">
        <v>1633</v>
      </c>
      <c r="AT282" t="s">
        <v>63</v>
      </c>
      <c r="AU282" t="s">
        <v>46</v>
      </c>
      <c r="AV282">
        <v>1984</v>
      </c>
      <c r="AW282" t="s">
        <v>46</v>
      </c>
    </row>
    <row r="283" spans="1:49" x14ac:dyDescent="0.2">
      <c r="A283">
        <v>282</v>
      </c>
      <c r="B283" t="s">
        <v>1009</v>
      </c>
      <c r="C283" t="s">
        <v>1010</v>
      </c>
      <c r="D283">
        <v>2.5</v>
      </c>
      <c r="E283" t="s">
        <v>42</v>
      </c>
      <c r="F283">
        <f>D283-1.9</f>
        <v>0.60000000000000009</v>
      </c>
      <c r="G283">
        <f>3.2-D283</f>
        <v>0.70000000000000018</v>
      </c>
      <c r="H283" t="s">
        <v>69</v>
      </c>
      <c r="I283">
        <v>3</v>
      </c>
      <c r="J283">
        <v>10</v>
      </c>
      <c r="K283" t="s">
        <v>952</v>
      </c>
      <c r="L283" t="s">
        <v>1016</v>
      </c>
      <c r="M283">
        <v>5.9</v>
      </c>
      <c r="N283" t="s">
        <v>42</v>
      </c>
      <c r="O283">
        <f>M283-5.7</f>
        <v>0.20000000000000018</v>
      </c>
      <c r="P283">
        <f>6.3-M283</f>
        <v>0.39999999999999947</v>
      </c>
      <c r="Q283" t="s">
        <v>69</v>
      </c>
      <c r="R283">
        <v>3</v>
      </c>
      <c r="S283">
        <v>10</v>
      </c>
      <c r="T283" t="s">
        <v>952</v>
      </c>
      <c r="U283" t="s">
        <v>156</v>
      </c>
      <c r="V283" t="s">
        <v>1012</v>
      </c>
      <c r="W283" t="s">
        <v>1017</v>
      </c>
      <c r="X283" t="s">
        <v>1014</v>
      </c>
      <c r="Y283" t="s">
        <v>46</v>
      </c>
      <c r="Z283" t="s">
        <v>1015</v>
      </c>
      <c r="AA283" t="s">
        <v>36</v>
      </c>
      <c r="AB283" t="s">
        <v>37</v>
      </c>
      <c r="AC283" t="s">
        <v>38</v>
      </c>
      <c r="AD283" t="s">
        <v>39</v>
      </c>
      <c r="AE283" t="s">
        <v>75</v>
      </c>
      <c r="AF283">
        <v>96</v>
      </c>
      <c r="AG283" t="s">
        <v>77</v>
      </c>
      <c r="AH283" t="s">
        <v>50</v>
      </c>
      <c r="AI283" t="s">
        <v>46</v>
      </c>
      <c r="AJ283" t="s">
        <v>47</v>
      </c>
      <c r="AK283" t="s">
        <v>61</v>
      </c>
      <c r="AL283">
        <v>28</v>
      </c>
      <c r="AM283" t="s">
        <v>46</v>
      </c>
      <c r="AN283" t="s">
        <v>152</v>
      </c>
      <c r="AO283" t="s">
        <v>46</v>
      </c>
      <c r="AP283" t="s">
        <v>63</v>
      </c>
      <c r="AQ283" t="s">
        <v>46</v>
      </c>
      <c r="AR283" t="s">
        <v>50</v>
      </c>
      <c r="AS283" t="s">
        <v>1633</v>
      </c>
      <c r="AT283" t="s">
        <v>63</v>
      </c>
      <c r="AU283" t="s">
        <v>46</v>
      </c>
      <c r="AV283">
        <v>1984</v>
      </c>
      <c r="AW283" t="s">
        <v>46</v>
      </c>
    </row>
    <row r="284" spans="1:49" x14ac:dyDescent="0.2">
      <c r="A284">
        <v>283</v>
      </c>
      <c r="B284" t="s">
        <v>1018</v>
      </c>
      <c r="C284" t="s">
        <v>80</v>
      </c>
      <c r="D284" t="s">
        <v>1019</v>
      </c>
      <c r="E284" t="s">
        <v>42</v>
      </c>
      <c r="F284" t="s">
        <v>46</v>
      </c>
      <c r="G284" t="s">
        <v>46</v>
      </c>
      <c r="H284" t="s">
        <v>46</v>
      </c>
      <c r="I284">
        <v>3</v>
      </c>
      <c r="J284">
        <v>10</v>
      </c>
      <c r="K284" t="s">
        <v>952</v>
      </c>
      <c r="L284" t="s">
        <v>415</v>
      </c>
      <c r="M284">
        <v>1.8</v>
      </c>
      <c r="N284" t="s">
        <v>42</v>
      </c>
      <c r="O284">
        <f>M284-1.73</f>
        <v>7.0000000000000062E-2</v>
      </c>
      <c r="P284">
        <f>1.88-M284</f>
        <v>7.9999999999999849E-2</v>
      </c>
      <c r="Q284" t="s">
        <v>69</v>
      </c>
      <c r="R284">
        <v>4</v>
      </c>
      <c r="S284">
        <v>10</v>
      </c>
      <c r="T284" t="s">
        <v>990</v>
      </c>
      <c r="U284" t="s">
        <v>1020</v>
      </c>
      <c r="V284" t="s">
        <v>1021</v>
      </c>
      <c r="W284" t="s">
        <v>1026</v>
      </c>
      <c r="X284" t="s">
        <v>1031</v>
      </c>
      <c r="Y284" t="s">
        <v>46</v>
      </c>
      <c r="Z284" t="s">
        <v>1037</v>
      </c>
      <c r="AA284" t="s">
        <v>60</v>
      </c>
      <c r="AB284" t="s">
        <v>37</v>
      </c>
      <c r="AC284" t="s">
        <v>38</v>
      </c>
      <c r="AD284" t="s">
        <v>179</v>
      </c>
      <c r="AE284" t="s">
        <v>180</v>
      </c>
      <c r="AF284">
        <v>96</v>
      </c>
      <c r="AG284" t="s">
        <v>40</v>
      </c>
      <c r="AH284" t="s">
        <v>50</v>
      </c>
      <c r="AI284" t="s">
        <v>46</v>
      </c>
      <c r="AJ284" t="s">
        <v>47</v>
      </c>
      <c r="AK284" t="s">
        <v>61</v>
      </c>
      <c r="AL284">
        <v>20</v>
      </c>
      <c r="AM284">
        <v>7.2</v>
      </c>
      <c r="AN284" t="s">
        <v>46</v>
      </c>
      <c r="AO284" t="s">
        <v>222</v>
      </c>
      <c r="AP284" t="s">
        <v>63</v>
      </c>
      <c r="AQ284" t="s">
        <v>46</v>
      </c>
      <c r="AR284" t="s">
        <v>63</v>
      </c>
      <c r="AS284" t="s">
        <v>1629</v>
      </c>
      <c r="AT284" t="s">
        <v>63</v>
      </c>
      <c r="AU284" t="s">
        <v>46</v>
      </c>
      <c r="AV284">
        <v>2012</v>
      </c>
      <c r="AW284" t="s">
        <v>46</v>
      </c>
    </row>
    <row r="285" spans="1:49" x14ac:dyDescent="0.2">
      <c r="A285">
        <v>284</v>
      </c>
      <c r="B285" t="s">
        <v>1018</v>
      </c>
      <c r="C285" t="s">
        <v>80</v>
      </c>
      <c r="D285" t="s">
        <v>1019</v>
      </c>
      <c r="E285" t="s">
        <v>42</v>
      </c>
      <c r="F285" t="s">
        <v>46</v>
      </c>
      <c r="G285" t="s">
        <v>46</v>
      </c>
      <c r="H285" t="s">
        <v>46</v>
      </c>
      <c r="I285">
        <v>3</v>
      </c>
      <c r="J285">
        <v>10</v>
      </c>
      <c r="K285" t="s">
        <v>952</v>
      </c>
      <c r="L285" t="s">
        <v>415</v>
      </c>
      <c r="M285">
        <v>2.5</v>
      </c>
      <c r="N285" t="s">
        <v>42</v>
      </c>
      <c r="O285">
        <f>M285-2.38</f>
        <v>0.12000000000000011</v>
      </c>
      <c r="P285">
        <f>2.63-M285</f>
        <v>0.12999999999999989</v>
      </c>
      <c r="Q285" t="s">
        <v>69</v>
      </c>
      <c r="R285">
        <v>4</v>
      </c>
      <c r="S285">
        <v>10</v>
      </c>
      <c r="T285" t="s">
        <v>990</v>
      </c>
      <c r="U285" t="s">
        <v>1020</v>
      </c>
      <c r="V285" t="s">
        <v>1022</v>
      </c>
      <c r="W285" t="s">
        <v>1027</v>
      </c>
      <c r="X285" t="s">
        <v>1032</v>
      </c>
      <c r="Y285" t="s">
        <v>46</v>
      </c>
      <c r="Z285" t="s">
        <v>1036</v>
      </c>
      <c r="AA285" t="s">
        <v>60</v>
      </c>
      <c r="AB285" t="s">
        <v>37</v>
      </c>
      <c r="AC285" t="s">
        <v>38</v>
      </c>
      <c r="AD285" t="s">
        <v>179</v>
      </c>
      <c r="AE285" t="s">
        <v>180</v>
      </c>
      <c r="AF285">
        <v>96</v>
      </c>
      <c r="AG285" t="s">
        <v>40</v>
      </c>
      <c r="AH285" t="s">
        <v>50</v>
      </c>
      <c r="AI285" t="s">
        <v>46</v>
      </c>
      <c r="AJ285" t="s">
        <v>47</v>
      </c>
      <c r="AK285" t="s">
        <v>61</v>
      </c>
      <c r="AL285">
        <v>20</v>
      </c>
      <c r="AM285">
        <v>7.2</v>
      </c>
      <c r="AN285" t="s">
        <v>46</v>
      </c>
      <c r="AO285" t="s">
        <v>222</v>
      </c>
      <c r="AP285" t="s">
        <v>63</v>
      </c>
      <c r="AQ285" t="s">
        <v>46</v>
      </c>
      <c r="AR285" t="s">
        <v>63</v>
      </c>
      <c r="AS285" t="s">
        <v>1629</v>
      </c>
      <c r="AT285" t="s">
        <v>63</v>
      </c>
      <c r="AU285" t="s">
        <v>46</v>
      </c>
      <c r="AV285">
        <v>2012</v>
      </c>
      <c r="AW285" t="s">
        <v>46</v>
      </c>
    </row>
    <row r="286" spans="1:49" x14ac:dyDescent="0.2">
      <c r="A286">
        <v>285</v>
      </c>
      <c r="B286" t="s">
        <v>1018</v>
      </c>
      <c r="C286" t="s">
        <v>80</v>
      </c>
      <c r="D286" t="s">
        <v>1019</v>
      </c>
      <c r="E286" t="s">
        <v>42</v>
      </c>
      <c r="F286" t="s">
        <v>46</v>
      </c>
      <c r="G286" t="s">
        <v>46</v>
      </c>
      <c r="H286" t="s">
        <v>46</v>
      </c>
      <c r="I286">
        <v>3</v>
      </c>
      <c r="J286">
        <v>10</v>
      </c>
      <c r="K286" t="s">
        <v>952</v>
      </c>
      <c r="L286" t="s">
        <v>415</v>
      </c>
      <c r="M286">
        <v>2.77</v>
      </c>
      <c r="N286" t="s">
        <v>42</v>
      </c>
      <c r="O286">
        <f>M286-2.66</f>
        <v>0.10999999999999988</v>
      </c>
      <c r="P286">
        <f>2.89-M286</f>
        <v>0.12000000000000011</v>
      </c>
      <c r="Q286" t="s">
        <v>69</v>
      </c>
      <c r="R286">
        <v>4</v>
      </c>
      <c r="S286">
        <v>10</v>
      </c>
      <c r="T286" t="s">
        <v>990</v>
      </c>
      <c r="U286" t="s">
        <v>1020</v>
      </c>
      <c r="V286" t="s">
        <v>1023</v>
      </c>
      <c r="W286" t="s">
        <v>1028</v>
      </c>
      <c r="X286" t="s">
        <v>1033</v>
      </c>
      <c r="Y286" t="s">
        <v>46</v>
      </c>
      <c r="Z286" t="s">
        <v>1036</v>
      </c>
      <c r="AA286" t="s">
        <v>60</v>
      </c>
      <c r="AB286" t="s">
        <v>37</v>
      </c>
      <c r="AC286" t="s">
        <v>38</v>
      </c>
      <c r="AD286" t="s">
        <v>179</v>
      </c>
      <c r="AE286" t="s">
        <v>180</v>
      </c>
      <c r="AF286">
        <v>96</v>
      </c>
      <c r="AG286" t="s">
        <v>40</v>
      </c>
      <c r="AH286" t="s">
        <v>50</v>
      </c>
      <c r="AI286" t="s">
        <v>46</v>
      </c>
      <c r="AJ286" t="s">
        <v>47</v>
      </c>
      <c r="AK286" t="s">
        <v>61</v>
      </c>
      <c r="AL286">
        <v>20</v>
      </c>
      <c r="AM286">
        <v>7.2</v>
      </c>
      <c r="AN286" t="s">
        <v>46</v>
      </c>
      <c r="AO286" t="s">
        <v>222</v>
      </c>
      <c r="AP286" t="s">
        <v>63</v>
      </c>
      <c r="AQ286" t="s">
        <v>46</v>
      </c>
      <c r="AR286" t="s">
        <v>63</v>
      </c>
      <c r="AS286" t="s">
        <v>1629</v>
      </c>
      <c r="AT286" t="s">
        <v>63</v>
      </c>
      <c r="AU286" t="s">
        <v>46</v>
      </c>
      <c r="AV286">
        <v>2012</v>
      </c>
      <c r="AW286" t="s">
        <v>46</v>
      </c>
    </row>
    <row r="287" spans="1:49" x14ac:dyDescent="0.2">
      <c r="A287">
        <v>286</v>
      </c>
      <c r="B287" t="s">
        <v>1018</v>
      </c>
      <c r="C287" t="s">
        <v>80</v>
      </c>
      <c r="D287" t="s">
        <v>1019</v>
      </c>
      <c r="E287" t="s">
        <v>42</v>
      </c>
      <c r="F287" t="s">
        <v>46</v>
      </c>
      <c r="G287" t="s">
        <v>46</v>
      </c>
      <c r="H287" t="s">
        <v>46</v>
      </c>
      <c r="I287">
        <v>3</v>
      </c>
      <c r="J287">
        <v>10</v>
      </c>
      <c r="K287" t="s">
        <v>952</v>
      </c>
      <c r="L287" t="s">
        <v>415</v>
      </c>
      <c r="M287">
        <v>4.21</v>
      </c>
      <c r="N287" t="s">
        <v>42</v>
      </c>
      <c r="O287">
        <f>M287-4.08</f>
        <v>0.12999999999999989</v>
      </c>
      <c r="P287">
        <f>4.33-M287</f>
        <v>0.12000000000000011</v>
      </c>
      <c r="Q287" t="s">
        <v>69</v>
      </c>
      <c r="R287">
        <v>4</v>
      </c>
      <c r="S287">
        <v>10</v>
      </c>
      <c r="T287" t="s">
        <v>990</v>
      </c>
      <c r="U287" t="s">
        <v>1020</v>
      </c>
      <c r="V287" t="s">
        <v>1024</v>
      </c>
      <c r="W287" t="s">
        <v>1029</v>
      </c>
      <c r="X287" t="s">
        <v>1034</v>
      </c>
      <c r="Y287" t="s">
        <v>46</v>
      </c>
      <c r="Z287" t="s">
        <v>1036</v>
      </c>
      <c r="AA287" t="s">
        <v>60</v>
      </c>
      <c r="AB287" t="s">
        <v>37</v>
      </c>
      <c r="AC287" t="s">
        <v>38</v>
      </c>
      <c r="AD287" t="s">
        <v>179</v>
      </c>
      <c r="AE287" t="s">
        <v>180</v>
      </c>
      <c r="AF287">
        <v>96</v>
      </c>
      <c r="AG287" t="s">
        <v>40</v>
      </c>
      <c r="AH287" t="s">
        <v>50</v>
      </c>
      <c r="AI287" t="s">
        <v>46</v>
      </c>
      <c r="AJ287" t="s">
        <v>47</v>
      </c>
      <c r="AK287" t="s">
        <v>61</v>
      </c>
      <c r="AL287">
        <v>20</v>
      </c>
      <c r="AM287">
        <v>7.2</v>
      </c>
      <c r="AN287" t="s">
        <v>46</v>
      </c>
      <c r="AO287" t="s">
        <v>222</v>
      </c>
      <c r="AP287" t="s">
        <v>63</v>
      </c>
      <c r="AQ287" t="s">
        <v>46</v>
      </c>
      <c r="AR287" s="3" t="s">
        <v>63</v>
      </c>
      <c r="AS287" t="s">
        <v>1629</v>
      </c>
      <c r="AT287" t="s">
        <v>63</v>
      </c>
      <c r="AU287" t="s">
        <v>46</v>
      </c>
      <c r="AV287">
        <v>2012</v>
      </c>
      <c r="AW287" t="s">
        <v>46</v>
      </c>
    </row>
    <row r="288" spans="1:49" x14ac:dyDescent="0.2">
      <c r="A288">
        <v>287</v>
      </c>
      <c r="B288" t="s">
        <v>1018</v>
      </c>
      <c r="C288" t="s">
        <v>80</v>
      </c>
      <c r="D288" t="s">
        <v>1019</v>
      </c>
      <c r="E288" t="s">
        <v>42</v>
      </c>
      <c r="F288" t="s">
        <v>46</v>
      </c>
      <c r="G288" t="s">
        <v>46</v>
      </c>
      <c r="H288" t="s">
        <v>46</v>
      </c>
      <c r="I288">
        <v>3</v>
      </c>
      <c r="J288">
        <v>10</v>
      </c>
      <c r="K288" t="s">
        <v>952</v>
      </c>
      <c r="L288" t="s">
        <v>415</v>
      </c>
      <c r="M288">
        <v>4.22</v>
      </c>
      <c r="N288" t="s">
        <v>42</v>
      </c>
      <c r="O288">
        <f>M288-4.02</f>
        <v>0.20000000000000018</v>
      </c>
      <c r="P288">
        <f>4.42-M288</f>
        <v>0.20000000000000018</v>
      </c>
      <c r="Q288" t="s">
        <v>69</v>
      </c>
      <c r="R288">
        <v>4</v>
      </c>
      <c r="S288">
        <v>10</v>
      </c>
      <c r="T288" t="s">
        <v>990</v>
      </c>
      <c r="U288" t="s">
        <v>1020</v>
      </c>
      <c r="V288" t="s">
        <v>1025</v>
      </c>
      <c r="W288" t="s">
        <v>1030</v>
      </c>
      <c r="X288" t="s">
        <v>1035</v>
      </c>
      <c r="Y288" t="s">
        <v>46</v>
      </c>
      <c r="Z288" t="s">
        <v>1036</v>
      </c>
      <c r="AA288" t="s">
        <v>60</v>
      </c>
      <c r="AB288" t="s">
        <v>37</v>
      </c>
      <c r="AC288" t="s">
        <v>38</v>
      </c>
      <c r="AD288" t="s">
        <v>179</v>
      </c>
      <c r="AE288" s="3" t="s">
        <v>180</v>
      </c>
      <c r="AF288">
        <v>96</v>
      </c>
      <c r="AG288" t="s">
        <v>40</v>
      </c>
      <c r="AH288" t="s">
        <v>50</v>
      </c>
      <c r="AI288" t="s">
        <v>46</v>
      </c>
      <c r="AJ288" t="s">
        <v>47</v>
      </c>
      <c r="AK288" t="s">
        <v>61</v>
      </c>
      <c r="AL288">
        <v>20</v>
      </c>
      <c r="AM288" s="3">
        <v>7.2</v>
      </c>
      <c r="AN288" t="s">
        <v>46</v>
      </c>
      <c r="AO288" t="s">
        <v>222</v>
      </c>
      <c r="AP288" t="s">
        <v>63</v>
      </c>
      <c r="AQ288" t="s">
        <v>46</v>
      </c>
      <c r="AR288" s="3" t="s">
        <v>63</v>
      </c>
      <c r="AS288" t="s">
        <v>1629</v>
      </c>
      <c r="AT288" t="s">
        <v>63</v>
      </c>
      <c r="AU288" t="s">
        <v>46</v>
      </c>
      <c r="AV288">
        <v>2012</v>
      </c>
      <c r="AW288" t="s">
        <v>46</v>
      </c>
    </row>
    <row r="289" spans="1:49" x14ac:dyDescent="0.2">
      <c r="A289">
        <v>288</v>
      </c>
      <c r="B289" t="s">
        <v>1038</v>
      </c>
      <c r="C289" t="s">
        <v>1039</v>
      </c>
      <c r="D289">
        <v>4.8</v>
      </c>
      <c r="E289" t="s">
        <v>42</v>
      </c>
      <c r="F289">
        <f>D289-4.4</f>
        <v>0.39999999999999947</v>
      </c>
      <c r="G289">
        <f>5.2-D289</f>
        <v>0.40000000000000036</v>
      </c>
      <c r="H289" t="s">
        <v>69</v>
      </c>
      <c r="I289">
        <v>2</v>
      </c>
      <c r="J289">
        <v>10</v>
      </c>
      <c r="K289" t="s">
        <v>1001</v>
      </c>
      <c r="L289" t="s">
        <v>1040</v>
      </c>
      <c r="M289">
        <v>2.5</v>
      </c>
      <c r="N289" t="s">
        <v>42</v>
      </c>
      <c r="O289">
        <f>M289-1.9</f>
        <v>0.60000000000000009</v>
      </c>
      <c r="P289">
        <f>3.2-M289</f>
        <v>0.70000000000000018</v>
      </c>
      <c r="Q289" t="s">
        <v>69</v>
      </c>
      <c r="R289">
        <v>2</v>
      </c>
      <c r="S289">
        <v>10</v>
      </c>
      <c r="T289" t="s">
        <v>1001</v>
      </c>
      <c r="U289" t="s">
        <v>156</v>
      </c>
      <c r="V289" t="s">
        <v>1041</v>
      </c>
      <c r="W289" t="s">
        <v>1042</v>
      </c>
      <c r="X289" t="s">
        <v>1043</v>
      </c>
      <c r="Y289" t="s">
        <v>46</v>
      </c>
      <c r="Z289" t="s">
        <v>1044</v>
      </c>
      <c r="AA289" t="s">
        <v>36</v>
      </c>
      <c r="AB289" t="s">
        <v>37</v>
      </c>
      <c r="AC289" t="s">
        <v>38</v>
      </c>
      <c r="AD289" t="s">
        <v>39</v>
      </c>
      <c r="AE289" t="s">
        <v>75</v>
      </c>
      <c r="AF289">
        <v>96</v>
      </c>
      <c r="AG289" t="s">
        <v>77</v>
      </c>
      <c r="AH289" t="s">
        <v>50</v>
      </c>
      <c r="AI289" t="s">
        <v>46</v>
      </c>
      <c r="AJ289" t="s">
        <v>47</v>
      </c>
      <c r="AK289" t="s">
        <v>61</v>
      </c>
      <c r="AL289">
        <v>30</v>
      </c>
      <c r="AM289" t="s">
        <v>46</v>
      </c>
      <c r="AN289" t="s">
        <v>46</v>
      </c>
      <c r="AO289" t="s">
        <v>46</v>
      </c>
      <c r="AP289" t="s">
        <v>63</v>
      </c>
      <c r="AQ289" t="s">
        <v>46</v>
      </c>
      <c r="AR289" t="s">
        <v>50</v>
      </c>
      <c r="AS289" t="s">
        <v>1631</v>
      </c>
      <c r="AT289" t="s">
        <v>63</v>
      </c>
      <c r="AU289" t="s">
        <v>46</v>
      </c>
      <c r="AV289">
        <v>1981</v>
      </c>
      <c r="AW289" t="s">
        <v>46</v>
      </c>
    </row>
    <row r="290" spans="1:49" x14ac:dyDescent="0.2">
      <c r="A290">
        <v>289</v>
      </c>
      <c r="B290" t="s">
        <v>1038</v>
      </c>
      <c r="C290" t="s">
        <v>1039</v>
      </c>
      <c r="D290">
        <v>4.8</v>
      </c>
      <c r="E290" t="s">
        <v>42</v>
      </c>
      <c r="F290">
        <f>D290-4.4</f>
        <v>0.39999999999999947</v>
      </c>
      <c r="G290">
        <f>5.2-D290</f>
        <v>0.40000000000000036</v>
      </c>
      <c r="H290" t="s">
        <v>69</v>
      </c>
      <c r="I290">
        <v>2</v>
      </c>
      <c r="J290">
        <v>10</v>
      </c>
      <c r="K290" t="s">
        <v>1001</v>
      </c>
      <c r="L290" t="s">
        <v>1045</v>
      </c>
      <c r="M290">
        <v>16</v>
      </c>
      <c r="N290" t="s">
        <v>42</v>
      </c>
      <c r="O290">
        <f>M290-15</f>
        <v>1</v>
      </c>
      <c r="P290">
        <f>17-M290</f>
        <v>1</v>
      </c>
      <c r="Q290" t="s">
        <v>69</v>
      </c>
      <c r="R290">
        <v>2</v>
      </c>
      <c r="S290">
        <v>10</v>
      </c>
      <c r="T290" t="s">
        <v>1001</v>
      </c>
      <c r="U290" t="s">
        <v>156</v>
      </c>
      <c r="V290" t="s">
        <v>1041</v>
      </c>
      <c r="W290" t="s">
        <v>1046</v>
      </c>
      <c r="X290" t="s">
        <v>1043</v>
      </c>
      <c r="Y290" t="s">
        <v>46</v>
      </c>
      <c r="Z290" t="s">
        <v>1044</v>
      </c>
      <c r="AA290" t="s">
        <v>36</v>
      </c>
      <c r="AB290" t="s">
        <v>37</v>
      </c>
      <c r="AC290" t="s">
        <v>38</v>
      </c>
      <c r="AD290" t="s">
        <v>39</v>
      </c>
      <c r="AE290" t="s">
        <v>75</v>
      </c>
      <c r="AF290">
        <v>96</v>
      </c>
      <c r="AG290" t="s">
        <v>77</v>
      </c>
      <c r="AH290" t="s">
        <v>50</v>
      </c>
      <c r="AI290" t="s">
        <v>46</v>
      </c>
      <c r="AJ290" t="s">
        <v>47</v>
      </c>
      <c r="AK290" t="s">
        <v>61</v>
      </c>
      <c r="AL290">
        <v>30</v>
      </c>
      <c r="AM290" t="s">
        <v>46</v>
      </c>
      <c r="AN290" t="s">
        <v>46</v>
      </c>
      <c r="AO290" t="s">
        <v>46</v>
      </c>
      <c r="AP290" t="s">
        <v>63</v>
      </c>
      <c r="AQ290" t="s">
        <v>46</v>
      </c>
      <c r="AR290" t="s">
        <v>50</v>
      </c>
      <c r="AS290" t="s">
        <v>1650</v>
      </c>
      <c r="AT290" t="s">
        <v>63</v>
      </c>
      <c r="AU290" t="s">
        <v>46</v>
      </c>
      <c r="AV290">
        <v>1981</v>
      </c>
      <c r="AW290" t="s">
        <v>46</v>
      </c>
    </row>
    <row r="291" spans="1:49" x14ac:dyDescent="0.2">
      <c r="A291">
        <v>290</v>
      </c>
      <c r="B291" t="s">
        <v>1047</v>
      </c>
      <c r="C291" t="s">
        <v>67</v>
      </c>
      <c r="D291">
        <v>2.4E-2</v>
      </c>
      <c r="E291" t="s">
        <v>42</v>
      </c>
      <c r="F291">
        <f>D291-0.021</f>
        <v>2.9999999999999992E-3</v>
      </c>
      <c r="G291">
        <f>0.028-D291</f>
        <v>4.0000000000000001E-3</v>
      </c>
      <c r="H291" t="s">
        <v>69</v>
      </c>
      <c r="I291">
        <v>20</v>
      </c>
      <c r="J291">
        <v>5</v>
      </c>
      <c r="K291" t="s">
        <v>1048</v>
      </c>
      <c r="L291" t="s">
        <v>963</v>
      </c>
      <c r="M291">
        <v>4.1000000000000002E-2</v>
      </c>
      <c r="N291" t="s">
        <v>42</v>
      </c>
      <c r="O291">
        <f>M291-0.031</f>
        <v>1.0000000000000002E-2</v>
      </c>
      <c r="P291">
        <f>0.05-M291</f>
        <v>9.0000000000000011E-3</v>
      </c>
      <c r="Q291" t="s">
        <v>69</v>
      </c>
      <c r="R291">
        <v>20</v>
      </c>
      <c r="S291">
        <v>5</v>
      </c>
      <c r="T291" t="s">
        <v>1048</v>
      </c>
      <c r="U291" t="s">
        <v>158</v>
      </c>
      <c r="V291" t="s">
        <v>1049</v>
      </c>
      <c r="W291" t="s">
        <v>1050</v>
      </c>
      <c r="X291" t="s">
        <v>1051</v>
      </c>
      <c r="Y291" t="s">
        <v>46</v>
      </c>
      <c r="Z291" t="s">
        <v>1053</v>
      </c>
      <c r="AA291" t="s">
        <v>1052</v>
      </c>
      <c r="AB291" t="s">
        <v>74</v>
      </c>
      <c r="AC291" t="s">
        <v>38</v>
      </c>
      <c r="AD291" t="s">
        <v>39</v>
      </c>
      <c r="AE291" t="s">
        <v>75</v>
      </c>
      <c r="AF291">
        <v>48</v>
      </c>
      <c r="AG291" t="s">
        <v>77</v>
      </c>
      <c r="AH291" t="s">
        <v>50</v>
      </c>
      <c r="AI291" t="s">
        <v>46</v>
      </c>
      <c r="AJ291" t="s">
        <v>47</v>
      </c>
      <c r="AK291" t="s">
        <v>61</v>
      </c>
      <c r="AL291">
        <v>25</v>
      </c>
      <c r="AM291">
        <v>7.5</v>
      </c>
      <c r="AN291" t="s">
        <v>152</v>
      </c>
      <c r="AO291" t="s">
        <v>46</v>
      </c>
      <c r="AP291" t="s">
        <v>63</v>
      </c>
      <c r="AQ291">
        <v>189.5</v>
      </c>
      <c r="AR291" t="s">
        <v>50</v>
      </c>
      <c r="AS291" t="s">
        <v>1649</v>
      </c>
      <c r="AT291" t="s">
        <v>63</v>
      </c>
      <c r="AU291" t="s">
        <v>46</v>
      </c>
      <c r="AV291">
        <v>2018</v>
      </c>
      <c r="AW291" t="s">
        <v>46</v>
      </c>
    </row>
    <row r="292" spans="1:49" x14ac:dyDescent="0.2">
      <c r="A292">
        <v>291</v>
      </c>
      <c r="B292" t="s">
        <v>1047</v>
      </c>
      <c r="C292" t="s">
        <v>66</v>
      </c>
      <c r="D292">
        <v>27.902000000000001</v>
      </c>
      <c r="E292" t="s">
        <v>42</v>
      </c>
      <c r="F292">
        <f>D292-16.064</f>
        <v>11.838000000000001</v>
      </c>
      <c r="G292">
        <f>39.741-D292</f>
        <v>11.838999999999999</v>
      </c>
      <c r="H292" t="s">
        <v>69</v>
      </c>
      <c r="I292">
        <v>20</v>
      </c>
      <c r="J292">
        <v>5</v>
      </c>
      <c r="K292" t="s">
        <v>1048</v>
      </c>
      <c r="L292" t="s">
        <v>71</v>
      </c>
      <c r="M292">
        <v>10.478999999999999</v>
      </c>
      <c r="N292" t="s">
        <v>42</v>
      </c>
      <c r="O292">
        <f>M292-9.174</f>
        <v>1.3049999999999997</v>
      </c>
      <c r="P292">
        <f>11.785-M292</f>
        <v>1.3060000000000009</v>
      </c>
      <c r="Q292" t="s">
        <v>69</v>
      </c>
      <c r="R292">
        <v>20</v>
      </c>
      <c r="S292">
        <v>5</v>
      </c>
      <c r="T292" t="s">
        <v>1048</v>
      </c>
      <c r="U292" t="s">
        <v>158</v>
      </c>
      <c r="V292" t="s">
        <v>1054</v>
      </c>
      <c r="W292" t="s">
        <v>1055</v>
      </c>
      <c r="X292" t="s">
        <v>1051</v>
      </c>
      <c r="Y292" t="s">
        <v>46</v>
      </c>
      <c r="Z292" t="s">
        <v>1053</v>
      </c>
      <c r="AA292" t="s">
        <v>1052</v>
      </c>
      <c r="AB292" t="s">
        <v>74</v>
      </c>
      <c r="AC292" t="s">
        <v>38</v>
      </c>
      <c r="AD292" t="s">
        <v>39</v>
      </c>
      <c r="AE292" t="s">
        <v>75</v>
      </c>
      <c r="AF292">
        <v>48</v>
      </c>
      <c r="AG292" t="s">
        <v>40</v>
      </c>
      <c r="AH292" t="s">
        <v>50</v>
      </c>
      <c r="AI292" t="s">
        <v>46</v>
      </c>
      <c r="AJ292" t="s">
        <v>47</v>
      </c>
      <c r="AK292" t="s">
        <v>61</v>
      </c>
      <c r="AL292">
        <v>25</v>
      </c>
      <c r="AM292">
        <v>7.5</v>
      </c>
      <c r="AN292" t="s">
        <v>152</v>
      </c>
      <c r="AO292" t="s">
        <v>46</v>
      </c>
      <c r="AP292" t="s">
        <v>63</v>
      </c>
      <c r="AQ292">
        <v>189.5</v>
      </c>
      <c r="AR292" t="s">
        <v>50</v>
      </c>
      <c r="AS292" t="s">
        <v>1649</v>
      </c>
      <c r="AT292" t="s">
        <v>63</v>
      </c>
      <c r="AU292" t="s">
        <v>46</v>
      </c>
      <c r="AV292">
        <v>2018</v>
      </c>
      <c r="AW292" t="s">
        <v>46</v>
      </c>
    </row>
    <row r="293" spans="1:49" x14ac:dyDescent="0.2">
      <c r="A293">
        <v>292</v>
      </c>
      <c r="B293" t="s">
        <v>1047</v>
      </c>
      <c r="C293" t="s">
        <v>67</v>
      </c>
      <c r="D293">
        <v>1.3819999999999999</v>
      </c>
      <c r="E293" t="s">
        <v>42</v>
      </c>
      <c r="F293">
        <f>D293-1.281</f>
        <v>0.10099999999999998</v>
      </c>
      <c r="G293">
        <f>1.482-D293</f>
        <v>0.10000000000000009</v>
      </c>
      <c r="H293" t="s">
        <v>69</v>
      </c>
      <c r="I293">
        <v>20</v>
      </c>
      <c r="J293">
        <v>5</v>
      </c>
      <c r="K293" t="s">
        <v>1048</v>
      </c>
      <c r="L293" t="s">
        <v>963</v>
      </c>
      <c r="M293">
        <v>1.248</v>
      </c>
      <c r="N293" t="s">
        <v>42</v>
      </c>
      <c r="O293">
        <f>M293-1.209</f>
        <v>3.8999999999999924E-2</v>
      </c>
      <c r="P293">
        <f>1.287-M293</f>
        <v>3.8999999999999924E-2</v>
      </c>
      <c r="Q293" t="s">
        <v>69</v>
      </c>
      <c r="R293">
        <v>20</v>
      </c>
      <c r="S293">
        <v>5</v>
      </c>
      <c r="T293" t="s">
        <v>1048</v>
      </c>
      <c r="U293" t="s">
        <v>158</v>
      </c>
      <c r="V293" t="s">
        <v>1056</v>
      </c>
      <c r="W293" t="s">
        <v>1057</v>
      </c>
      <c r="X293" t="s">
        <v>1058</v>
      </c>
      <c r="Y293" t="s">
        <v>46</v>
      </c>
      <c r="Z293" t="s">
        <v>1059</v>
      </c>
      <c r="AA293" t="s">
        <v>996</v>
      </c>
      <c r="AB293" t="s">
        <v>997</v>
      </c>
      <c r="AC293" t="s">
        <v>38</v>
      </c>
      <c r="AD293" t="s">
        <v>39</v>
      </c>
      <c r="AE293" t="s">
        <v>75</v>
      </c>
      <c r="AF293">
        <v>96</v>
      </c>
      <c r="AG293" t="s">
        <v>77</v>
      </c>
      <c r="AH293" t="s">
        <v>50</v>
      </c>
      <c r="AI293" t="s">
        <v>46</v>
      </c>
      <c r="AJ293" t="s">
        <v>47</v>
      </c>
      <c r="AK293" t="s">
        <v>61</v>
      </c>
      <c r="AL293">
        <v>25</v>
      </c>
      <c r="AM293">
        <v>7.5</v>
      </c>
      <c r="AN293" t="s">
        <v>152</v>
      </c>
      <c r="AO293" t="s">
        <v>46</v>
      </c>
      <c r="AP293" t="s">
        <v>63</v>
      </c>
      <c r="AQ293">
        <v>189.5</v>
      </c>
      <c r="AR293" t="s">
        <v>50</v>
      </c>
      <c r="AS293" t="s">
        <v>1649</v>
      </c>
      <c r="AT293" t="s">
        <v>63</v>
      </c>
      <c r="AU293" t="s">
        <v>46</v>
      </c>
      <c r="AV293">
        <v>2018</v>
      </c>
      <c r="AW293" t="s">
        <v>46</v>
      </c>
    </row>
    <row r="294" spans="1:49" x14ac:dyDescent="0.2">
      <c r="A294">
        <v>293</v>
      </c>
      <c r="B294" t="s">
        <v>1047</v>
      </c>
      <c r="C294" t="s">
        <v>66</v>
      </c>
      <c r="D294">
        <v>20.277000000000001</v>
      </c>
      <c r="E294" t="s">
        <v>42</v>
      </c>
      <c r="F294">
        <f>D294-19.505</f>
        <v>0.77200000000000202</v>
      </c>
      <c r="G294">
        <f>21.04-D294</f>
        <v>0.76299999999999812</v>
      </c>
      <c r="H294" t="s">
        <v>69</v>
      </c>
      <c r="I294">
        <v>20</v>
      </c>
      <c r="J294">
        <v>5</v>
      </c>
      <c r="K294" t="s">
        <v>1048</v>
      </c>
      <c r="L294" t="s">
        <v>71</v>
      </c>
      <c r="M294">
        <v>15.523999999999999</v>
      </c>
      <c r="N294" t="s">
        <v>42</v>
      </c>
      <c r="O294">
        <f>M294-14.938</f>
        <v>0.58599999999999852</v>
      </c>
      <c r="P294">
        <f>16.109-M294</f>
        <v>0.58500000000000263</v>
      </c>
      <c r="Q294" t="s">
        <v>69</v>
      </c>
      <c r="R294">
        <v>20</v>
      </c>
      <c r="S294">
        <v>5</v>
      </c>
      <c r="T294" t="s">
        <v>1048</v>
      </c>
      <c r="U294" t="s">
        <v>158</v>
      </c>
      <c r="V294" t="s">
        <v>1060</v>
      </c>
      <c r="W294" t="s">
        <v>1061</v>
      </c>
      <c r="X294" t="s">
        <v>1058</v>
      </c>
      <c r="Y294" t="s">
        <v>46</v>
      </c>
      <c r="Z294" t="s">
        <v>1059</v>
      </c>
      <c r="AA294" t="s">
        <v>996</v>
      </c>
      <c r="AB294" t="s">
        <v>997</v>
      </c>
      <c r="AC294" t="s">
        <v>38</v>
      </c>
      <c r="AD294" t="s">
        <v>39</v>
      </c>
      <c r="AE294" t="s">
        <v>75</v>
      </c>
      <c r="AF294">
        <v>96</v>
      </c>
      <c r="AG294" t="s">
        <v>40</v>
      </c>
      <c r="AH294" t="s">
        <v>50</v>
      </c>
      <c r="AI294" t="s">
        <v>46</v>
      </c>
      <c r="AJ294" t="s">
        <v>47</v>
      </c>
      <c r="AK294" t="s">
        <v>61</v>
      </c>
      <c r="AL294">
        <v>25</v>
      </c>
      <c r="AM294">
        <v>7.5</v>
      </c>
      <c r="AN294" t="s">
        <v>152</v>
      </c>
      <c r="AO294" t="s">
        <v>46</v>
      </c>
      <c r="AP294" t="s">
        <v>63</v>
      </c>
      <c r="AQ294">
        <v>189.5</v>
      </c>
      <c r="AR294" t="s">
        <v>50</v>
      </c>
      <c r="AS294" t="s">
        <v>1649</v>
      </c>
      <c r="AT294" t="s">
        <v>63</v>
      </c>
      <c r="AU294" t="s">
        <v>46</v>
      </c>
      <c r="AV294">
        <v>2018</v>
      </c>
      <c r="AW294" t="s">
        <v>46</v>
      </c>
    </row>
    <row r="295" spans="1:49" x14ac:dyDescent="0.2">
      <c r="A295">
        <v>294</v>
      </c>
      <c r="B295" t="s">
        <v>1047</v>
      </c>
      <c r="C295" t="s">
        <v>67</v>
      </c>
      <c r="D295">
        <v>0.314</v>
      </c>
      <c r="E295" t="s">
        <v>42</v>
      </c>
      <c r="F295">
        <f>D295-0.279</f>
        <v>3.4999999999999976E-2</v>
      </c>
      <c r="G295">
        <f>0.349-D295</f>
        <v>3.4999999999999976E-2</v>
      </c>
      <c r="H295" t="s">
        <v>69</v>
      </c>
      <c r="I295">
        <v>20</v>
      </c>
      <c r="J295">
        <v>5</v>
      </c>
      <c r="K295" t="s">
        <v>1048</v>
      </c>
      <c r="L295" t="s">
        <v>963</v>
      </c>
      <c r="M295">
        <v>0.253</v>
      </c>
      <c r="N295" t="s">
        <v>42</v>
      </c>
      <c r="O295">
        <f>M295-0.232</f>
        <v>2.0999999999999991E-2</v>
      </c>
      <c r="P295">
        <f>0.274-M295</f>
        <v>2.1000000000000019E-2</v>
      </c>
      <c r="Q295" t="s">
        <v>69</v>
      </c>
      <c r="R295">
        <v>20</v>
      </c>
      <c r="S295">
        <v>5</v>
      </c>
      <c r="T295" t="s">
        <v>1048</v>
      </c>
      <c r="U295" t="s">
        <v>158</v>
      </c>
      <c r="V295" t="s">
        <v>1062</v>
      </c>
      <c r="W295" t="s">
        <v>1063</v>
      </c>
      <c r="X295" t="s">
        <v>1064</v>
      </c>
      <c r="Y295" t="s">
        <v>46</v>
      </c>
      <c r="Z295" t="s">
        <v>1059</v>
      </c>
      <c r="AA295" t="s">
        <v>1065</v>
      </c>
      <c r="AB295" t="s">
        <v>997</v>
      </c>
      <c r="AC295" t="s">
        <v>38</v>
      </c>
      <c r="AD295" t="s">
        <v>39</v>
      </c>
      <c r="AE295" t="s">
        <v>75</v>
      </c>
      <c r="AF295">
        <v>96</v>
      </c>
      <c r="AG295" t="s">
        <v>77</v>
      </c>
      <c r="AH295" t="s">
        <v>50</v>
      </c>
      <c r="AI295" t="s">
        <v>46</v>
      </c>
      <c r="AJ295" t="s">
        <v>47</v>
      </c>
      <c r="AK295" t="s">
        <v>61</v>
      </c>
      <c r="AL295">
        <v>25</v>
      </c>
      <c r="AM295">
        <v>7.5</v>
      </c>
      <c r="AN295" t="s">
        <v>152</v>
      </c>
      <c r="AO295" t="s">
        <v>46</v>
      </c>
      <c r="AP295" t="s">
        <v>63</v>
      </c>
      <c r="AQ295">
        <v>189.5</v>
      </c>
      <c r="AR295" t="s">
        <v>50</v>
      </c>
      <c r="AS295" t="s">
        <v>1649</v>
      </c>
      <c r="AT295" t="s">
        <v>63</v>
      </c>
      <c r="AU295" t="s">
        <v>46</v>
      </c>
      <c r="AV295">
        <v>2018</v>
      </c>
      <c r="AW295" t="s">
        <v>46</v>
      </c>
    </row>
    <row r="296" spans="1:49" x14ac:dyDescent="0.2">
      <c r="A296">
        <v>295</v>
      </c>
      <c r="B296" t="s">
        <v>1047</v>
      </c>
      <c r="C296" t="s">
        <v>66</v>
      </c>
      <c r="D296">
        <v>12.18</v>
      </c>
      <c r="E296" t="s">
        <v>42</v>
      </c>
      <c r="F296">
        <f>D296-11.575</f>
        <v>0.60500000000000043</v>
      </c>
      <c r="G296">
        <f>12.784-D296</f>
        <v>0.60400000000000098</v>
      </c>
      <c r="H296" t="s">
        <v>69</v>
      </c>
      <c r="I296">
        <v>20</v>
      </c>
      <c r="J296">
        <v>5</v>
      </c>
      <c r="K296" t="s">
        <v>1048</v>
      </c>
      <c r="L296" t="s">
        <v>71</v>
      </c>
      <c r="M296">
        <v>4.6109999999999998</v>
      </c>
      <c r="N296" t="s">
        <v>42</v>
      </c>
      <c r="O296">
        <f>M296-4.421</f>
        <v>0.1899999999999995</v>
      </c>
      <c r="P296">
        <f>4.8-M296</f>
        <v>0.18900000000000006</v>
      </c>
      <c r="Q296" t="s">
        <v>69</v>
      </c>
      <c r="R296">
        <v>20</v>
      </c>
      <c r="S296">
        <v>5</v>
      </c>
      <c r="T296" t="s">
        <v>1048</v>
      </c>
      <c r="U296" t="s">
        <v>158</v>
      </c>
      <c r="V296" t="s">
        <v>1066</v>
      </c>
      <c r="W296" t="s">
        <v>1067</v>
      </c>
      <c r="X296" t="s">
        <v>1064</v>
      </c>
      <c r="Y296" t="s">
        <v>46</v>
      </c>
      <c r="Z296" t="s">
        <v>1059</v>
      </c>
      <c r="AA296" t="s">
        <v>1065</v>
      </c>
      <c r="AB296" t="s">
        <v>997</v>
      </c>
      <c r="AC296" t="s">
        <v>38</v>
      </c>
      <c r="AD296" t="s">
        <v>39</v>
      </c>
      <c r="AE296" t="s">
        <v>75</v>
      </c>
      <c r="AF296">
        <v>96</v>
      </c>
      <c r="AG296" t="s">
        <v>40</v>
      </c>
      <c r="AH296" t="s">
        <v>50</v>
      </c>
      <c r="AI296" t="s">
        <v>46</v>
      </c>
      <c r="AJ296" t="s">
        <v>47</v>
      </c>
      <c r="AK296" t="s">
        <v>61</v>
      </c>
      <c r="AL296">
        <v>25</v>
      </c>
      <c r="AM296">
        <v>7.5</v>
      </c>
      <c r="AN296" t="s">
        <v>152</v>
      </c>
      <c r="AO296" t="s">
        <v>46</v>
      </c>
      <c r="AP296" t="s">
        <v>63</v>
      </c>
      <c r="AQ296">
        <v>189.5</v>
      </c>
      <c r="AR296" t="s">
        <v>50</v>
      </c>
      <c r="AS296" t="s">
        <v>1649</v>
      </c>
      <c r="AT296" t="s">
        <v>63</v>
      </c>
      <c r="AU296" t="s">
        <v>46</v>
      </c>
      <c r="AV296">
        <v>2018</v>
      </c>
      <c r="AW296" t="s">
        <v>46</v>
      </c>
    </row>
    <row r="297" spans="1:49" x14ac:dyDescent="0.2">
      <c r="A297">
        <v>296</v>
      </c>
      <c r="B297" t="s">
        <v>1068</v>
      </c>
      <c r="C297" t="s">
        <v>33</v>
      </c>
      <c r="D297">
        <v>10.430107526881701</v>
      </c>
      <c r="E297" t="s">
        <v>42</v>
      </c>
      <c r="F297">
        <f>D297-[1]Sheet1!$E$2</f>
        <v>0.86021505376342056</v>
      </c>
      <c r="G297">
        <f>[1]Sheet1!$F$2-D297</f>
        <v>0.86021505376339924</v>
      </c>
      <c r="H297" t="s">
        <v>69</v>
      </c>
      <c r="I297">
        <v>4</v>
      </c>
      <c r="J297">
        <v>10</v>
      </c>
      <c r="K297" t="s">
        <v>990</v>
      </c>
      <c r="L297" t="s">
        <v>1069</v>
      </c>
      <c r="M297">
        <v>3.9139784946236502</v>
      </c>
      <c r="N297" t="s">
        <v>42</v>
      </c>
      <c r="O297">
        <f>M297-[1]Sheet1!$E$9</f>
        <v>0.12903225806452001</v>
      </c>
      <c r="P297">
        <f>[1]Sheet1!$F$9-M297</f>
        <v>0.19354838709677979</v>
      </c>
      <c r="Q297" t="s">
        <v>69</v>
      </c>
      <c r="R297">
        <v>4</v>
      </c>
      <c r="S297">
        <v>10</v>
      </c>
      <c r="T297" t="s">
        <v>990</v>
      </c>
      <c r="U297" t="s">
        <v>156</v>
      </c>
      <c r="V297" t="s">
        <v>1073</v>
      </c>
      <c r="W297" t="s">
        <v>1080</v>
      </c>
      <c r="X297" t="s">
        <v>1070</v>
      </c>
      <c r="Y297" t="s">
        <v>1071</v>
      </c>
      <c r="Z297" t="s">
        <v>1072</v>
      </c>
      <c r="AA297" t="s">
        <v>60</v>
      </c>
      <c r="AB297" t="s">
        <v>37</v>
      </c>
      <c r="AC297" t="s">
        <v>38</v>
      </c>
      <c r="AD297" t="s">
        <v>179</v>
      </c>
      <c r="AE297" t="s">
        <v>45</v>
      </c>
      <c r="AF297">
        <v>24</v>
      </c>
      <c r="AG297" t="s">
        <v>40</v>
      </c>
      <c r="AH297" t="s">
        <v>50</v>
      </c>
      <c r="AI297" t="s">
        <v>46</v>
      </c>
      <c r="AJ297" t="s">
        <v>47</v>
      </c>
      <c r="AK297" t="s">
        <v>61</v>
      </c>
      <c r="AL297">
        <v>20</v>
      </c>
      <c r="AM297" t="s">
        <v>46</v>
      </c>
      <c r="AN297" t="s">
        <v>46</v>
      </c>
      <c r="AO297" t="s">
        <v>1081</v>
      </c>
      <c r="AP297" t="s">
        <v>63</v>
      </c>
      <c r="AQ297" t="s">
        <v>46</v>
      </c>
      <c r="AR297" t="s">
        <v>50</v>
      </c>
      <c r="AS297" t="s">
        <v>1630</v>
      </c>
      <c r="AT297" t="s">
        <v>63</v>
      </c>
      <c r="AU297" t="s">
        <v>46</v>
      </c>
      <c r="AV297">
        <v>2009</v>
      </c>
      <c r="AW297" t="s">
        <v>1109</v>
      </c>
    </row>
    <row r="298" spans="1:49" x14ac:dyDescent="0.2">
      <c r="A298">
        <v>297</v>
      </c>
      <c r="B298" t="s">
        <v>1068</v>
      </c>
      <c r="C298" t="s">
        <v>33</v>
      </c>
      <c r="D298">
        <v>10.2365591397849</v>
      </c>
      <c r="E298" t="s">
        <v>42</v>
      </c>
      <c r="F298">
        <f>D298-[1]Sheet1!$E$3</f>
        <v>0.96774193548382925</v>
      </c>
      <c r="G298">
        <f>[1]Sheet1!$F$3-D298</f>
        <v>0.73118279569890099</v>
      </c>
      <c r="H298" t="s">
        <v>69</v>
      </c>
      <c r="I298">
        <v>4</v>
      </c>
      <c r="J298">
        <v>10</v>
      </c>
      <c r="K298" t="s">
        <v>990</v>
      </c>
      <c r="L298" t="s">
        <v>1069</v>
      </c>
      <c r="M298">
        <v>3.8924731182795602</v>
      </c>
      <c r="N298" t="s">
        <v>42</v>
      </c>
      <c r="O298">
        <f>M298-[1]Sheet1!$E$10</f>
        <v>0.10752688172043001</v>
      </c>
      <c r="P298">
        <f>[1]Sheet1!$F$10-M298</f>
        <v>0.21505376344086979</v>
      </c>
      <c r="Q298" t="s">
        <v>69</v>
      </c>
      <c r="R298">
        <v>4</v>
      </c>
      <c r="S298">
        <v>10</v>
      </c>
      <c r="T298" t="s">
        <v>990</v>
      </c>
      <c r="U298" t="s">
        <v>156</v>
      </c>
      <c r="V298" t="s">
        <v>1074</v>
      </c>
      <c r="W298" t="s">
        <v>1080</v>
      </c>
      <c r="X298" t="s">
        <v>1070</v>
      </c>
      <c r="Y298" t="s">
        <v>1071</v>
      </c>
      <c r="Z298" t="s">
        <v>1072</v>
      </c>
      <c r="AA298" t="s">
        <v>60</v>
      </c>
      <c r="AB298" t="s">
        <v>37</v>
      </c>
      <c r="AC298" t="s">
        <v>38</v>
      </c>
      <c r="AD298" t="s">
        <v>179</v>
      </c>
      <c r="AE298" t="s">
        <v>45</v>
      </c>
      <c r="AF298">
        <v>48</v>
      </c>
      <c r="AG298" t="s">
        <v>40</v>
      </c>
      <c r="AH298" t="s">
        <v>50</v>
      </c>
      <c r="AI298" t="s">
        <v>46</v>
      </c>
      <c r="AJ298" t="s">
        <v>47</v>
      </c>
      <c r="AK298" t="s">
        <v>61</v>
      </c>
      <c r="AL298">
        <v>20</v>
      </c>
      <c r="AM298" t="s">
        <v>46</v>
      </c>
      <c r="AN298" t="s">
        <v>46</v>
      </c>
      <c r="AO298" t="s">
        <v>1081</v>
      </c>
      <c r="AP298" t="s">
        <v>63</v>
      </c>
      <c r="AQ298" t="s">
        <v>46</v>
      </c>
      <c r="AR298" t="s">
        <v>50</v>
      </c>
      <c r="AS298" t="s">
        <v>1630</v>
      </c>
      <c r="AT298" t="s">
        <v>63</v>
      </c>
      <c r="AU298" t="s">
        <v>46</v>
      </c>
      <c r="AV298">
        <v>2009</v>
      </c>
      <c r="AW298" t="s">
        <v>1109</v>
      </c>
    </row>
    <row r="299" spans="1:49" x14ac:dyDescent="0.2">
      <c r="A299">
        <v>298</v>
      </c>
      <c r="B299" t="s">
        <v>1068</v>
      </c>
      <c r="C299" t="s">
        <v>33</v>
      </c>
      <c r="D299">
        <v>9.5268817204301008</v>
      </c>
      <c r="E299" t="s">
        <v>42</v>
      </c>
      <c r="F299">
        <f>D299-[1]Sheet1!$E$4</f>
        <v>1.0967741935483808</v>
      </c>
      <c r="G299">
        <f>[1]Sheet1!$F$4-D299</f>
        <v>0.6236559139784994</v>
      </c>
      <c r="H299" t="s">
        <v>69</v>
      </c>
      <c r="I299">
        <v>4</v>
      </c>
      <c r="J299">
        <v>10</v>
      </c>
      <c r="K299" t="s">
        <v>990</v>
      </c>
      <c r="L299" t="s">
        <v>1069</v>
      </c>
      <c r="M299">
        <v>3.5913978494623602</v>
      </c>
      <c r="N299" t="s">
        <v>42</v>
      </c>
      <c r="O299">
        <f>M299-[1]Sheet1!$E$11</f>
        <v>0.30107526881720004</v>
      </c>
      <c r="P299">
        <f>[1]Sheet1!$F$11-M299</f>
        <v>0.25806451612902981</v>
      </c>
      <c r="Q299" t="s">
        <v>69</v>
      </c>
      <c r="R299">
        <v>4</v>
      </c>
      <c r="S299">
        <v>10</v>
      </c>
      <c r="T299" t="s">
        <v>990</v>
      </c>
      <c r="U299" t="s">
        <v>156</v>
      </c>
      <c r="V299" t="s">
        <v>1075</v>
      </c>
      <c r="W299" t="s">
        <v>1080</v>
      </c>
      <c r="X299" t="s">
        <v>1070</v>
      </c>
      <c r="Y299" t="s">
        <v>1071</v>
      </c>
      <c r="Z299" t="s">
        <v>1072</v>
      </c>
      <c r="AA299" t="s">
        <v>60</v>
      </c>
      <c r="AB299" t="s">
        <v>37</v>
      </c>
      <c r="AC299" t="s">
        <v>38</v>
      </c>
      <c r="AD299" t="s">
        <v>179</v>
      </c>
      <c r="AE299" t="s">
        <v>45</v>
      </c>
      <c r="AF299">
        <v>72</v>
      </c>
      <c r="AG299" t="s">
        <v>40</v>
      </c>
      <c r="AH299" t="s">
        <v>50</v>
      </c>
      <c r="AI299" t="s">
        <v>46</v>
      </c>
      <c r="AJ299" t="s">
        <v>47</v>
      </c>
      <c r="AK299" t="s">
        <v>61</v>
      </c>
      <c r="AL299">
        <v>20</v>
      </c>
      <c r="AM299" t="s">
        <v>46</v>
      </c>
      <c r="AN299" t="s">
        <v>46</v>
      </c>
      <c r="AO299" t="s">
        <v>1081</v>
      </c>
      <c r="AP299" t="s">
        <v>63</v>
      </c>
      <c r="AQ299" t="s">
        <v>46</v>
      </c>
      <c r="AR299" t="s">
        <v>50</v>
      </c>
      <c r="AS299" t="s">
        <v>1630</v>
      </c>
      <c r="AT299" t="s">
        <v>63</v>
      </c>
      <c r="AU299" t="s">
        <v>46</v>
      </c>
      <c r="AV299">
        <v>2009</v>
      </c>
      <c r="AW299" t="s">
        <v>1109</v>
      </c>
    </row>
    <row r="300" spans="1:49" x14ac:dyDescent="0.2">
      <c r="A300">
        <v>299</v>
      </c>
      <c r="B300" t="s">
        <v>1068</v>
      </c>
      <c r="C300" t="s">
        <v>33</v>
      </c>
      <c r="D300">
        <v>9.0967741935483808</v>
      </c>
      <c r="E300" t="s">
        <v>42</v>
      </c>
      <c r="F300">
        <f>D300-[1]Sheet1!$E$5</f>
        <v>0.81720430107527164</v>
      </c>
      <c r="G300">
        <f>[1]Sheet1!$F$5-D300</f>
        <v>0.66666666666666963</v>
      </c>
      <c r="H300" t="s">
        <v>69</v>
      </c>
      <c r="I300">
        <v>4</v>
      </c>
      <c r="J300">
        <v>10</v>
      </c>
      <c r="K300" t="s">
        <v>990</v>
      </c>
      <c r="L300" t="s">
        <v>1069</v>
      </c>
      <c r="M300">
        <v>3.5053763440860202</v>
      </c>
      <c r="N300" t="s">
        <v>42</v>
      </c>
      <c r="O300">
        <f>M300-[1]Sheet1!$E$12</f>
        <v>0.25806451612904002</v>
      </c>
      <c r="P300">
        <f>[1]Sheet1!$F$12-M300</f>
        <v>0.21505376344086002</v>
      </c>
      <c r="Q300" t="s">
        <v>69</v>
      </c>
      <c r="R300">
        <v>4</v>
      </c>
      <c r="S300">
        <v>10</v>
      </c>
      <c r="T300" t="s">
        <v>990</v>
      </c>
      <c r="U300" t="s">
        <v>156</v>
      </c>
      <c r="V300" t="s">
        <v>1076</v>
      </c>
      <c r="W300" t="s">
        <v>1080</v>
      </c>
      <c r="X300" t="s">
        <v>1070</v>
      </c>
      <c r="Y300" t="s">
        <v>1071</v>
      </c>
      <c r="Z300" t="s">
        <v>1072</v>
      </c>
      <c r="AA300" t="s">
        <v>60</v>
      </c>
      <c r="AB300" t="s">
        <v>37</v>
      </c>
      <c r="AC300" t="s">
        <v>38</v>
      </c>
      <c r="AD300" t="s">
        <v>179</v>
      </c>
      <c r="AE300" t="s">
        <v>45</v>
      </c>
      <c r="AF300">
        <v>96</v>
      </c>
      <c r="AG300" t="s">
        <v>40</v>
      </c>
      <c r="AH300" t="s">
        <v>50</v>
      </c>
      <c r="AI300" t="s">
        <v>46</v>
      </c>
      <c r="AJ300" t="s">
        <v>47</v>
      </c>
      <c r="AK300" t="s">
        <v>61</v>
      </c>
      <c r="AL300">
        <v>20</v>
      </c>
      <c r="AM300" t="s">
        <v>46</v>
      </c>
      <c r="AN300" t="s">
        <v>46</v>
      </c>
      <c r="AO300" t="s">
        <v>1081</v>
      </c>
      <c r="AP300" t="s">
        <v>63</v>
      </c>
      <c r="AQ300" t="s">
        <v>46</v>
      </c>
      <c r="AR300" t="s">
        <v>50</v>
      </c>
      <c r="AS300" t="s">
        <v>1630</v>
      </c>
      <c r="AT300" t="s">
        <v>63</v>
      </c>
      <c r="AU300" t="s">
        <v>46</v>
      </c>
      <c r="AV300">
        <v>2009</v>
      </c>
      <c r="AW300" t="s">
        <v>1109</v>
      </c>
    </row>
    <row r="301" spans="1:49" x14ac:dyDescent="0.2">
      <c r="A301">
        <v>300</v>
      </c>
      <c r="B301" t="s">
        <v>1068</v>
      </c>
      <c r="C301" t="s">
        <v>33</v>
      </c>
      <c r="D301">
        <v>8.3655913978494603</v>
      </c>
      <c r="E301" t="s">
        <v>42</v>
      </c>
      <c r="F301">
        <f>D301-[1]Sheet1!$E$6</f>
        <v>0.5591397849462405</v>
      </c>
      <c r="G301">
        <f>[1]Sheet1!$F$6-D301</f>
        <v>0.66666666666665897</v>
      </c>
      <c r="H301" t="s">
        <v>69</v>
      </c>
      <c r="I301">
        <v>4</v>
      </c>
      <c r="J301">
        <v>10</v>
      </c>
      <c r="K301" t="s">
        <v>990</v>
      </c>
      <c r="L301" t="s">
        <v>1069</v>
      </c>
      <c r="M301">
        <v>3.0322580645161201</v>
      </c>
      <c r="N301" t="s">
        <v>42</v>
      </c>
      <c r="O301">
        <f>M301-[1]Sheet1!$E$13</f>
        <v>0.25806451612903025</v>
      </c>
      <c r="P301">
        <f>[1]Sheet1!$F$13-M301</f>
        <v>0.25806451612904002</v>
      </c>
      <c r="Q301" t="s">
        <v>69</v>
      </c>
      <c r="R301">
        <v>4</v>
      </c>
      <c r="S301">
        <v>10</v>
      </c>
      <c r="T301" t="s">
        <v>990</v>
      </c>
      <c r="U301" t="s">
        <v>156</v>
      </c>
      <c r="V301" t="s">
        <v>1077</v>
      </c>
      <c r="W301" t="s">
        <v>1080</v>
      </c>
      <c r="X301" t="s">
        <v>1070</v>
      </c>
      <c r="Y301" t="s">
        <v>1071</v>
      </c>
      <c r="Z301" t="s">
        <v>1072</v>
      </c>
      <c r="AA301" t="s">
        <v>60</v>
      </c>
      <c r="AB301" t="s">
        <v>37</v>
      </c>
      <c r="AC301" t="s">
        <v>38</v>
      </c>
      <c r="AD301" t="s">
        <v>179</v>
      </c>
      <c r="AE301" t="s">
        <v>45</v>
      </c>
      <c r="AF301">
        <v>120</v>
      </c>
      <c r="AG301" t="s">
        <v>40</v>
      </c>
      <c r="AH301" t="s">
        <v>50</v>
      </c>
      <c r="AI301" t="s">
        <v>46</v>
      </c>
      <c r="AJ301" t="s">
        <v>47</v>
      </c>
      <c r="AK301" t="s">
        <v>48</v>
      </c>
      <c r="AL301">
        <v>20</v>
      </c>
      <c r="AM301" t="s">
        <v>46</v>
      </c>
      <c r="AN301" t="s">
        <v>46</v>
      </c>
      <c r="AO301" t="s">
        <v>1081</v>
      </c>
      <c r="AP301" t="s">
        <v>63</v>
      </c>
      <c r="AQ301" t="s">
        <v>46</v>
      </c>
      <c r="AR301" t="s">
        <v>50</v>
      </c>
      <c r="AS301" t="s">
        <v>1630</v>
      </c>
      <c r="AT301" t="s">
        <v>63</v>
      </c>
      <c r="AU301" t="s">
        <v>46</v>
      </c>
      <c r="AV301">
        <v>2009</v>
      </c>
      <c r="AW301" t="s">
        <v>46</v>
      </c>
    </row>
    <row r="302" spans="1:49" x14ac:dyDescent="0.2">
      <c r="A302">
        <v>301</v>
      </c>
      <c r="B302" t="s">
        <v>1068</v>
      </c>
      <c r="C302" t="s">
        <v>33</v>
      </c>
      <c r="D302">
        <v>8.10752688172043</v>
      </c>
      <c r="E302" t="s">
        <v>42</v>
      </c>
      <c r="F302">
        <f>D302-[1]Sheet1!$E$7</f>
        <v>0.60215053763440984</v>
      </c>
      <c r="G302">
        <f>[1]Sheet1!$F$7-D302</f>
        <v>0.60215053763439919</v>
      </c>
      <c r="H302" t="s">
        <v>69</v>
      </c>
      <c r="I302">
        <v>4</v>
      </c>
      <c r="J302">
        <v>10</v>
      </c>
      <c r="K302" t="s">
        <v>990</v>
      </c>
      <c r="L302" t="s">
        <v>1069</v>
      </c>
      <c r="M302">
        <v>2.9247311827956999</v>
      </c>
      <c r="N302" t="s">
        <v>42</v>
      </c>
      <c r="O302">
        <f>M302-[1]Sheet1!$E$14</f>
        <v>0.25806451612904002</v>
      </c>
      <c r="P302">
        <f>[1]Sheet1!$F$14-M302</f>
        <v>0.21505376344085025</v>
      </c>
      <c r="Q302" t="s">
        <v>69</v>
      </c>
      <c r="R302">
        <v>4</v>
      </c>
      <c r="S302">
        <v>10</v>
      </c>
      <c r="T302" t="s">
        <v>990</v>
      </c>
      <c r="U302" t="s">
        <v>156</v>
      </c>
      <c r="V302" t="s">
        <v>1078</v>
      </c>
      <c r="W302" t="s">
        <v>1080</v>
      </c>
      <c r="X302" t="s">
        <v>1070</v>
      </c>
      <c r="Y302" t="s">
        <v>1071</v>
      </c>
      <c r="Z302" t="s">
        <v>1072</v>
      </c>
      <c r="AA302" t="s">
        <v>60</v>
      </c>
      <c r="AB302" t="s">
        <v>37</v>
      </c>
      <c r="AC302" t="s">
        <v>38</v>
      </c>
      <c r="AD302" t="s">
        <v>179</v>
      </c>
      <c r="AE302" t="s">
        <v>45</v>
      </c>
      <c r="AF302">
        <v>144</v>
      </c>
      <c r="AG302" t="s">
        <v>40</v>
      </c>
      <c r="AH302" t="s">
        <v>50</v>
      </c>
      <c r="AI302" t="s">
        <v>46</v>
      </c>
      <c r="AJ302" t="s">
        <v>47</v>
      </c>
      <c r="AK302" t="s">
        <v>48</v>
      </c>
      <c r="AL302">
        <v>20</v>
      </c>
      <c r="AM302" t="s">
        <v>46</v>
      </c>
      <c r="AN302" t="s">
        <v>46</v>
      </c>
      <c r="AO302" t="s">
        <v>1081</v>
      </c>
      <c r="AP302" t="s">
        <v>63</v>
      </c>
      <c r="AQ302" t="s">
        <v>46</v>
      </c>
      <c r="AR302" t="s">
        <v>50</v>
      </c>
      <c r="AS302" t="s">
        <v>1630</v>
      </c>
      <c r="AT302" t="s">
        <v>63</v>
      </c>
      <c r="AU302" t="s">
        <v>46</v>
      </c>
      <c r="AV302">
        <v>2009</v>
      </c>
      <c r="AW302" t="s">
        <v>46</v>
      </c>
    </row>
    <row r="303" spans="1:49" x14ac:dyDescent="0.2">
      <c r="A303">
        <v>302</v>
      </c>
      <c r="B303" t="s">
        <v>1068</v>
      </c>
      <c r="C303" t="s">
        <v>33</v>
      </c>
      <c r="D303">
        <v>7.8064516129032198</v>
      </c>
      <c r="E303" t="s">
        <v>42</v>
      </c>
      <c r="F303">
        <f>D303-[1]Sheet1!$E$8</f>
        <v>0.79569892473117942</v>
      </c>
      <c r="G303">
        <f>[1]Sheet1!$F$8-D303</f>
        <v>0.5806451612903194</v>
      </c>
      <c r="H303" t="s">
        <v>69</v>
      </c>
      <c r="I303">
        <v>4</v>
      </c>
      <c r="J303">
        <v>10</v>
      </c>
      <c r="K303" t="s">
        <v>990</v>
      </c>
      <c r="L303" t="s">
        <v>1069</v>
      </c>
      <c r="M303">
        <v>2.9247311827956999</v>
      </c>
      <c r="N303" t="s">
        <v>42</v>
      </c>
      <c r="O303">
        <f>M303-[1]Sheet1!$E$15</f>
        <v>0.25806451612904002</v>
      </c>
      <c r="P303">
        <f>[1]Sheet1!$F$15-M303</f>
        <v>0.17204301075268003</v>
      </c>
      <c r="Q303" t="s">
        <v>69</v>
      </c>
      <c r="R303">
        <v>4</v>
      </c>
      <c r="S303">
        <v>10</v>
      </c>
      <c r="T303" t="s">
        <v>990</v>
      </c>
      <c r="U303" t="s">
        <v>156</v>
      </c>
      <c r="V303" t="s">
        <v>1079</v>
      </c>
      <c r="W303" t="s">
        <v>1080</v>
      </c>
      <c r="X303" t="s">
        <v>1070</v>
      </c>
      <c r="Y303" t="s">
        <v>1071</v>
      </c>
      <c r="Z303" t="s">
        <v>1072</v>
      </c>
      <c r="AA303" t="s">
        <v>60</v>
      </c>
      <c r="AB303" t="s">
        <v>37</v>
      </c>
      <c r="AC303" t="s">
        <v>38</v>
      </c>
      <c r="AD303" t="s">
        <v>179</v>
      </c>
      <c r="AE303" t="s">
        <v>45</v>
      </c>
      <c r="AF303">
        <v>168</v>
      </c>
      <c r="AG303" t="s">
        <v>40</v>
      </c>
      <c r="AH303" t="s">
        <v>50</v>
      </c>
      <c r="AI303" t="s">
        <v>46</v>
      </c>
      <c r="AJ303" t="s">
        <v>47</v>
      </c>
      <c r="AK303" t="s">
        <v>48</v>
      </c>
      <c r="AL303">
        <v>20</v>
      </c>
      <c r="AM303" t="s">
        <v>46</v>
      </c>
      <c r="AN303" t="s">
        <v>46</v>
      </c>
      <c r="AO303" s="3" t="s">
        <v>1081</v>
      </c>
      <c r="AP303" t="s">
        <v>63</v>
      </c>
      <c r="AQ303" t="s">
        <v>46</v>
      </c>
      <c r="AR303" t="s">
        <v>50</v>
      </c>
      <c r="AS303" t="s">
        <v>1630</v>
      </c>
      <c r="AT303" t="s">
        <v>63</v>
      </c>
      <c r="AU303" t="s">
        <v>46</v>
      </c>
      <c r="AV303">
        <v>2009</v>
      </c>
      <c r="AW303" t="s">
        <v>46</v>
      </c>
    </row>
    <row r="304" spans="1:49" x14ac:dyDescent="0.2">
      <c r="A304">
        <v>303</v>
      </c>
      <c r="B304" t="s">
        <v>1068</v>
      </c>
      <c r="C304" t="s">
        <v>33</v>
      </c>
      <c r="D304">
        <v>14.3587786259541</v>
      </c>
      <c r="E304" t="s">
        <v>42</v>
      </c>
      <c r="F304">
        <f>D304-[2]Sheet1!$E$3</f>
        <v>1.0305343511450005</v>
      </c>
      <c r="G304">
        <f>[2]Sheet1!$F$3-D304</f>
        <v>1.1679389312977992</v>
      </c>
      <c r="H304" t="s">
        <v>69</v>
      </c>
      <c r="I304">
        <v>4</v>
      </c>
      <c r="J304">
        <v>10</v>
      </c>
      <c r="K304" t="s">
        <v>990</v>
      </c>
      <c r="L304" t="s">
        <v>1069</v>
      </c>
      <c r="M304">
        <v>5.2213740458015199</v>
      </c>
      <c r="N304" t="s">
        <v>42</v>
      </c>
      <c r="O304">
        <f>M304-[2]Sheet1!$E$11</f>
        <v>0.6870229007633597</v>
      </c>
      <c r="P304">
        <f>[2]Sheet1!$F$11-M304</f>
        <v>0.48091603053434984</v>
      </c>
      <c r="Q304" t="s">
        <v>69</v>
      </c>
      <c r="R304">
        <v>4</v>
      </c>
      <c r="S304">
        <v>10</v>
      </c>
      <c r="T304" t="s">
        <v>990</v>
      </c>
      <c r="U304" t="s">
        <v>156</v>
      </c>
      <c r="V304" t="s">
        <v>1082</v>
      </c>
      <c r="W304" t="s">
        <v>1088</v>
      </c>
      <c r="X304" t="s">
        <v>1070</v>
      </c>
      <c r="Y304" t="s">
        <v>1071</v>
      </c>
      <c r="Z304" t="s">
        <v>1072</v>
      </c>
      <c r="AA304" t="s">
        <v>60</v>
      </c>
      <c r="AB304" t="s">
        <v>37</v>
      </c>
      <c r="AC304" t="s">
        <v>38</v>
      </c>
      <c r="AD304" t="s">
        <v>179</v>
      </c>
      <c r="AE304" t="s">
        <v>45</v>
      </c>
      <c r="AF304">
        <v>24</v>
      </c>
      <c r="AG304" t="s">
        <v>40</v>
      </c>
      <c r="AH304" t="s">
        <v>50</v>
      </c>
      <c r="AI304" t="s">
        <v>46</v>
      </c>
      <c r="AJ304" t="s">
        <v>47</v>
      </c>
      <c r="AK304" t="s">
        <v>61</v>
      </c>
      <c r="AL304">
        <v>20</v>
      </c>
      <c r="AM304" t="s">
        <v>46</v>
      </c>
      <c r="AN304" t="s">
        <v>46</v>
      </c>
      <c r="AO304" t="s">
        <v>1099</v>
      </c>
      <c r="AP304" t="s">
        <v>63</v>
      </c>
      <c r="AQ304" t="s">
        <v>46</v>
      </c>
      <c r="AR304" t="s">
        <v>50</v>
      </c>
      <c r="AS304" t="s">
        <v>1630</v>
      </c>
      <c r="AT304" t="s">
        <v>63</v>
      </c>
      <c r="AU304" t="s">
        <v>46</v>
      </c>
      <c r="AV304">
        <v>2009</v>
      </c>
      <c r="AW304" s="3" t="s">
        <v>46</v>
      </c>
    </row>
    <row r="305" spans="1:49" x14ac:dyDescent="0.2">
      <c r="A305">
        <v>304</v>
      </c>
      <c r="B305" t="s">
        <v>1068</v>
      </c>
      <c r="C305" t="s">
        <v>33</v>
      </c>
      <c r="D305">
        <v>14.633587786259501</v>
      </c>
      <c r="E305" t="s">
        <v>42</v>
      </c>
      <c r="F305">
        <f>D305-[2]Sheet1!$E$4</f>
        <v>0.48091603053440046</v>
      </c>
      <c r="G305">
        <f>[2]Sheet1!$F$4-D305</f>
        <v>0.34351145038169939</v>
      </c>
      <c r="H305" t="s">
        <v>69</v>
      </c>
      <c r="I305">
        <v>4</v>
      </c>
      <c r="J305">
        <v>10</v>
      </c>
      <c r="K305" t="s">
        <v>990</v>
      </c>
      <c r="L305" t="s">
        <v>1069</v>
      </c>
      <c r="M305">
        <v>5.2900763358778597</v>
      </c>
      <c r="N305" t="s">
        <v>42</v>
      </c>
      <c r="O305">
        <f>M305-[2]Sheet1!$E$12</f>
        <v>0.82442748091602969</v>
      </c>
      <c r="P305">
        <f>[2]Sheet1!$F$12-M305</f>
        <v>1.0305343511450404</v>
      </c>
      <c r="Q305" t="s">
        <v>69</v>
      </c>
      <c r="R305">
        <v>4</v>
      </c>
      <c r="S305">
        <v>10</v>
      </c>
      <c r="T305" t="s">
        <v>990</v>
      </c>
      <c r="U305" t="s">
        <v>156</v>
      </c>
      <c r="V305" t="s">
        <v>1083</v>
      </c>
      <c r="W305" t="s">
        <v>1089</v>
      </c>
      <c r="X305" t="s">
        <v>1070</v>
      </c>
      <c r="Y305" t="s">
        <v>1071</v>
      </c>
      <c r="Z305" t="s">
        <v>1072</v>
      </c>
      <c r="AA305" t="s">
        <v>60</v>
      </c>
      <c r="AB305" t="s">
        <v>37</v>
      </c>
      <c r="AC305" t="s">
        <v>38</v>
      </c>
      <c r="AD305" t="s">
        <v>179</v>
      </c>
      <c r="AE305" t="s">
        <v>45</v>
      </c>
      <c r="AF305">
        <v>24</v>
      </c>
      <c r="AG305" t="s">
        <v>40</v>
      </c>
      <c r="AH305" t="s">
        <v>50</v>
      </c>
      <c r="AI305" t="s">
        <v>46</v>
      </c>
      <c r="AJ305" t="s">
        <v>47</v>
      </c>
      <c r="AK305" t="s">
        <v>61</v>
      </c>
      <c r="AL305">
        <v>20</v>
      </c>
      <c r="AM305" t="s">
        <v>46</v>
      </c>
      <c r="AN305" t="s">
        <v>46</v>
      </c>
      <c r="AO305" t="s">
        <v>1098</v>
      </c>
      <c r="AP305" t="s">
        <v>63</v>
      </c>
      <c r="AQ305" t="s">
        <v>46</v>
      </c>
      <c r="AR305" t="s">
        <v>50</v>
      </c>
      <c r="AS305" t="s">
        <v>1630</v>
      </c>
      <c r="AT305" t="s">
        <v>63</v>
      </c>
      <c r="AU305" t="s">
        <v>46</v>
      </c>
      <c r="AV305">
        <v>2009</v>
      </c>
      <c r="AW305" s="3" t="s">
        <v>46</v>
      </c>
    </row>
    <row r="306" spans="1:49" x14ac:dyDescent="0.2">
      <c r="A306">
        <v>305</v>
      </c>
      <c r="B306" t="s">
        <v>1068</v>
      </c>
      <c r="C306" t="s">
        <v>33</v>
      </c>
      <c r="D306">
        <v>13.1221374045801</v>
      </c>
      <c r="E306" t="s">
        <v>42</v>
      </c>
      <c r="F306">
        <f>D306-[2]Sheet1!$E$5</f>
        <v>0.27480916030529912</v>
      </c>
      <c r="G306">
        <f>[2]Sheet1!$F$5-D306</f>
        <v>0.34351145038170117</v>
      </c>
      <c r="H306" t="s">
        <v>69</v>
      </c>
      <c r="I306">
        <v>4</v>
      </c>
      <c r="J306">
        <v>10</v>
      </c>
      <c r="K306" t="s">
        <v>990</v>
      </c>
      <c r="L306" t="s">
        <v>1069</v>
      </c>
      <c r="M306">
        <v>2.1297709923664101</v>
      </c>
      <c r="N306" t="s">
        <v>42</v>
      </c>
      <c r="O306">
        <f>M306-[2]Sheet1!$E$13</f>
        <v>0.13740458015267021</v>
      </c>
      <c r="P306">
        <f>[2]Sheet1!$F$13-M306</f>
        <v>0.20610687022900986</v>
      </c>
      <c r="Q306" t="s">
        <v>69</v>
      </c>
      <c r="R306">
        <v>4</v>
      </c>
      <c r="S306">
        <v>10</v>
      </c>
      <c r="T306" t="s">
        <v>990</v>
      </c>
      <c r="U306" t="s">
        <v>156</v>
      </c>
      <c r="V306" t="s">
        <v>1084</v>
      </c>
      <c r="W306" t="s">
        <v>1090</v>
      </c>
      <c r="X306" t="s">
        <v>1070</v>
      </c>
      <c r="Y306" t="s">
        <v>1071</v>
      </c>
      <c r="Z306" t="s">
        <v>1072</v>
      </c>
      <c r="AA306" t="s">
        <v>60</v>
      </c>
      <c r="AB306" t="s">
        <v>37</v>
      </c>
      <c r="AC306" t="s">
        <v>38</v>
      </c>
      <c r="AD306" t="s">
        <v>179</v>
      </c>
      <c r="AE306" t="s">
        <v>45</v>
      </c>
      <c r="AF306">
        <v>24</v>
      </c>
      <c r="AG306" t="s">
        <v>40</v>
      </c>
      <c r="AH306" t="s">
        <v>50</v>
      </c>
      <c r="AI306" t="s">
        <v>46</v>
      </c>
      <c r="AJ306" t="s">
        <v>47</v>
      </c>
      <c r="AK306" t="s">
        <v>61</v>
      </c>
      <c r="AL306">
        <v>20</v>
      </c>
      <c r="AM306" t="s">
        <v>46</v>
      </c>
      <c r="AN306" t="s">
        <v>46</v>
      </c>
      <c r="AO306" t="s">
        <v>1094</v>
      </c>
      <c r="AP306" t="s">
        <v>63</v>
      </c>
      <c r="AQ306" t="s">
        <v>46</v>
      </c>
      <c r="AR306" t="s">
        <v>50</v>
      </c>
      <c r="AS306" t="s">
        <v>1630</v>
      </c>
      <c r="AT306" t="s">
        <v>63</v>
      </c>
      <c r="AU306" t="s">
        <v>46</v>
      </c>
      <c r="AV306">
        <v>2009</v>
      </c>
      <c r="AW306" s="3" t="s">
        <v>46</v>
      </c>
    </row>
    <row r="307" spans="1:49" x14ac:dyDescent="0.2">
      <c r="A307">
        <v>306</v>
      </c>
      <c r="B307" t="s">
        <v>1068</v>
      </c>
      <c r="C307" t="s">
        <v>33</v>
      </c>
      <c r="D307">
        <v>14.3587786259541</v>
      </c>
      <c r="E307" t="s">
        <v>42</v>
      </c>
      <c r="F307">
        <f>D307-[2]Sheet1!$E$6</f>
        <v>1.0305343511450005</v>
      </c>
      <c r="G307">
        <f>[2]Sheet1!$F$6-D307</f>
        <v>1.099236641221399</v>
      </c>
      <c r="H307" t="s">
        <v>69</v>
      </c>
      <c r="I307">
        <v>4</v>
      </c>
      <c r="J307">
        <v>10</v>
      </c>
      <c r="K307" t="s">
        <v>990</v>
      </c>
      <c r="L307" t="s">
        <v>1069</v>
      </c>
      <c r="M307">
        <v>3.0916030534351102</v>
      </c>
      <c r="N307" t="s">
        <v>42</v>
      </c>
      <c r="O307">
        <f>M307-[2]Sheet1!$E$14</f>
        <v>0.20610687022901031</v>
      </c>
      <c r="P307">
        <f>[2]Sheet1!$F$14-M307</f>
        <v>0.34351145038167985</v>
      </c>
      <c r="Q307" t="s">
        <v>69</v>
      </c>
      <c r="R307">
        <v>4</v>
      </c>
      <c r="S307">
        <v>10</v>
      </c>
      <c r="T307" t="s">
        <v>990</v>
      </c>
      <c r="U307" t="s">
        <v>156</v>
      </c>
      <c r="V307" t="s">
        <v>1085</v>
      </c>
      <c r="W307" t="s">
        <v>1091</v>
      </c>
      <c r="X307" t="s">
        <v>1070</v>
      </c>
      <c r="Y307" t="s">
        <v>1071</v>
      </c>
      <c r="Z307" t="s">
        <v>1072</v>
      </c>
      <c r="AA307" t="s">
        <v>60</v>
      </c>
      <c r="AB307" t="s">
        <v>37</v>
      </c>
      <c r="AC307" t="s">
        <v>38</v>
      </c>
      <c r="AD307" t="s">
        <v>179</v>
      </c>
      <c r="AE307" t="s">
        <v>45</v>
      </c>
      <c r="AF307">
        <v>24</v>
      </c>
      <c r="AG307" t="s">
        <v>40</v>
      </c>
      <c r="AH307" t="s">
        <v>50</v>
      </c>
      <c r="AI307" t="s">
        <v>46</v>
      </c>
      <c r="AJ307" t="s">
        <v>47</v>
      </c>
      <c r="AK307" t="s">
        <v>61</v>
      </c>
      <c r="AL307">
        <v>20</v>
      </c>
      <c r="AM307" t="s">
        <v>46</v>
      </c>
      <c r="AN307" t="s">
        <v>46</v>
      </c>
      <c r="AO307" t="s">
        <v>1095</v>
      </c>
      <c r="AP307" t="s">
        <v>63</v>
      </c>
      <c r="AQ307" t="s">
        <v>46</v>
      </c>
      <c r="AR307" t="s">
        <v>50</v>
      </c>
      <c r="AS307" t="s">
        <v>1630</v>
      </c>
      <c r="AT307" t="s">
        <v>63</v>
      </c>
      <c r="AU307" t="s">
        <v>46</v>
      </c>
      <c r="AV307">
        <v>2009</v>
      </c>
      <c r="AW307" s="3" t="s">
        <v>46</v>
      </c>
    </row>
    <row r="308" spans="1:49" x14ac:dyDescent="0.2">
      <c r="A308">
        <v>307</v>
      </c>
      <c r="B308" t="s">
        <v>1068</v>
      </c>
      <c r="C308" t="s">
        <v>33</v>
      </c>
      <c r="D308">
        <v>13.9465648854961</v>
      </c>
      <c r="E308" t="s">
        <v>42</v>
      </c>
      <c r="F308">
        <f>D308-[2]Sheet1!$E$7</f>
        <v>0.20610687022900009</v>
      </c>
      <c r="G308">
        <f>[2]Sheet1!$F$7-D308</f>
        <v>0.54961832061069948</v>
      </c>
      <c r="H308" t="s">
        <v>69</v>
      </c>
      <c r="I308">
        <v>4</v>
      </c>
      <c r="J308">
        <v>10</v>
      </c>
      <c r="K308" t="s">
        <v>990</v>
      </c>
      <c r="L308" t="s">
        <v>1069</v>
      </c>
      <c r="M308">
        <v>1.5114503816793901</v>
      </c>
      <c r="N308" t="s">
        <v>42</v>
      </c>
      <c r="O308">
        <f>M308-[2]Sheet1!$E$15</f>
        <v>0.27480916030534996</v>
      </c>
      <c r="P308">
        <f>[2]Sheet1!$F$15-M308</f>
        <v>0.20610687022899987</v>
      </c>
      <c r="Q308" t="s">
        <v>69</v>
      </c>
      <c r="R308">
        <v>4</v>
      </c>
      <c r="S308">
        <v>10</v>
      </c>
      <c r="T308" t="s">
        <v>990</v>
      </c>
      <c r="U308" t="s">
        <v>156</v>
      </c>
      <c r="V308" t="s">
        <v>1086</v>
      </c>
      <c r="W308" t="s">
        <v>1092</v>
      </c>
      <c r="X308" t="s">
        <v>1070</v>
      </c>
      <c r="Y308" t="s">
        <v>1071</v>
      </c>
      <c r="Z308" t="s">
        <v>1072</v>
      </c>
      <c r="AA308" t="s">
        <v>60</v>
      </c>
      <c r="AB308" t="s">
        <v>37</v>
      </c>
      <c r="AC308" t="s">
        <v>38</v>
      </c>
      <c r="AD308" t="s">
        <v>179</v>
      </c>
      <c r="AE308" t="s">
        <v>45</v>
      </c>
      <c r="AF308">
        <v>24</v>
      </c>
      <c r="AG308" t="s">
        <v>40</v>
      </c>
      <c r="AH308" t="s">
        <v>50</v>
      </c>
      <c r="AI308" t="s">
        <v>46</v>
      </c>
      <c r="AJ308" t="s">
        <v>47</v>
      </c>
      <c r="AK308" t="s">
        <v>61</v>
      </c>
      <c r="AL308">
        <v>20</v>
      </c>
      <c r="AM308" t="s">
        <v>46</v>
      </c>
      <c r="AN308" t="s">
        <v>46</v>
      </c>
      <c r="AO308" t="s">
        <v>1096</v>
      </c>
      <c r="AP308" t="s">
        <v>63</v>
      </c>
      <c r="AQ308" t="s">
        <v>46</v>
      </c>
      <c r="AR308" t="s">
        <v>50</v>
      </c>
      <c r="AS308" t="s">
        <v>1630</v>
      </c>
      <c r="AT308" t="s">
        <v>63</v>
      </c>
      <c r="AU308" t="s">
        <v>46</v>
      </c>
      <c r="AV308">
        <v>2009</v>
      </c>
      <c r="AW308" s="3" t="s">
        <v>46</v>
      </c>
    </row>
    <row r="309" spans="1:49" x14ac:dyDescent="0.2">
      <c r="A309">
        <v>308</v>
      </c>
      <c r="B309" t="s">
        <v>1068</v>
      </c>
      <c r="C309" t="s">
        <v>33</v>
      </c>
      <c r="D309">
        <v>13.465648854961801</v>
      </c>
      <c r="E309" t="s">
        <v>42</v>
      </c>
      <c r="F309">
        <f>D309-[2]Sheet1!$E$8</f>
        <v>0.34351145038170117</v>
      </c>
      <c r="G309">
        <f>[2]Sheet1!$F$8-D309</f>
        <v>0.20610687022900009</v>
      </c>
      <c r="H309" t="s">
        <v>69</v>
      </c>
      <c r="I309">
        <v>4</v>
      </c>
      <c r="J309">
        <v>10</v>
      </c>
      <c r="K309" t="s">
        <v>990</v>
      </c>
      <c r="L309" t="s">
        <v>1069</v>
      </c>
      <c r="M309">
        <v>2.33587786259542</v>
      </c>
      <c r="N309" t="s">
        <v>42</v>
      </c>
      <c r="O309">
        <f>M309-[2]Sheet1!$E$16</f>
        <v>0.13740458015267976</v>
      </c>
      <c r="P309">
        <f>[2]Sheet1!$F$16-M309</f>
        <v>0.13740458015266999</v>
      </c>
      <c r="Q309" t="s">
        <v>69</v>
      </c>
      <c r="R309">
        <v>4</v>
      </c>
      <c r="S309">
        <v>10</v>
      </c>
      <c r="T309" t="s">
        <v>990</v>
      </c>
      <c r="U309" t="s">
        <v>156</v>
      </c>
      <c r="V309" t="s">
        <v>1087</v>
      </c>
      <c r="W309" t="s">
        <v>1093</v>
      </c>
      <c r="X309" t="s">
        <v>1070</v>
      </c>
      <c r="Y309" t="s">
        <v>1071</v>
      </c>
      <c r="Z309" t="s">
        <v>1072</v>
      </c>
      <c r="AA309" t="s">
        <v>60</v>
      </c>
      <c r="AB309" t="s">
        <v>37</v>
      </c>
      <c r="AC309" t="s">
        <v>38</v>
      </c>
      <c r="AD309" t="s">
        <v>179</v>
      </c>
      <c r="AE309" t="s">
        <v>45</v>
      </c>
      <c r="AF309">
        <v>24</v>
      </c>
      <c r="AG309" t="s">
        <v>40</v>
      </c>
      <c r="AH309" t="s">
        <v>50</v>
      </c>
      <c r="AI309" t="s">
        <v>46</v>
      </c>
      <c r="AJ309" t="s">
        <v>47</v>
      </c>
      <c r="AK309" t="s">
        <v>61</v>
      </c>
      <c r="AL309">
        <v>20</v>
      </c>
      <c r="AM309" t="s">
        <v>46</v>
      </c>
      <c r="AN309" t="s">
        <v>46</v>
      </c>
      <c r="AO309" t="s">
        <v>1097</v>
      </c>
      <c r="AP309" t="s">
        <v>63</v>
      </c>
      <c r="AQ309" t="s">
        <v>46</v>
      </c>
      <c r="AR309" t="s">
        <v>50</v>
      </c>
      <c r="AS309" t="s">
        <v>1630</v>
      </c>
      <c r="AT309" t="s">
        <v>63</v>
      </c>
      <c r="AU309" t="s">
        <v>46</v>
      </c>
      <c r="AV309">
        <v>2009</v>
      </c>
      <c r="AW309" s="3" t="s">
        <v>46</v>
      </c>
    </row>
    <row r="310" spans="1:49" x14ac:dyDescent="0.2">
      <c r="A310">
        <v>309</v>
      </c>
      <c r="B310" t="s">
        <v>1068</v>
      </c>
      <c r="C310" t="s">
        <v>33</v>
      </c>
      <c r="D310">
        <v>15.9240780911062</v>
      </c>
      <c r="E310" t="s">
        <v>42</v>
      </c>
      <c r="F310">
        <f>D310-[3]Sheet1!$E$2</f>
        <v>0.20824295010839933</v>
      </c>
      <c r="G310">
        <f>[3]Sheet1!$F$2- D310</f>
        <v>0.24295010845990106</v>
      </c>
      <c r="H310" t="s">
        <v>69</v>
      </c>
      <c r="I310">
        <v>4</v>
      </c>
      <c r="J310">
        <v>10</v>
      </c>
      <c r="K310" t="s">
        <v>990</v>
      </c>
      <c r="L310" t="s">
        <v>1069</v>
      </c>
      <c r="M310">
        <v>3.8806941431670201</v>
      </c>
      <c r="N310" t="s">
        <v>42</v>
      </c>
      <c r="O310">
        <f>M310-[3]Sheet1!$E$9</f>
        <v>0.41648590021691989</v>
      </c>
      <c r="P310">
        <f>[3]Sheet1!$F$9-M310</f>
        <v>0.38177874186550964</v>
      </c>
      <c r="Q310" t="s">
        <v>69</v>
      </c>
      <c r="R310">
        <v>4</v>
      </c>
      <c r="S310">
        <v>10</v>
      </c>
      <c r="T310" t="s">
        <v>990</v>
      </c>
      <c r="U310" t="s">
        <v>156</v>
      </c>
      <c r="V310" t="s">
        <v>1100</v>
      </c>
      <c r="W310" t="s">
        <v>1108</v>
      </c>
      <c r="X310" t="s">
        <v>1070</v>
      </c>
      <c r="Y310" t="s">
        <v>1071</v>
      </c>
      <c r="Z310" t="s">
        <v>1072</v>
      </c>
      <c r="AA310" t="s">
        <v>60</v>
      </c>
      <c r="AB310" t="s">
        <v>37</v>
      </c>
      <c r="AC310" t="s">
        <v>38</v>
      </c>
      <c r="AD310" t="s">
        <v>179</v>
      </c>
      <c r="AE310" t="s">
        <v>45</v>
      </c>
      <c r="AF310">
        <v>24</v>
      </c>
      <c r="AG310" t="s">
        <v>40</v>
      </c>
      <c r="AH310" t="s">
        <v>50</v>
      </c>
      <c r="AI310" t="s">
        <v>46</v>
      </c>
      <c r="AJ310" t="s">
        <v>47</v>
      </c>
      <c r="AK310" t="s">
        <v>61</v>
      </c>
      <c r="AL310">
        <v>20</v>
      </c>
      <c r="AM310" t="s">
        <v>46</v>
      </c>
      <c r="AN310" t="s">
        <v>46</v>
      </c>
      <c r="AO310" t="s">
        <v>1107</v>
      </c>
      <c r="AP310" t="s">
        <v>63</v>
      </c>
      <c r="AQ310" t="s">
        <v>46</v>
      </c>
      <c r="AR310" t="s">
        <v>50</v>
      </c>
      <c r="AS310" t="s">
        <v>1630</v>
      </c>
      <c r="AT310" t="s">
        <v>63</v>
      </c>
      <c r="AU310" t="s">
        <v>46</v>
      </c>
      <c r="AV310">
        <v>2009</v>
      </c>
      <c r="AW310" s="3" t="s">
        <v>46</v>
      </c>
    </row>
    <row r="311" spans="1:49" x14ac:dyDescent="0.2">
      <c r="A311">
        <v>310</v>
      </c>
      <c r="B311" t="s">
        <v>1068</v>
      </c>
      <c r="C311" t="s">
        <v>33</v>
      </c>
      <c r="D311">
        <v>13.8069414316702</v>
      </c>
      <c r="E311" t="s">
        <v>42</v>
      </c>
      <c r="F311">
        <f>D311-[3]Sheet1!$E$3</f>
        <v>0.34707158351410072</v>
      </c>
      <c r="G311">
        <f>[3]Sheet1!$F$3- D311</f>
        <v>0.31236442516270024</v>
      </c>
      <c r="H311" t="s">
        <v>69</v>
      </c>
      <c r="I311">
        <v>4</v>
      </c>
      <c r="J311">
        <v>10</v>
      </c>
      <c r="K311" t="s">
        <v>990</v>
      </c>
      <c r="L311" t="s">
        <v>1069</v>
      </c>
      <c r="M311">
        <v>3.42950108459869</v>
      </c>
      <c r="N311" t="s">
        <v>42</v>
      </c>
      <c r="O311">
        <f>M311-[3]Sheet1!$E$10</f>
        <v>0.45119305856833014</v>
      </c>
      <c r="P311">
        <f>[3]Sheet1!$F$10-M311</f>
        <v>0.45119305856833014</v>
      </c>
      <c r="Q311" t="s">
        <v>69</v>
      </c>
      <c r="R311">
        <v>4</v>
      </c>
      <c r="S311">
        <v>10</v>
      </c>
      <c r="T311" t="s">
        <v>990</v>
      </c>
      <c r="U311" t="s">
        <v>156</v>
      </c>
      <c r="V311" t="s">
        <v>1101</v>
      </c>
      <c r="W311" t="s">
        <v>1108</v>
      </c>
      <c r="X311" t="s">
        <v>1070</v>
      </c>
      <c r="Y311" t="s">
        <v>1071</v>
      </c>
      <c r="Z311" t="s">
        <v>1072</v>
      </c>
      <c r="AA311" t="s">
        <v>60</v>
      </c>
      <c r="AB311" t="s">
        <v>37</v>
      </c>
      <c r="AC311" t="s">
        <v>38</v>
      </c>
      <c r="AD311" t="s">
        <v>179</v>
      </c>
      <c r="AE311" t="s">
        <v>45</v>
      </c>
      <c r="AF311">
        <v>48</v>
      </c>
      <c r="AG311" t="s">
        <v>40</v>
      </c>
      <c r="AH311" t="s">
        <v>50</v>
      </c>
      <c r="AI311" t="s">
        <v>46</v>
      </c>
      <c r="AJ311" t="s">
        <v>47</v>
      </c>
      <c r="AK311" t="s">
        <v>61</v>
      </c>
      <c r="AL311">
        <v>20</v>
      </c>
      <c r="AM311" t="s">
        <v>46</v>
      </c>
      <c r="AN311" t="s">
        <v>46</v>
      </c>
      <c r="AO311" t="s">
        <v>1107</v>
      </c>
      <c r="AP311" t="s">
        <v>63</v>
      </c>
      <c r="AQ311" t="s">
        <v>46</v>
      </c>
      <c r="AR311" t="s">
        <v>50</v>
      </c>
      <c r="AS311" t="s">
        <v>1630</v>
      </c>
      <c r="AT311" t="s">
        <v>63</v>
      </c>
      <c r="AU311" t="s">
        <v>46</v>
      </c>
      <c r="AV311">
        <v>2009</v>
      </c>
      <c r="AW311" s="3" t="s">
        <v>46</v>
      </c>
    </row>
    <row r="312" spans="1:49" x14ac:dyDescent="0.2">
      <c r="A312">
        <v>311</v>
      </c>
      <c r="B312" t="s">
        <v>1068</v>
      </c>
      <c r="C312" t="s">
        <v>33</v>
      </c>
      <c r="D312">
        <v>13.4945770065075</v>
      </c>
      <c r="E312" t="s">
        <v>42</v>
      </c>
      <c r="F312">
        <f>D312-[3]Sheet1!$E$4</f>
        <v>0.31236442516260077</v>
      </c>
      <c r="G312">
        <f>[3]Sheet1!$F$4- D312</f>
        <v>0.27765726681129976</v>
      </c>
      <c r="H312" t="s">
        <v>69</v>
      </c>
      <c r="I312">
        <v>4</v>
      </c>
      <c r="J312">
        <v>10</v>
      </c>
      <c r="K312" t="s">
        <v>990</v>
      </c>
      <c r="L312" t="s">
        <v>1069</v>
      </c>
      <c r="M312">
        <v>3.0130151843817798</v>
      </c>
      <c r="N312" t="s">
        <v>42</v>
      </c>
      <c r="O312">
        <f>M312-[3]Sheet1!$E$11</f>
        <v>0.34707158351409984</v>
      </c>
      <c r="P312">
        <f>[3]Sheet1!$F$11-M312</f>
        <v>0.41648590021691012</v>
      </c>
      <c r="Q312" t="s">
        <v>69</v>
      </c>
      <c r="R312">
        <v>4</v>
      </c>
      <c r="S312">
        <v>10</v>
      </c>
      <c r="T312" t="s">
        <v>990</v>
      </c>
      <c r="U312" t="s">
        <v>156</v>
      </c>
      <c r="V312" t="s">
        <v>1102</v>
      </c>
      <c r="W312" t="s">
        <v>1108</v>
      </c>
      <c r="X312" t="s">
        <v>1070</v>
      </c>
      <c r="Y312" t="s">
        <v>1071</v>
      </c>
      <c r="Z312" t="s">
        <v>1072</v>
      </c>
      <c r="AA312" t="s">
        <v>60</v>
      </c>
      <c r="AB312" t="s">
        <v>37</v>
      </c>
      <c r="AC312" t="s">
        <v>38</v>
      </c>
      <c r="AD312" t="s">
        <v>179</v>
      </c>
      <c r="AE312" t="s">
        <v>45</v>
      </c>
      <c r="AF312">
        <v>72</v>
      </c>
      <c r="AG312" t="s">
        <v>40</v>
      </c>
      <c r="AH312" t="s">
        <v>50</v>
      </c>
      <c r="AI312" t="s">
        <v>46</v>
      </c>
      <c r="AJ312" t="s">
        <v>47</v>
      </c>
      <c r="AK312" t="s">
        <v>61</v>
      </c>
      <c r="AL312">
        <v>20</v>
      </c>
      <c r="AM312" t="s">
        <v>46</v>
      </c>
      <c r="AN312" t="s">
        <v>46</v>
      </c>
      <c r="AO312" t="s">
        <v>1107</v>
      </c>
      <c r="AP312" t="s">
        <v>63</v>
      </c>
      <c r="AQ312" t="s">
        <v>46</v>
      </c>
      <c r="AR312" t="s">
        <v>50</v>
      </c>
      <c r="AS312" t="s">
        <v>1630</v>
      </c>
      <c r="AT312" t="s">
        <v>63</v>
      </c>
      <c r="AU312" t="s">
        <v>46</v>
      </c>
      <c r="AV312">
        <v>2009</v>
      </c>
      <c r="AW312" s="3" t="s">
        <v>46</v>
      </c>
    </row>
    <row r="313" spans="1:49" x14ac:dyDescent="0.2">
      <c r="A313">
        <v>312</v>
      </c>
      <c r="B313" t="s">
        <v>1068</v>
      </c>
      <c r="C313" t="s">
        <v>33</v>
      </c>
      <c r="D313">
        <v>13.459869848156099</v>
      </c>
      <c r="E313" t="s">
        <v>42</v>
      </c>
      <c r="F313">
        <f>D313-[3]Sheet1!$E$5</f>
        <v>0.52060737527109957</v>
      </c>
      <c r="G313">
        <f>[3]Sheet1!$F$5- D313</f>
        <v>0.41648590021700116</v>
      </c>
      <c r="H313" t="s">
        <v>69</v>
      </c>
      <c r="I313">
        <v>4</v>
      </c>
      <c r="J313">
        <v>10</v>
      </c>
      <c r="K313" t="s">
        <v>990</v>
      </c>
      <c r="L313" t="s">
        <v>1069</v>
      </c>
      <c r="M313">
        <v>2.9783080260303598</v>
      </c>
      <c r="N313" t="s">
        <v>42</v>
      </c>
      <c r="O313">
        <f>M313-[3]Sheet1!$E$12</f>
        <v>0.31236442516267982</v>
      </c>
      <c r="P313">
        <f>[3]Sheet1!$F$12-M313</f>
        <v>0.48590021691974039</v>
      </c>
      <c r="Q313" t="s">
        <v>69</v>
      </c>
      <c r="R313">
        <v>4</v>
      </c>
      <c r="S313">
        <v>10</v>
      </c>
      <c r="T313" t="s">
        <v>990</v>
      </c>
      <c r="U313" t="s">
        <v>156</v>
      </c>
      <c r="V313" t="s">
        <v>1103</v>
      </c>
      <c r="W313" t="s">
        <v>1108</v>
      </c>
      <c r="X313" t="s">
        <v>1070</v>
      </c>
      <c r="Y313" t="s">
        <v>1071</v>
      </c>
      <c r="Z313" t="s">
        <v>1072</v>
      </c>
      <c r="AA313" t="s">
        <v>60</v>
      </c>
      <c r="AB313" t="s">
        <v>37</v>
      </c>
      <c r="AC313" t="s">
        <v>38</v>
      </c>
      <c r="AD313" t="s">
        <v>179</v>
      </c>
      <c r="AE313" t="s">
        <v>45</v>
      </c>
      <c r="AF313">
        <v>96</v>
      </c>
      <c r="AG313" t="s">
        <v>40</v>
      </c>
      <c r="AH313" t="s">
        <v>50</v>
      </c>
      <c r="AI313" t="s">
        <v>46</v>
      </c>
      <c r="AJ313" t="s">
        <v>47</v>
      </c>
      <c r="AK313" t="s">
        <v>61</v>
      </c>
      <c r="AL313">
        <v>20</v>
      </c>
      <c r="AM313" t="s">
        <v>46</v>
      </c>
      <c r="AN313" t="s">
        <v>46</v>
      </c>
      <c r="AO313" t="s">
        <v>1107</v>
      </c>
      <c r="AP313" t="s">
        <v>63</v>
      </c>
      <c r="AQ313" t="s">
        <v>46</v>
      </c>
      <c r="AR313" t="s">
        <v>50</v>
      </c>
      <c r="AS313" t="s">
        <v>1630</v>
      </c>
      <c r="AT313" t="s">
        <v>63</v>
      </c>
      <c r="AU313" t="s">
        <v>46</v>
      </c>
      <c r="AV313">
        <v>2009</v>
      </c>
      <c r="AW313" s="3" t="s">
        <v>46</v>
      </c>
    </row>
    <row r="314" spans="1:49" x14ac:dyDescent="0.2">
      <c r="A314">
        <v>313</v>
      </c>
      <c r="B314" t="s">
        <v>1068</v>
      </c>
      <c r="C314" t="s">
        <v>33</v>
      </c>
      <c r="D314">
        <v>13.3557483731019</v>
      </c>
      <c r="E314" t="s">
        <v>42</v>
      </c>
      <c r="F314">
        <f>D314-[3]Sheet1!$E$6</f>
        <v>0.55531453362259953</v>
      </c>
      <c r="G314">
        <f>[3]Sheet1!$F$6- D314</f>
        <v>0.38177874186549943</v>
      </c>
      <c r="H314" t="s">
        <v>69</v>
      </c>
      <c r="I314">
        <v>4</v>
      </c>
      <c r="J314">
        <v>10</v>
      </c>
      <c r="K314" t="s">
        <v>990</v>
      </c>
      <c r="L314" t="s">
        <v>1069</v>
      </c>
      <c r="M314">
        <v>2.9783080260303598</v>
      </c>
      <c r="N314" t="s">
        <v>42</v>
      </c>
      <c r="O314">
        <f>M314-[3]Sheet1!$E$13</f>
        <v>0.31236442516267982</v>
      </c>
      <c r="P314">
        <f>[3]Sheet1!$F$13-M314</f>
        <v>0.48590021691974039</v>
      </c>
      <c r="Q314" t="s">
        <v>69</v>
      </c>
      <c r="R314">
        <v>4</v>
      </c>
      <c r="S314">
        <v>10</v>
      </c>
      <c r="T314" t="s">
        <v>990</v>
      </c>
      <c r="U314" t="s">
        <v>156</v>
      </c>
      <c r="V314" t="s">
        <v>1104</v>
      </c>
      <c r="W314" t="s">
        <v>1108</v>
      </c>
      <c r="X314" t="s">
        <v>1070</v>
      </c>
      <c r="Y314" t="s">
        <v>1071</v>
      </c>
      <c r="Z314" t="s">
        <v>1072</v>
      </c>
      <c r="AA314" t="s">
        <v>60</v>
      </c>
      <c r="AB314" t="s">
        <v>37</v>
      </c>
      <c r="AC314" t="s">
        <v>38</v>
      </c>
      <c r="AD314" t="s">
        <v>179</v>
      </c>
      <c r="AE314" t="s">
        <v>45</v>
      </c>
      <c r="AF314">
        <v>120</v>
      </c>
      <c r="AG314" t="s">
        <v>40</v>
      </c>
      <c r="AH314" t="s">
        <v>50</v>
      </c>
      <c r="AI314" t="s">
        <v>46</v>
      </c>
      <c r="AJ314" t="s">
        <v>47</v>
      </c>
      <c r="AK314" t="s">
        <v>48</v>
      </c>
      <c r="AL314">
        <v>20</v>
      </c>
      <c r="AM314" t="s">
        <v>46</v>
      </c>
      <c r="AN314" t="s">
        <v>46</v>
      </c>
      <c r="AO314" t="s">
        <v>1107</v>
      </c>
      <c r="AP314" t="s">
        <v>63</v>
      </c>
      <c r="AQ314" t="s">
        <v>46</v>
      </c>
      <c r="AR314" t="s">
        <v>50</v>
      </c>
      <c r="AS314" t="s">
        <v>1630</v>
      </c>
      <c r="AT314" t="s">
        <v>63</v>
      </c>
      <c r="AU314" t="s">
        <v>46</v>
      </c>
      <c r="AV314">
        <v>2009</v>
      </c>
      <c r="AW314" s="3" t="s">
        <v>46</v>
      </c>
    </row>
    <row r="315" spans="1:49" x14ac:dyDescent="0.2">
      <c r="A315">
        <v>314</v>
      </c>
      <c r="B315" t="s">
        <v>1068</v>
      </c>
      <c r="C315" t="s">
        <v>33</v>
      </c>
      <c r="D315">
        <v>13.3557483731019</v>
      </c>
      <c r="E315" t="s">
        <v>42</v>
      </c>
      <c r="F315">
        <f>D315-[3]Sheet1!$E$7</f>
        <v>0.55531453362259953</v>
      </c>
      <c r="G315">
        <f>[3]Sheet1!$F$7- D315</f>
        <v>0.38177874186549943</v>
      </c>
      <c r="H315" t="s">
        <v>69</v>
      </c>
      <c r="I315">
        <v>4</v>
      </c>
      <c r="J315">
        <v>10</v>
      </c>
      <c r="K315" t="s">
        <v>990</v>
      </c>
      <c r="L315" t="s">
        <v>1069</v>
      </c>
      <c r="M315">
        <v>3.0130151843817798</v>
      </c>
      <c r="N315" t="s">
        <v>42</v>
      </c>
      <c r="O315">
        <f>M315-[3]Sheet1!$E$14</f>
        <v>0.34707158351409984</v>
      </c>
      <c r="P315">
        <f>[3]Sheet1!$F$14-M315</f>
        <v>0.45119305856832037</v>
      </c>
      <c r="Q315" t="s">
        <v>69</v>
      </c>
      <c r="R315">
        <v>4</v>
      </c>
      <c r="S315">
        <v>10</v>
      </c>
      <c r="T315" t="s">
        <v>990</v>
      </c>
      <c r="U315" t="s">
        <v>156</v>
      </c>
      <c r="V315" t="s">
        <v>1105</v>
      </c>
      <c r="W315" t="s">
        <v>1108</v>
      </c>
      <c r="X315" t="s">
        <v>1070</v>
      </c>
      <c r="Y315" t="s">
        <v>1071</v>
      </c>
      <c r="Z315" t="s">
        <v>1072</v>
      </c>
      <c r="AA315" t="s">
        <v>60</v>
      </c>
      <c r="AB315" t="s">
        <v>37</v>
      </c>
      <c r="AC315" t="s">
        <v>38</v>
      </c>
      <c r="AD315" t="s">
        <v>179</v>
      </c>
      <c r="AE315" t="s">
        <v>45</v>
      </c>
      <c r="AF315">
        <v>144</v>
      </c>
      <c r="AG315" t="s">
        <v>40</v>
      </c>
      <c r="AH315" t="s">
        <v>50</v>
      </c>
      <c r="AI315" t="s">
        <v>46</v>
      </c>
      <c r="AJ315" t="s">
        <v>47</v>
      </c>
      <c r="AK315" t="s">
        <v>48</v>
      </c>
      <c r="AL315">
        <v>20</v>
      </c>
      <c r="AM315" t="s">
        <v>46</v>
      </c>
      <c r="AN315" t="s">
        <v>46</v>
      </c>
      <c r="AO315" t="s">
        <v>1107</v>
      </c>
      <c r="AP315" t="s">
        <v>63</v>
      </c>
      <c r="AQ315" t="s">
        <v>46</v>
      </c>
      <c r="AR315" t="s">
        <v>50</v>
      </c>
      <c r="AS315" t="s">
        <v>1630</v>
      </c>
      <c r="AT315" t="s">
        <v>63</v>
      </c>
      <c r="AU315" t="s">
        <v>46</v>
      </c>
      <c r="AV315">
        <v>2009</v>
      </c>
      <c r="AW315" s="3" t="s">
        <v>46</v>
      </c>
    </row>
    <row r="316" spans="1:49" x14ac:dyDescent="0.2">
      <c r="A316">
        <v>315</v>
      </c>
      <c r="B316" t="s">
        <v>1068</v>
      </c>
      <c r="C316" t="s">
        <v>33</v>
      </c>
      <c r="D316">
        <v>13.3557483731019</v>
      </c>
      <c r="E316" t="s">
        <v>42</v>
      </c>
      <c r="F316">
        <f>D316-[3]Sheet1!$E$8</f>
        <v>0.55531453362259953</v>
      </c>
      <c r="G316">
        <f>[3]Sheet1!$F$8- D316</f>
        <v>0.38177874186549943</v>
      </c>
      <c r="H316" t="s">
        <v>69</v>
      </c>
      <c r="I316">
        <v>4</v>
      </c>
      <c r="J316">
        <v>10</v>
      </c>
      <c r="K316" t="s">
        <v>990</v>
      </c>
      <c r="L316" t="s">
        <v>1069</v>
      </c>
      <c r="M316">
        <v>2.63123644251626</v>
      </c>
      <c r="N316" t="s">
        <v>42</v>
      </c>
      <c r="O316">
        <f>M316-[3]Sheet1!$E$15</f>
        <v>0.38177874186551009</v>
      </c>
      <c r="P316">
        <f>[3]Sheet1!$F$15-M316</f>
        <v>0.27765726681128999</v>
      </c>
      <c r="Q316" t="s">
        <v>69</v>
      </c>
      <c r="R316">
        <v>4</v>
      </c>
      <c r="S316">
        <v>10</v>
      </c>
      <c r="T316" t="s">
        <v>990</v>
      </c>
      <c r="U316" t="s">
        <v>156</v>
      </c>
      <c r="V316" t="s">
        <v>1106</v>
      </c>
      <c r="W316" t="s">
        <v>1108</v>
      </c>
      <c r="X316" t="s">
        <v>1070</v>
      </c>
      <c r="Y316" t="s">
        <v>1071</v>
      </c>
      <c r="Z316" t="s">
        <v>1072</v>
      </c>
      <c r="AA316" t="s">
        <v>60</v>
      </c>
      <c r="AB316" t="s">
        <v>37</v>
      </c>
      <c r="AC316" t="s">
        <v>38</v>
      </c>
      <c r="AD316" t="s">
        <v>179</v>
      </c>
      <c r="AE316" t="s">
        <v>45</v>
      </c>
      <c r="AF316">
        <v>168</v>
      </c>
      <c r="AG316" t="s">
        <v>40</v>
      </c>
      <c r="AH316" t="s">
        <v>50</v>
      </c>
      <c r="AI316" t="s">
        <v>46</v>
      </c>
      <c r="AJ316" t="s">
        <v>47</v>
      </c>
      <c r="AK316" t="s">
        <v>48</v>
      </c>
      <c r="AL316">
        <v>20</v>
      </c>
      <c r="AM316" t="s">
        <v>46</v>
      </c>
      <c r="AN316" t="s">
        <v>46</v>
      </c>
      <c r="AO316" t="s">
        <v>1107</v>
      </c>
      <c r="AP316" t="s">
        <v>63</v>
      </c>
      <c r="AQ316" t="s">
        <v>46</v>
      </c>
      <c r="AR316" t="s">
        <v>50</v>
      </c>
      <c r="AS316" t="s">
        <v>1630</v>
      </c>
      <c r="AT316" t="s">
        <v>63</v>
      </c>
      <c r="AU316" t="s">
        <v>46</v>
      </c>
      <c r="AV316">
        <v>2009</v>
      </c>
      <c r="AW316" s="3" t="s">
        <v>46</v>
      </c>
    </row>
    <row r="317" spans="1:49" x14ac:dyDescent="0.2">
      <c r="A317">
        <v>316</v>
      </c>
      <c r="B317" t="s">
        <v>1110</v>
      </c>
      <c r="C317" t="s">
        <v>699</v>
      </c>
      <c r="D317">
        <v>398.29</v>
      </c>
      <c r="E317" t="s">
        <v>42</v>
      </c>
      <c r="F317">
        <f>D317-376.27</f>
        <v>22.020000000000039</v>
      </c>
      <c r="G317">
        <f>438.79-D317</f>
        <v>40.5</v>
      </c>
      <c r="H317" t="s">
        <v>69</v>
      </c>
      <c r="I317">
        <v>5</v>
      </c>
      <c r="J317">
        <v>10</v>
      </c>
      <c r="K317" t="s">
        <v>456</v>
      </c>
      <c r="L317" t="s">
        <v>1111</v>
      </c>
      <c r="M317">
        <v>379.47</v>
      </c>
      <c r="N317" t="s">
        <v>42</v>
      </c>
      <c r="O317">
        <f>M317-355.13</f>
        <v>24.340000000000032</v>
      </c>
      <c r="P317">
        <f>405.48-M317</f>
        <v>26.009999999999991</v>
      </c>
      <c r="Q317" t="s">
        <v>69</v>
      </c>
      <c r="R317">
        <v>5</v>
      </c>
      <c r="S317">
        <v>10</v>
      </c>
      <c r="T317" t="s">
        <v>456</v>
      </c>
      <c r="U317" t="s">
        <v>156</v>
      </c>
      <c r="V317" t="s">
        <v>1112</v>
      </c>
      <c r="W317" t="s">
        <v>1113</v>
      </c>
      <c r="X317" t="s">
        <v>366</v>
      </c>
      <c r="Y317" t="s">
        <v>367</v>
      </c>
      <c r="Z317" t="s">
        <v>1114</v>
      </c>
      <c r="AA317" t="s">
        <v>36</v>
      </c>
      <c r="AB317" t="s">
        <v>37</v>
      </c>
      <c r="AC317" t="s">
        <v>38</v>
      </c>
      <c r="AD317" t="s">
        <v>39</v>
      </c>
      <c r="AE317" t="s">
        <v>180</v>
      </c>
      <c r="AF317">
        <v>24</v>
      </c>
      <c r="AG317" t="s">
        <v>77</v>
      </c>
      <c r="AH317" t="s">
        <v>50</v>
      </c>
      <c r="AI317" t="s">
        <v>46</v>
      </c>
      <c r="AJ317" t="s">
        <v>47</v>
      </c>
      <c r="AK317" t="s">
        <v>61</v>
      </c>
      <c r="AL317">
        <v>25</v>
      </c>
      <c r="AM317" t="s">
        <v>46</v>
      </c>
      <c r="AN317" t="s">
        <v>46</v>
      </c>
      <c r="AO317">
        <f>7*24</f>
        <v>168</v>
      </c>
      <c r="AP317" t="s">
        <v>63</v>
      </c>
      <c r="AQ317">
        <v>60.5</v>
      </c>
      <c r="AR317" t="s">
        <v>50</v>
      </c>
      <c r="AS317" t="s">
        <v>1649</v>
      </c>
      <c r="AT317" t="s">
        <v>63</v>
      </c>
      <c r="AU317" t="s">
        <v>46</v>
      </c>
      <c r="AV317">
        <v>2010</v>
      </c>
      <c r="AW317" t="s">
        <v>1672</v>
      </c>
    </row>
    <row r="318" spans="1:49" x14ac:dyDescent="0.2">
      <c r="A318">
        <v>317</v>
      </c>
      <c r="B318" t="s">
        <v>1110</v>
      </c>
      <c r="C318" t="s">
        <v>1115</v>
      </c>
      <c r="D318">
        <v>1.9</v>
      </c>
      <c r="E318" t="s">
        <v>42</v>
      </c>
      <c r="F318">
        <f>D318-1.69</f>
        <v>0.20999999999999996</v>
      </c>
      <c r="G318">
        <f>2.12-D318</f>
        <v>0.2200000000000002</v>
      </c>
      <c r="H318" t="s">
        <v>69</v>
      </c>
      <c r="I318">
        <v>5</v>
      </c>
      <c r="J318">
        <v>10</v>
      </c>
      <c r="K318" t="s">
        <v>456</v>
      </c>
      <c r="L318" t="s">
        <v>1116</v>
      </c>
      <c r="M318">
        <v>4.8499999999999996</v>
      </c>
      <c r="N318" t="s">
        <v>42</v>
      </c>
      <c r="O318">
        <f>M318-4.47</f>
        <v>0.37999999999999989</v>
      </c>
      <c r="P318">
        <f>5.34-M318</f>
        <v>0.49000000000000021</v>
      </c>
      <c r="Q318" t="s">
        <v>69</v>
      </c>
      <c r="R318">
        <v>5</v>
      </c>
      <c r="S318">
        <v>10</v>
      </c>
      <c r="T318" t="s">
        <v>456</v>
      </c>
      <c r="U318" t="s">
        <v>156</v>
      </c>
      <c r="V318" t="s">
        <v>1117</v>
      </c>
      <c r="W318" t="s">
        <v>1118</v>
      </c>
      <c r="X318" t="s">
        <v>366</v>
      </c>
      <c r="Y318" t="s">
        <v>367</v>
      </c>
      <c r="Z318" t="s">
        <v>1114</v>
      </c>
      <c r="AA318" t="s">
        <v>36</v>
      </c>
      <c r="AB318" t="s">
        <v>37</v>
      </c>
      <c r="AC318" t="s">
        <v>38</v>
      </c>
      <c r="AD318" t="s">
        <v>39</v>
      </c>
      <c r="AE318" t="s">
        <v>180</v>
      </c>
      <c r="AF318">
        <v>24</v>
      </c>
      <c r="AG318" t="s">
        <v>77</v>
      </c>
      <c r="AH318" t="s">
        <v>50</v>
      </c>
      <c r="AI318" t="s">
        <v>46</v>
      </c>
      <c r="AJ318" t="s">
        <v>47</v>
      </c>
      <c r="AK318" t="s">
        <v>61</v>
      </c>
      <c r="AL318">
        <v>25</v>
      </c>
      <c r="AM318" t="s">
        <v>46</v>
      </c>
      <c r="AN318" t="s">
        <v>46</v>
      </c>
      <c r="AO318">
        <f>7*24</f>
        <v>168</v>
      </c>
      <c r="AP318" t="s">
        <v>63</v>
      </c>
      <c r="AQ318">
        <v>60.5</v>
      </c>
      <c r="AR318" t="s">
        <v>50</v>
      </c>
      <c r="AS318" t="s">
        <v>1649</v>
      </c>
      <c r="AT318" t="s">
        <v>63</v>
      </c>
      <c r="AU318" t="s">
        <v>46</v>
      </c>
      <c r="AV318">
        <v>2010</v>
      </c>
      <c r="AW318" t="s">
        <v>1673</v>
      </c>
    </row>
    <row r="319" spans="1:49" x14ac:dyDescent="0.2">
      <c r="A319">
        <v>318</v>
      </c>
      <c r="B319" t="s">
        <v>1119</v>
      </c>
      <c r="C319" t="s">
        <v>1120</v>
      </c>
      <c r="D319">
        <v>58.5</v>
      </c>
      <c r="E319" t="s">
        <v>42</v>
      </c>
      <c r="F319">
        <f>D319-39.76</f>
        <v>18.740000000000002</v>
      </c>
      <c r="G319">
        <f>124-D319</f>
        <v>65.5</v>
      </c>
      <c r="H319" t="s">
        <v>69</v>
      </c>
      <c r="I319">
        <v>50</v>
      </c>
      <c r="J319">
        <v>1</v>
      </c>
      <c r="K319" t="s">
        <v>1121</v>
      </c>
      <c r="L319" t="s">
        <v>1122</v>
      </c>
      <c r="M319">
        <v>0.49</v>
      </c>
      <c r="N319" t="s">
        <v>42</v>
      </c>
      <c r="O319">
        <f>M319-0.38</f>
        <v>0.10999999999999999</v>
      </c>
      <c r="P319">
        <f>8.81-M319</f>
        <v>8.32</v>
      </c>
      <c r="Q319" t="s">
        <v>69</v>
      </c>
      <c r="R319">
        <v>50</v>
      </c>
      <c r="S319">
        <v>1</v>
      </c>
      <c r="T319" t="s">
        <v>1121</v>
      </c>
      <c r="U319" t="s">
        <v>156</v>
      </c>
      <c r="V319" t="s">
        <v>1123</v>
      </c>
      <c r="W319" t="s">
        <v>1124</v>
      </c>
      <c r="X319" t="s">
        <v>1125</v>
      </c>
      <c r="Y319" t="s">
        <v>46</v>
      </c>
      <c r="Z319" t="s">
        <v>46</v>
      </c>
      <c r="AA319" t="s">
        <v>1126</v>
      </c>
      <c r="AB319" t="s">
        <v>74</v>
      </c>
      <c r="AC319" t="s">
        <v>38</v>
      </c>
      <c r="AD319" t="s">
        <v>39</v>
      </c>
      <c r="AE319" t="s">
        <v>1127</v>
      </c>
      <c r="AF319">
        <v>48</v>
      </c>
      <c r="AG319" t="s">
        <v>40</v>
      </c>
      <c r="AH319" t="s">
        <v>50</v>
      </c>
      <c r="AI319" t="s">
        <v>46</v>
      </c>
      <c r="AJ319" t="s">
        <v>47</v>
      </c>
      <c r="AK319" t="s">
        <v>61</v>
      </c>
      <c r="AL319">
        <v>20</v>
      </c>
      <c r="AM319">
        <v>6.7</v>
      </c>
      <c r="AN319" t="s">
        <v>46</v>
      </c>
      <c r="AO319">
        <v>2</v>
      </c>
      <c r="AP319" t="s">
        <v>50</v>
      </c>
      <c r="AQ319">
        <v>70</v>
      </c>
      <c r="AR319" t="s">
        <v>50</v>
      </c>
      <c r="AS319" t="s">
        <v>1629</v>
      </c>
      <c r="AT319" t="s">
        <v>63</v>
      </c>
      <c r="AU319" t="s">
        <v>46</v>
      </c>
      <c r="AV319">
        <v>1976</v>
      </c>
      <c r="AW319" t="s">
        <v>46</v>
      </c>
    </row>
    <row r="320" spans="1:49" x14ac:dyDescent="0.2">
      <c r="A320">
        <v>319</v>
      </c>
      <c r="B320" t="s">
        <v>1119</v>
      </c>
      <c r="C320" t="s">
        <v>1120</v>
      </c>
      <c r="D320">
        <v>22.1</v>
      </c>
      <c r="E320" t="s">
        <v>42</v>
      </c>
      <c r="F320">
        <f>D320-18.54</f>
        <v>3.5600000000000023</v>
      </c>
      <c r="G320">
        <f>27.71-D320</f>
        <v>5.6099999999999994</v>
      </c>
      <c r="H320" t="s">
        <v>69</v>
      </c>
      <c r="I320">
        <v>50</v>
      </c>
      <c r="J320">
        <v>1</v>
      </c>
      <c r="K320" t="s">
        <v>1121</v>
      </c>
      <c r="L320" t="s">
        <v>1122</v>
      </c>
      <c r="M320">
        <v>0.43</v>
      </c>
      <c r="N320" t="s">
        <v>42</v>
      </c>
      <c r="O320">
        <f>M320-0.4</f>
        <v>2.9999999999999971E-2</v>
      </c>
      <c r="P320">
        <f>0.51-M320</f>
        <v>8.0000000000000016E-2</v>
      </c>
      <c r="Q320" t="s">
        <v>69</v>
      </c>
      <c r="R320">
        <v>50</v>
      </c>
      <c r="S320">
        <v>1</v>
      </c>
      <c r="T320" t="s">
        <v>1121</v>
      </c>
      <c r="U320" t="s">
        <v>156</v>
      </c>
      <c r="V320" t="s">
        <v>1128</v>
      </c>
      <c r="W320" t="s">
        <v>1124</v>
      </c>
      <c r="X320" t="s">
        <v>1125</v>
      </c>
      <c r="Y320" t="s">
        <v>46</v>
      </c>
      <c r="Z320" t="s">
        <v>46</v>
      </c>
      <c r="AA320" t="s">
        <v>1126</v>
      </c>
      <c r="AB320" t="s">
        <v>74</v>
      </c>
      <c r="AC320" t="s">
        <v>38</v>
      </c>
      <c r="AD320" t="s">
        <v>39</v>
      </c>
      <c r="AE320" t="s">
        <v>1127</v>
      </c>
      <c r="AF320">
        <v>96</v>
      </c>
      <c r="AG320" t="s">
        <v>40</v>
      </c>
      <c r="AH320" t="s">
        <v>50</v>
      </c>
      <c r="AI320" t="s">
        <v>46</v>
      </c>
      <c r="AJ320" t="s">
        <v>47</v>
      </c>
      <c r="AK320" t="s">
        <v>61</v>
      </c>
      <c r="AL320">
        <v>20</v>
      </c>
      <c r="AM320">
        <v>6.7</v>
      </c>
      <c r="AN320" t="s">
        <v>46</v>
      </c>
      <c r="AO320">
        <v>2</v>
      </c>
      <c r="AP320" t="s">
        <v>50</v>
      </c>
      <c r="AQ320">
        <v>70</v>
      </c>
      <c r="AR320" t="s">
        <v>50</v>
      </c>
      <c r="AS320" t="s">
        <v>1629</v>
      </c>
      <c r="AT320" t="s">
        <v>63</v>
      </c>
      <c r="AU320" t="s">
        <v>46</v>
      </c>
      <c r="AV320">
        <v>1976</v>
      </c>
      <c r="AW320" t="s">
        <v>46</v>
      </c>
    </row>
    <row r="321" spans="1:49" x14ac:dyDescent="0.2">
      <c r="A321">
        <v>320</v>
      </c>
      <c r="B321" t="s">
        <v>1119</v>
      </c>
      <c r="C321" t="s">
        <v>33</v>
      </c>
      <c r="D321">
        <v>37.42</v>
      </c>
      <c r="E321" t="s">
        <v>42</v>
      </c>
      <c r="F321">
        <f>D321-21.7</f>
        <v>15.720000000000002</v>
      </c>
      <c r="G321">
        <f>308080.8-D321</f>
        <v>308043.38</v>
      </c>
      <c r="H321" t="s">
        <v>69</v>
      </c>
      <c r="I321">
        <v>50</v>
      </c>
      <c r="J321">
        <v>1</v>
      </c>
      <c r="K321" t="s">
        <v>1121</v>
      </c>
      <c r="L321" t="s">
        <v>1651</v>
      </c>
      <c r="M321">
        <v>225.57</v>
      </c>
      <c r="N321" t="s">
        <v>42</v>
      </c>
      <c r="O321">
        <f>M321-127.3</f>
        <v>98.27</v>
      </c>
      <c r="P321">
        <f>6221.66-M321</f>
        <v>5996.09</v>
      </c>
      <c r="Q321" t="s">
        <v>69</v>
      </c>
      <c r="R321">
        <v>50</v>
      </c>
      <c r="S321">
        <v>1</v>
      </c>
      <c r="T321" t="s">
        <v>1121</v>
      </c>
      <c r="U321" t="s">
        <v>156</v>
      </c>
      <c r="V321" t="s">
        <v>1129</v>
      </c>
      <c r="W321" t="s">
        <v>1130</v>
      </c>
      <c r="X321" t="s">
        <v>1125</v>
      </c>
      <c r="Y321" t="s">
        <v>46</v>
      </c>
      <c r="Z321" t="s">
        <v>46</v>
      </c>
      <c r="AA321" t="s">
        <v>1126</v>
      </c>
      <c r="AB321" t="s">
        <v>74</v>
      </c>
      <c r="AC321" t="s">
        <v>38</v>
      </c>
      <c r="AD321" t="s">
        <v>39</v>
      </c>
      <c r="AE321" t="s">
        <v>1127</v>
      </c>
      <c r="AF321">
        <v>48</v>
      </c>
      <c r="AG321" t="s">
        <v>40</v>
      </c>
      <c r="AH321" t="s">
        <v>50</v>
      </c>
      <c r="AI321" t="s">
        <v>46</v>
      </c>
      <c r="AJ321" t="s">
        <v>47</v>
      </c>
      <c r="AK321" t="s">
        <v>61</v>
      </c>
      <c r="AL321">
        <v>20</v>
      </c>
      <c r="AM321">
        <v>6.7</v>
      </c>
      <c r="AN321" t="s">
        <v>46</v>
      </c>
      <c r="AO321">
        <v>2</v>
      </c>
      <c r="AP321" t="s">
        <v>50</v>
      </c>
      <c r="AQ321">
        <v>70</v>
      </c>
      <c r="AR321" t="s">
        <v>50</v>
      </c>
      <c r="AS321" t="s">
        <v>1630</v>
      </c>
      <c r="AT321" t="s">
        <v>63</v>
      </c>
      <c r="AU321" t="s">
        <v>46</v>
      </c>
      <c r="AV321">
        <v>1976</v>
      </c>
      <c r="AW321" t="s">
        <v>1131</v>
      </c>
    </row>
    <row r="322" spans="1:49" x14ac:dyDescent="0.2">
      <c r="A322">
        <v>321</v>
      </c>
      <c r="B322" t="s">
        <v>1119</v>
      </c>
      <c r="C322" t="s">
        <v>33</v>
      </c>
      <c r="D322">
        <v>8.7200000000000006</v>
      </c>
      <c r="E322" t="s">
        <v>42</v>
      </c>
      <c r="F322">
        <f>D322-5.32</f>
        <v>3.4000000000000004</v>
      </c>
      <c r="G322">
        <f>11.57-D322</f>
        <v>2.8499999999999996</v>
      </c>
      <c r="H322" t="s">
        <v>69</v>
      </c>
      <c r="I322">
        <v>50</v>
      </c>
      <c r="J322">
        <v>1</v>
      </c>
      <c r="K322" t="s">
        <v>1121</v>
      </c>
      <c r="L322" t="s">
        <v>1651</v>
      </c>
      <c r="M322">
        <v>54.8</v>
      </c>
      <c r="N322" t="s">
        <v>42</v>
      </c>
      <c r="O322">
        <f>M322-46.45</f>
        <v>8.3499999999999943</v>
      </c>
      <c r="P322">
        <f>64.6-M322</f>
        <v>9.7999999999999972</v>
      </c>
      <c r="Q322" t="s">
        <v>69</v>
      </c>
      <c r="R322">
        <v>50</v>
      </c>
      <c r="S322">
        <v>1</v>
      </c>
      <c r="T322" t="s">
        <v>1121</v>
      </c>
      <c r="U322" t="s">
        <v>156</v>
      </c>
      <c r="V322" t="s">
        <v>1132</v>
      </c>
      <c r="W322" t="s">
        <v>1130</v>
      </c>
      <c r="X322" t="s">
        <v>1125</v>
      </c>
      <c r="Y322" t="s">
        <v>46</v>
      </c>
      <c r="Z322" t="s">
        <v>46</v>
      </c>
      <c r="AA322" t="s">
        <v>1126</v>
      </c>
      <c r="AB322" t="s">
        <v>74</v>
      </c>
      <c r="AC322" t="s">
        <v>38</v>
      </c>
      <c r="AD322" t="s">
        <v>39</v>
      </c>
      <c r="AE322" t="s">
        <v>1127</v>
      </c>
      <c r="AF322">
        <v>96</v>
      </c>
      <c r="AG322" t="s">
        <v>40</v>
      </c>
      <c r="AH322" t="s">
        <v>50</v>
      </c>
      <c r="AI322" t="s">
        <v>46</v>
      </c>
      <c r="AJ322" t="s">
        <v>47</v>
      </c>
      <c r="AK322" t="s">
        <v>61</v>
      </c>
      <c r="AL322">
        <v>20</v>
      </c>
      <c r="AM322">
        <v>6.7</v>
      </c>
      <c r="AN322" t="s">
        <v>46</v>
      </c>
      <c r="AO322">
        <v>2</v>
      </c>
      <c r="AP322" t="s">
        <v>50</v>
      </c>
      <c r="AQ322">
        <v>70</v>
      </c>
      <c r="AR322" t="s">
        <v>50</v>
      </c>
      <c r="AS322" t="s">
        <v>1630</v>
      </c>
      <c r="AT322" t="s">
        <v>63</v>
      </c>
      <c r="AU322" t="s">
        <v>46</v>
      </c>
      <c r="AV322">
        <v>1976</v>
      </c>
      <c r="AW322" t="s">
        <v>46</v>
      </c>
    </row>
    <row r="323" spans="1:49" x14ac:dyDescent="0.2">
      <c r="A323">
        <v>322</v>
      </c>
      <c r="B323" t="s">
        <v>1133</v>
      </c>
      <c r="C323" t="s">
        <v>55</v>
      </c>
      <c r="D323">
        <v>199</v>
      </c>
      <c r="E323" t="s">
        <v>42</v>
      </c>
      <c r="F323">
        <f>D323-170</f>
        <v>29</v>
      </c>
      <c r="G323">
        <f>236-D323</f>
        <v>37</v>
      </c>
      <c r="H323" t="s">
        <v>69</v>
      </c>
      <c r="I323">
        <v>3</v>
      </c>
      <c r="J323">
        <v>10</v>
      </c>
      <c r="K323" t="s">
        <v>952</v>
      </c>
      <c r="L323" t="s">
        <v>838</v>
      </c>
      <c r="M323">
        <v>9.34</v>
      </c>
      <c r="N323" t="s">
        <v>42</v>
      </c>
      <c r="O323">
        <f>M323-8.71</f>
        <v>0.62999999999999901</v>
      </c>
      <c r="P323">
        <f>9.95-M323</f>
        <v>0.60999999999999943</v>
      </c>
      <c r="Q323" t="s">
        <v>69</v>
      </c>
      <c r="R323">
        <v>3</v>
      </c>
      <c r="S323">
        <v>10</v>
      </c>
      <c r="T323" t="s">
        <v>952</v>
      </c>
      <c r="U323" t="s">
        <v>156</v>
      </c>
      <c r="V323" t="s">
        <v>1134</v>
      </c>
      <c r="W323" t="s">
        <v>1135</v>
      </c>
      <c r="X323" t="s">
        <v>257</v>
      </c>
      <c r="Y323" t="s">
        <v>258</v>
      </c>
      <c r="Z323" t="s">
        <v>843</v>
      </c>
      <c r="AA323" t="s">
        <v>73</v>
      </c>
      <c r="AB323" t="s">
        <v>74</v>
      </c>
      <c r="AC323" t="s">
        <v>38</v>
      </c>
      <c r="AD323" t="s">
        <v>39</v>
      </c>
      <c r="AE323" t="s">
        <v>465</v>
      </c>
      <c r="AF323">
        <v>48</v>
      </c>
      <c r="AG323" t="s">
        <v>40</v>
      </c>
      <c r="AH323" t="s">
        <v>50</v>
      </c>
      <c r="AI323" t="s">
        <v>46</v>
      </c>
      <c r="AJ323" t="s">
        <v>47</v>
      </c>
      <c r="AK323" t="s">
        <v>61</v>
      </c>
      <c r="AL323">
        <v>21</v>
      </c>
      <c r="AM323">
        <v>7.8</v>
      </c>
      <c r="AN323" t="s">
        <v>152</v>
      </c>
      <c r="AO323">
        <v>24</v>
      </c>
      <c r="AP323" t="s">
        <v>63</v>
      </c>
      <c r="AQ323">
        <v>170</v>
      </c>
      <c r="AR323" t="s">
        <v>50</v>
      </c>
      <c r="AS323" t="s">
        <v>1629</v>
      </c>
      <c r="AT323" t="s">
        <v>63</v>
      </c>
      <c r="AU323" t="s">
        <v>46</v>
      </c>
      <c r="AV323">
        <v>2014</v>
      </c>
      <c r="AW323" t="s">
        <v>1136</v>
      </c>
    </row>
    <row r="324" spans="1:49" x14ac:dyDescent="0.2">
      <c r="A324">
        <v>323</v>
      </c>
      <c r="B324" t="s">
        <v>1133</v>
      </c>
      <c r="C324" t="s">
        <v>620</v>
      </c>
      <c r="D324">
        <v>3.73</v>
      </c>
      <c r="E324" t="s">
        <v>42</v>
      </c>
      <c r="F324">
        <f>D324-3.25</f>
        <v>0.48</v>
      </c>
      <c r="G324">
        <f>4.29-D324</f>
        <v>0.56000000000000005</v>
      </c>
      <c r="H324" t="s">
        <v>69</v>
      </c>
      <c r="I324">
        <v>3</v>
      </c>
      <c r="J324">
        <v>10</v>
      </c>
      <c r="K324" t="s">
        <v>952</v>
      </c>
      <c r="L324" t="s">
        <v>845</v>
      </c>
      <c r="M324">
        <v>2.81</v>
      </c>
      <c r="N324" t="s">
        <v>42</v>
      </c>
      <c r="O324">
        <f>M324-2.49</f>
        <v>0.31999999999999984</v>
      </c>
      <c r="P324">
        <f>3.16-M324</f>
        <v>0.35000000000000009</v>
      </c>
      <c r="Q324" t="s">
        <v>69</v>
      </c>
      <c r="R324">
        <v>3</v>
      </c>
      <c r="S324">
        <v>10</v>
      </c>
      <c r="T324" t="s">
        <v>952</v>
      </c>
      <c r="U324" t="s">
        <v>156</v>
      </c>
      <c r="V324" t="s">
        <v>1137</v>
      </c>
      <c r="W324" t="s">
        <v>1138</v>
      </c>
      <c r="X324" t="s">
        <v>257</v>
      </c>
      <c r="Y324" t="s">
        <v>258</v>
      </c>
      <c r="Z324" t="s">
        <v>843</v>
      </c>
      <c r="AA324" t="s">
        <v>73</v>
      </c>
      <c r="AB324" t="s">
        <v>74</v>
      </c>
      <c r="AC324" t="s">
        <v>38</v>
      </c>
      <c r="AD324" t="s">
        <v>39</v>
      </c>
      <c r="AE324" t="s">
        <v>465</v>
      </c>
      <c r="AF324">
        <v>48</v>
      </c>
      <c r="AG324" t="s">
        <v>40</v>
      </c>
      <c r="AH324" t="s">
        <v>50</v>
      </c>
      <c r="AI324" t="s">
        <v>46</v>
      </c>
      <c r="AJ324" t="s">
        <v>47</v>
      </c>
      <c r="AK324" t="s">
        <v>61</v>
      </c>
      <c r="AL324">
        <v>21</v>
      </c>
      <c r="AM324">
        <v>7.8</v>
      </c>
      <c r="AN324" t="s">
        <v>152</v>
      </c>
      <c r="AO324">
        <v>24</v>
      </c>
      <c r="AP324" t="s">
        <v>63</v>
      </c>
      <c r="AQ324">
        <v>170</v>
      </c>
      <c r="AR324" t="s">
        <v>50</v>
      </c>
      <c r="AS324" t="s">
        <v>1631</v>
      </c>
      <c r="AT324" t="s">
        <v>63</v>
      </c>
      <c r="AU324" t="s">
        <v>46</v>
      </c>
      <c r="AV324">
        <v>2014</v>
      </c>
      <c r="AW324" t="s">
        <v>1136</v>
      </c>
    </row>
    <row r="325" spans="1:49" x14ac:dyDescent="0.2">
      <c r="A325">
        <v>324</v>
      </c>
      <c r="B325" t="s">
        <v>1133</v>
      </c>
      <c r="C325" t="s">
        <v>97</v>
      </c>
      <c r="D325">
        <v>1.22</v>
      </c>
      <c r="E325" t="s">
        <v>42</v>
      </c>
      <c r="F325">
        <f>D325-0.98</f>
        <v>0.24</v>
      </c>
      <c r="G325">
        <f>1.51-D325</f>
        <v>0.29000000000000004</v>
      </c>
      <c r="H325" t="s">
        <v>69</v>
      </c>
      <c r="I325">
        <v>3</v>
      </c>
      <c r="J325">
        <v>10</v>
      </c>
      <c r="K325" t="s">
        <v>952</v>
      </c>
      <c r="L325" t="s">
        <v>848</v>
      </c>
      <c r="M325">
        <v>0.3</v>
      </c>
      <c r="N325" t="s">
        <v>42</v>
      </c>
      <c r="O325">
        <f>M325-0.24</f>
        <v>0.06</v>
      </c>
      <c r="P325">
        <f>0.37-M325</f>
        <v>7.0000000000000007E-2</v>
      </c>
      <c r="Q325" t="s">
        <v>69</v>
      </c>
      <c r="R325">
        <v>3</v>
      </c>
      <c r="S325">
        <v>10</v>
      </c>
      <c r="T325" t="s">
        <v>952</v>
      </c>
      <c r="U325" t="s">
        <v>156</v>
      </c>
      <c r="V325" t="s">
        <v>1139</v>
      </c>
      <c r="W325" t="s">
        <v>1140</v>
      </c>
      <c r="X325" t="s">
        <v>257</v>
      </c>
      <c r="Y325" t="s">
        <v>258</v>
      </c>
      <c r="Z325" t="s">
        <v>843</v>
      </c>
      <c r="AA325" t="s">
        <v>73</v>
      </c>
      <c r="AB325" t="s">
        <v>74</v>
      </c>
      <c r="AC325" t="s">
        <v>38</v>
      </c>
      <c r="AD325" t="s">
        <v>39</v>
      </c>
      <c r="AE325" t="s">
        <v>465</v>
      </c>
      <c r="AF325">
        <v>48</v>
      </c>
      <c r="AG325" t="s">
        <v>40</v>
      </c>
      <c r="AH325" t="s">
        <v>50</v>
      </c>
      <c r="AI325" t="s">
        <v>46</v>
      </c>
      <c r="AJ325" t="s">
        <v>47</v>
      </c>
      <c r="AK325" t="s">
        <v>61</v>
      </c>
      <c r="AL325">
        <v>21</v>
      </c>
      <c r="AM325">
        <v>7.8</v>
      </c>
      <c r="AN325" t="s">
        <v>152</v>
      </c>
      <c r="AO325">
        <v>24</v>
      </c>
      <c r="AP325" t="s">
        <v>63</v>
      </c>
      <c r="AQ325">
        <v>170</v>
      </c>
      <c r="AR325" t="s">
        <v>50</v>
      </c>
      <c r="AS325" t="s">
        <v>1630</v>
      </c>
      <c r="AT325" t="s">
        <v>63</v>
      </c>
      <c r="AU325" t="s">
        <v>46</v>
      </c>
      <c r="AV325">
        <v>2014</v>
      </c>
      <c r="AW325" t="s">
        <v>1136</v>
      </c>
    </row>
    <row r="326" spans="1:49" x14ac:dyDescent="0.2">
      <c r="A326">
        <v>325</v>
      </c>
      <c r="B326" t="s">
        <v>1141</v>
      </c>
      <c r="C326" t="s">
        <v>1142</v>
      </c>
      <c r="D326">
        <v>799.6</v>
      </c>
      <c r="E326" t="s">
        <v>42</v>
      </c>
      <c r="F326">
        <f>D326-775.8</f>
        <v>23.800000000000068</v>
      </c>
      <c r="G326">
        <f>824.6-D326</f>
        <v>25</v>
      </c>
      <c r="H326" t="s">
        <v>69</v>
      </c>
      <c r="I326">
        <v>4</v>
      </c>
      <c r="J326">
        <v>10</v>
      </c>
      <c r="K326" t="s">
        <v>990</v>
      </c>
      <c r="L326" t="s">
        <v>1143</v>
      </c>
      <c r="M326">
        <v>14.7</v>
      </c>
      <c r="N326" t="s">
        <v>42</v>
      </c>
      <c r="O326">
        <f>M326-11.2</f>
        <v>3.5</v>
      </c>
      <c r="P326">
        <f>17.9-M326</f>
        <v>3.1999999999999993</v>
      </c>
      <c r="Q326" t="s">
        <v>69</v>
      </c>
      <c r="R326">
        <v>4</v>
      </c>
      <c r="S326">
        <v>10</v>
      </c>
      <c r="T326" t="s">
        <v>990</v>
      </c>
      <c r="U326" t="s">
        <v>46</v>
      </c>
      <c r="V326" t="s">
        <v>1144</v>
      </c>
      <c r="W326" t="s">
        <v>1145</v>
      </c>
      <c r="X326" t="s">
        <v>1146</v>
      </c>
      <c r="Y326" t="s">
        <v>1147</v>
      </c>
      <c r="Z326" t="s">
        <v>1148</v>
      </c>
      <c r="AA326" t="s">
        <v>60</v>
      </c>
      <c r="AB326" t="s">
        <v>37</v>
      </c>
      <c r="AC326" t="s">
        <v>38</v>
      </c>
      <c r="AD326" t="s">
        <v>179</v>
      </c>
      <c r="AE326" t="s">
        <v>180</v>
      </c>
      <c r="AF326">
        <v>96</v>
      </c>
      <c r="AG326" t="s">
        <v>40</v>
      </c>
      <c r="AH326" t="s">
        <v>50</v>
      </c>
      <c r="AI326" t="s">
        <v>46</v>
      </c>
      <c r="AJ326" t="s">
        <v>47</v>
      </c>
      <c r="AK326" t="s">
        <v>61</v>
      </c>
      <c r="AL326">
        <v>22</v>
      </c>
      <c r="AM326" t="s">
        <v>46</v>
      </c>
      <c r="AN326" t="s">
        <v>46</v>
      </c>
      <c r="AO326" t="s">
        <v>46</v>
      </c>
      <c r="AP326" t="s">
        <v>63</v>
      </c>
      <c r="AQ326" t="s">
        <v>46</v>
      </c>
      <c r="AR326" t="s">
        <v>50</v>
      </c>
      <c r="AS326" t="s">
        <v>1630</v>
      </c>
      <c r="AT326" t="s">
        <v>63</v>
      </c>
      <c r="AU326" t="s">
        <v>46</v>
      </c>
      <c r="AV326">
        <v>2009</v>
      </c>
      <c r="AW326" t="s">
        <v>46</v>
      </c>
    </row>
    <row r="327" spans="1:49" x14ac:dyDescent="0.2">
      <c r="A327">
        <v>326</v>
      </c>
      <c r="B327" t="s">
        <v>1141</v>
      </c>
      <c r="C327" t="s">
        <v>1142</v>
      </c>
      <c r="D327">
        <v>799.6</v>
      </c>
      <c r="E327" t="s">
        <v>42</v>
      </c>
      <c r="F327">
        <f>D327-775.8</f>
        <v>23.800000000000068</v>
      </c>
      <c r="G327">
        <f>824.6-D327</f>
        <v>25</v>
      </c>
      <c r="H327" t="s">
        <v>69</v>
      </c>
      <c r="I327">
        <v>4</v>
      </c>
      <c r="J327">
        <v>10</v>
      </c>
      <c r="K327" t="s">
        <v>990</v>
      </c>
      <c r="L327" t="s">
        <v>1149</v>
      </c>
      <c r="M327">
        <v>1739</v>
      </c>
      <c r="N327" t="s">
        <v>42</v>
      </c>
      <c r="O327">
        <f>M327-990.6</f>
        <v>748.4</v>
      </c>
      <c r="P327">
        <f>2256.7-M327</f>
        <v>517.69999999999982</v>
      </c>
      <c r="Q327" t="s">
        <v>69</v>
      </c>
      <c r="R327">
        <v>4</v>
      </c>
      <c r="S327">
        <v>10</v>
      </c>
      <c r="T327" t="s">
        <v>990</v>
      </c>
      <c r="U327" t="s">
        <v>46</v>
      </c>
      <c r="V327" t="s">
        <v>1144</v>
      </c>
      <c r="W327" t="s">
        <v>1150</v>
      </c>
      <c r="X327" t="s">
        <v>1146</v>
      </c>
      <c r="Y327" t="s">
        <v>1147</v>
      </c>
      <c r="Z327" t="s">
        <v>1148</v>
      </c>
      <c r="AA327" t="s">
        <v>60</v>
      </c>
      <c r="AB327" t="s">
        <v>37</v>
      </c>
      <c r="AC327" t="s">
        <v>38</v>
      </c>
      <c r="AD327" t="s">
        <v>179</v>
      </c>
      <c r="AE327" t="s">
        <v>180</v>
      </c>
      <c r="AF327">
        <v>96</v>
      </c>
      <c r="AG327" t="s">
        <v>40</v>
      </c>
      <c r="AH327" t="s">
        <v>50</v>
      </c>
      <c r="AI327" t="s">
        <v>46</v>
      </c>
      <c r="AJ327" t="s">
        <v>47</v>
      </c>
      <c r="AK327" t="s">
        <v>61</v>
      </c>
      <c r="AL327">
        <v>22</v>
      </c>
      <c r="AM327" t="s">
        <v>46</v>
      </c>
      <c r="AN327" t="s">
        <v>46</v>
      </c>
      <c r="AO327" t="s">
        <v>46</v>
      </c>
      <c r="AP327" t="s">
        <v>63</v>
      </c>
      <c r="AQ327" t="s">
        <v>46</v>
      </c>
      <c r="AR327" t="s">
        <v>50</v>
      </c>
      <c r="AS327" t="s">
        <v>1630</v>
      </c>
      <c r="AT327" t="s">
        <v>63</v>
      </c>
      <c r="AU327" t="s">
        <v>46</v>
      </c>
      <c r="AV327">
        <v>2009</v>
      </c>
      <c r="AW327" t="s">
        <v>46</v>
      </c>
    </row>
    <row r="328" spans="1:49" x14ac:dyDescent="0.2">
      <c r="A328">
        <v>327</v>
      </c>
      <c r="B328" t="s">
        <v>1141</v>
      </c>
      <c r="C328" t="s">
        <v>1151</v>
      </c>
      <c r="D328">
        <v>814.1</v>
      </c>
      <c r="E328" t="s">
        <v>42</v>
      </c>
      <c r="F328">
        <f>D328-769.6</f>
        <v>44.5</v>
      </c>
      <c r="G328">
        <f>847.1-D328</f>
        <v>33</v>
      </c>
      <c r="H328" t="s">
        <v>69</v>
      </c>
      <c r="I328">
        <v>4</v>
      </c>
      <c r="J328">
        <v>10</v>
      </c>
      <c r="K328" t="s">
        <v>990</v>
      </c>
      <c r="L328" t="s">
        <v>1152</v>
      </c>
      <c r="M328">
        <v>174.5</v>
      </c>
      <c r="N328" t="s">
        <v>42</v>
      </c>
      <c r="O328">
        <f>M328-174.5</f>
        <v>0</v>
      </c>
      <c r="P328">
        <f>174.5-M328</f>
        <v>0</v>
      </c>
      <c r="Q328" t="s">
        <v>69</v>
      </c>
      <c r="R328">
        <v>4</v>
      </c>
      <c r="S328">
        <v>10</v>
      </c>
      <c r="T328" t="s">
        <v>990</v>
      </c>
      <c r="U328" t="s">
        <v>46</v>
      </c>
      <c r="V328" t="s">
        <v>1153</v>
      </c>
      <c r="W328" t="s">
        <v>1154</v>
      </c>
      <c r="X328" t="s">
        <v>1146</v>
      </c>
      <c r="Y328" t="s">
        <v>1147</v>
      </c>
      <c r="Z328" t="s">
        <v>1148</v>
      </c>
      <c r="AA328" t="s">
        <v>60</v>
      </c>
      <c r="AB328" t="s">
        <v>37</v>
      </c>
      <c r="AC328" t="s">
        <v>38</v>
      </c>
      <c r="AD328" t="s">
        <v>179</v>
      </c>
      <c r="AE328" t="s">
        <v>180</v>
      </c>
      <c r="AF328">
        <v>96</v>
      </c>
      <c r="AG328" t="s">
        <v>40</v>
      </c>
      <c r="AH328" t="s">
        <v>50</v>
      </c>
      <c r="AI328" t="s">
        <v>46</v>
      </c>
      <c r="AJ328" t="s">
        <v>47</v>
      </c>
      <c r="AK328" t="s">
        <v>61</v>
      </c>
      <c r="AL328">
        <v>22</v>
      </c>
      <c r="AM328" t="s">
        <v>46</v>
      </c>
      <c r="AN328" t="s">
        <v>46</v>
      </c>
      <c r="AO328" t="s">
        <v>46</v>
      </c>
      <c r="AP328" t="s">
        <v>63</v>
      </c>
      <c r="AQ328" t="s">
        <v>46</v>
      </c>
      <c r="AR328" t="s">
        <v>50</v>
      </c>
      <c r="AS328" t="s">
        <v>1630</v>
      </c>
      <c r="AT328" t="s">
        <v>63</v>
      </c>
      <c r="AU328" t="s">
        <v>46</v>
      </c>
      <c r="AV328">
        <v>2009</v>
      </c>
      <c r="AW328" t="s">
        <v>1155</v>
      </c>
    </row>
    <row r="329" spans="1:49" x14ac:dyDescent="0.2">
      <c r="A329">
        <v>328</v>
      </c>
      <c r="B329" t="s">
        <v>1156</v>
      </c>
      <c r="C329" t="s">
        <v>55</v>
      </c>
      <c r="D329">
        <v>4771</v>
      </c>
      <c r="E329" t="s">
        <v>42</v>
      </c>
      <c r="F329">
        <f>D329-264.9</f>
        <v>4506.1000000000004</v>
      </c>
      <c r="G329">
        <f>70750.6-D329</f>
        <v>65979.600000000006</v>
      </c>
      <c r="H329" t="s">
        <v>69</v>
      </c>
      <c r="I329">
        <v>3</v>
      </c>
      <c r="J329">
        <v>30</v>
      </c>
      <c r="K329" t="s">
        <v>1157</v>
      </c>
      <c r="L329" t="s">
        <v>1158</v>
      </c>
      <c r="M329">
        <v>587.70000000000005</v>
      </c>
      <c r="N329" t="s">
        <v>42</v>
      </c>
      <c r="O329">
        <f>M329-126.4</f>
        <v>461.30000000000007</v>
      </c>
      <c r="P329">
        <f>2731.9-M329</f>
        <v>2144.1999999999998</v>
      </c>
      <c r="Q329" t="s">
        <v>69</v>
      </c>
      <c r="R329">
        <v>3</v>
      </c>
      <c r="S329">
        <v>30</v>
      </c>
      <c r="T329" t="s">
        <v>1157</v>
      </c>
      <c r="U329" t="s">
        <v>156</v>
      </c>
      <c r="V329" t="s">
        <v>1159</v>
      </c>
      <c r="W329" t="s">
        <v>1160</v>
      </c>
      <c r="X329" t="s">
        <v>910</v>
      </c>
      <c r="Y329" t="s">
        <v>911</v>
      </c>
      <c r="Z329" t="s">
        <v>1161</v>
      </c>
      <c r="AA329" t="s">
        <v>232</v>
      </c>
      <c r="AB329" t="s">
        <v>74</v>
      </c>
      <c r="AC329" t="s">
        <v>38</v>
      </c>
      <c r="AD329" t="s">
        <v>169</v>
      </c>
      <c r="AE329" t="s">
        <v>75</v>
      </c>
      <c r="AF329">
        <v>72</v>
      </c>
      <c r="AG329" t="s">
        <v>40</v>
      </c>
      <c r="AH329" t="s">
        <v>50</v>
      </c>
      <c r="AI329" t="s">
        <v>170</v>
      </c>
      <c r="AJ329" t="s">
        <v>913</v>
      </c>
      <c r="AK329" t="s">
        <v>61</v>
      </c>
      <c r="AL329">
        <v>25</v>
      </c>
      <c r="AM329" t="s">
        <v>46</v>
      </c>
      <c r="AN329" t="s">
        <v>76</v>
      </c>
      <c r="AO329">
        <f>5*24</f>
        <v>120</v>
      </c>
      <c r="AP329" t="s">
        <v>50</v>
      </c>
      <c r="AQ329" t="s">
        <v>46</v>
      </c>
      <c r="AR329" t="s">
        <v>50</v>
      </c>
      <c r="AS329" t="s">
        <v>1629</v>
      </c>
      <c r="AT329" t="s">
        <v>1634</v>
      </c>
      <c r="AU329" t="s">
        <v>46</v>
      </c>
      <c r="AV329">
        <v>2020</v>
      </c>
      <c r="AW329" t="s">
        <v>1131</v>
      </c>
    </row>
    <row r="330" spans="1:49" x14ac:dyDescent="0.2">
      <c r="A330">
        <v>329</v>
      </c>
      <c r="B330" t="s">
        <v>1156</v>
      </c>
      <c r="C330" t="s">
        <v>55</v>
      </c>
      <c r="D330">
        <v>5146</v>
      </c>
      <c r="E330" t="s">
        <v>42</v>
      </c>
      <c r="F330">
        <f>D330-905.1</f>
        <v>4240.8999999999996</v>
      </c>
      <c r="G330">
        <f>29259.8-D330</f>
        <v>24113.8</v>
      </c>
      <c r="H330" t="s">
        <v>69</v>
      </c>
      <c r="I330">
        <v>3</v>
      </c>
      <c r="J330">
        <v>30</v>
      </c>
      <c r="K330" t="s">
        <v>1157</v>
      </c>
      <c r="L330" t="s">
        <v>1158</v>
      </c>
      <c r="M330">
        <v>774.4</v>
      </c>
      <c r="N330" t="s">
        <v>42</v>
      </c>
      <c r="O330">
        <f>M330-166.36</f>
        <v>608.04</v>
      </c>
      <c r="P330">
        <f>3600-M330</f>
        <v>2825.6</v>
      </c>
      <c r="Q330" t="s">
        <v>69</v>
      </c>
      <c r="R330">
        <v>3</v>
      </c>
      <c r="S330">
        <v>30</v>
      </c>
      <c r="T330" t="s">
        <v>1157</v>
      </c>
      <c r="U330" t="s">
        <v>156</v>
      </c>
      <c r="V330" t="s">
        <v>1162</v>
      </c>
      <c r="W330" t="s">
        <v>1163</v>
      </c>
      <c r="X330" t="s">
        <v>910</v>
      </c>
      <c r="Y330" t="s">
        <v>911</v>
      </c>
      <c r="Z330" t="s">
        <v>1161</v>
      </c>
      <c r="AA330" t="s">
        <v>232</v>
      </c>
      <c r="AB330" t="s">
        <v>74</v>
      </c>
      <c r="AC330" t="s">
        <v>38</v>
      </c>
      <c r="AD330" t="s">
        <v>169</v>
      </c>
      <c r="AE330" t="s">
        <v>75</v>
      </c>
      <c r="AF330">
        <v>72</v>
      </c>
      <c r="AG330" t="s">
        <v>40</v>
      </c>
      <c r="AH330" t="s">
        <v>50</v>
      </c>
      <c r="AI330" t="s">
        <v>463</v>
      </c>
      <c r="AJ330" t="s">
        <v>913</v>
      </c>
      <c r="AK330" t="s">
        <v>61</v>
      </c>
      <c r="AL330">
        <v>25</v>
      </c>
      <c r="AM330" t="s">
        <v>46</v>
      </c>
      <c r="AN330" t="s">
        <v>76</v>
      </c>
      <c r="AO330">
        <f>5*24</f>
        <v>120</v>
      </c>
      <c r="AP330" t="s">
        <v>50</v>
      </c>
      <c r="AQ330" t="s">
        <v>46</v>
      </c>
      <c r="AR330" t="s">
        <v>50</v>
      </c>
      <c r="AS330" t="s">
        <v>1629</v>
      </c>
      <c r="AT330" t="s">
        <v>1634</v>
      </c>
      <c r="AU330" t="s">
        <v>46</v>
      </c>
      <c r="AV330">
        <v>2020</v>
      </c>
      <c r="AW330" t="s">
        <v>1131</v>
      </c>
    </row>
    <row r="331" spans="1:49" x14ac:dyDescent="0.2">
      <c r="A331">
        <v>330</v>
      </c>
      <c r="B331" t="s">
        <v>1164</v>
      </c>
      <c r="C331" t="s">
        <v>67</v>
      </c>
      <c r="D331">
        <v>13.36</v>
      </c>
      <c r="E331" t="s">
        <v>68</v>
      </c>
      <c r="F331">
        <v>2.63</v>
      </c>
      <c r="G331">
        <v>2.63</v>
      </c>
      <c r="H331" t="s">
        <v>43</v>
      </c>
      <c r="I331">
        <v>4</v>
      </c>
      <c r="J331">
        <v>10</v>
      </c>
      <c r="K331" t="s">
        <v>990</v>
      </c>
      <c r="L331" t="s">
        <v>963</v>
      </c>
      <c r="M331">
        <v>89.32</v>
      </c>
      <c r="N331" t="s">
        <v>68</v>
      </c>
      <c r="O331">
        <v>6.52</v>
      </c>
      <c r="P331">
        <v>6.52</v>
      </c>
      <c r="Q331" t="s">
        <v>43</v>
      </c>
      <c r="R331">
        <v>4</v>
      </c>
      <c r="S331">
        <v>10</v>
      </c>
      <c r="T331" t="s">
        <v>990</v>
      </c>
      <c r="U331" t="s">
        <v>1165</v>
      </c>
      <c r="V331" t="s">
        <v>1166</v>
      </c>
      <c r="W331" t="s">
        <v>1167</v>
      </c>
      <c r="X331" t="s">
        <v>1168</v>
      </c>
      <c r="Y331" t="s">
        <v>1169</v>
      </c>
      <c r="Z331" t="s">
        <v>1170</v>
      </c>
      <c r="AA331" t="s">
        <v>1171</v>
      </c>
      <c r="AB331" t="s">
        <v>1172</v>
      </c>
      <c r="AC331" t="s">
        <v>38</v>
      </c>
      <c r="AD331" t="s">
        <v>39</v>
      </c>
      <c r="AE331" t="s">
        <v>90</v>
      </c>
      <c r="AF331">
        <v>48</v>
      </c>
      <c r="AG331" t="s">
        <v>77</v>
      </c>
      <c r="AH331" t="s">
        <v>50</v>
      </c>
      <c r="AI331" t="s">
        <v>46</v>
      </c>
      <c r="AJ331" t="s">
        <v>47</v>
      </c>
      <c r="AK331" t="s">
        <v>61</v>
      </c>
      <c r="AL331">
        <v>25</v>
      </c>
      <c r="AM331" t="s">
        <v>46</v>
      </c>
      <c r="AN331" t="s">
        <v>152</v>
      </c>
      <c r="AO331">
        <v>72</v>
      </c>
      <c r="AP331" t="s">
        <v>63</v>
      </c>
      <c r="AQ331">
        <v>44</v>
      </c>
      <c r="AR331" t="s">
        <v>50</v>
      </c>
      <c r="AS331" t="s">
        <v>1649</v>
      </c>
      <c r="AT331" t="s">
        <v>63</v>
      </c>
      <c r="AU331" t="s">
        <v>46</v>
      </c>
      <c r="AV331">
        <v>2015</v>
      </c>
      <c r="AW331" t="s">
        <v>46</v>
      </c>
    </row>
    <row r="332" spans="1:49" x14ac:dyDescent="0.2">
      <c r="A332">
        <v>331</v>
      </c>
      <c r="B332" t="s">
        <v>1173</v>
      </c>
      <c r="C332" t="s">
        <v>80</v>
      </c>
      <c r="D332" t="s">
        <v>1211</v>
      </c>
      <c r="E332" s="3" t="s">
        <v>42</v>
      </c>
      <c r="F332" t="s">
        <v>46</v>
      </c>
      <c r="G332" t="s">
        <v>46</v>
      </c>
      <c r="H332" t="s">
        <v>46</v>
      </c>
      <c r="I332">
        <v>4</v>
      </c>
      <c r="J332">
        <v>5</v>
      </c>
      <c r="K332" t="s">
        <v>756</v>
      </c>
      <c r="L332" t="s">
        <v>415</v>
      </c>
      <c r="M332">
        <v>3.1</v>
      </c>
      <c r="N332" t="s">
        <v>42</v>
      </c>
      <c r="O332">
        <f>M332-2.8</f>
        <v>0.30000000000000027</v>
      </c>
      <c r="P332">
        <f>3.4-M332</f>
        <v>0.29999999999999982</v>
      </c>
      <c r="Q332" t="s">
        <v>69</v>
      </c>
      <c r="R332">
        <v>4</v>
      </c>
      <c r="S332">
        <v>5</v>
      </c>
      <c r="T332" t="s">
        <v>756</v>
      </c>
      <c r="U332" t="s">
        <v>1176</v>
      </c>
      <c r="V332" t="s">
        <v>1177</v>
      </c>
      <c r="W332" t="s">
        <v>1178</v>
      </c>
      <c r="X332" t="s">
        <v>1179</v>
      </c>
      <c r="Y332" t="s">
        <v>46</v>
      </c>
      <c r="Z332" t="s">
        <v>1180</v>
      </c>
      <c r="AA332" t="s">
        <v>60</v>
      </c>
      <c r="AB332" t="s">
        <v>37</v>
      </c>
      <c r="AC332" t="s">
        <v>38</v>
      </c>
      <c r="AD332" t="s">
        <v>179</v>
      </c>
      <c r="AE332" t="s">
        <v>180</v>
      </c>
      <c r="AF332">
        <v>24</v>
      </c>
      <c r="AG332" t="s">
        <v>40</v>
      </c>
      <c r="AH332" t="s">
        <v>50</v>
      </c>
      <c r="AI332" t="s">
        <v>46</v>
      </c>
      <c r="AJ332" t="s">
        <v>47</v>
      </c>
      <c r="AK332" t="s">
        <v>61</v>
      </c>
      <c r="AL332">
        <v>20</v>
      </c>
      <c r="AM332" t="s">
        <v>46</v>
      </c>
      <c r="AN332" t="s">
        <v>152</v>
      </c>
      <c r="AO332" t="s">
        <v>222</v>
      </c>
      <c r="AP332" t="s">
        <v>63</v>
      </c>
      <c r="AQ332">
        <v>44</v>
      </c>
      <c r="AR332" t="s">
        <v>63</v>
      </c>
      <c r="AS332" t="s">
        <v>1629</v>
      </c>
      <c r="AT332" t="s">
        <v>63</v>
      </c>
      <c r="AU332" t="s">
        <v>46</v>
      </c>
      <c r="AV332">
        <v>1999</v>
      </c>
      <c r="AW332" t="s">
        <v>1210</v>
      </c>
    </row>
    <row r="333" spans="1:49" x14ac:dyDescent="0.2">
      <c r="A333">
        <v>332</v>
      </c>
      <c r="B333" t="s">
        <v>1173</v>
      </c>
      <c r="C333" t="s">
        <v>80</v>
      </c>
      <c r="D333" t="s">
        <v>1211</v>
      </c>
      <c r="E333" s="3" t="s">
        <v>42</v>
      </c>
      <c r="F333" t="s">
        <v>46</v>
      </c>
      <c r="G333" t="s">
        <v>46</v>
      </c>
      <c r="H333" t="s">
        <v>46</v>
      </c>
      <c r="I333">
        <v>4</v>
      </c>
      <c r="J333">
        <v>5</v>
      </c>
      <c r="K333" t="s">
        <v>756</v>
      </c>
      <c r="L333" t="s">
        <v>415</v>
      </c>
      <c r="M333">
        <v>2.9</v>
      </c>
      <c r="N333" t="s">
        <v>42</v>
      </c>
      <c r="O333">
        <f>M333-2.6</f>
        <v>0.29999999999999982</v>
      </c>
      <c r="P333">
        <f>3.2-M333</f>
        <v>0.30000000000000027</v>
      </c>
      <c r="Q333" t="s">
        <v>69</v>
      </c>
      <c r="R333">
        <v>4</v>
      </c>
      <c r="S333">
        <v>5</v>
      </c>
      <c r="T333" t="s">
        <v>756</v>
      </c>
      <c r="U333" t="s">
        <v>1176</v>
      </c>
      <c r="V333" t="s">
        <v>1181</v>
      </c>
      <c r="W333" t="s">
        <v>1178</v>
      </c>
      <c r="X333" t="s">
        <v>1179</v>
      </c>
      <c r="Y333" t="s">
        <v>46</v>
      </c>
      <c r="Z333" t="s">
        <v>1180</v>
      </c>
      <c r="AA333" t="s">
        <v>60</v>
      </c>
      <c r="AB333" t="s">
        <v>37</v>
      </c>
      <c r="AC333" t="s">
        <v>38</v>
      </c>
      <c r="AD333" t="s">
        <v>179</v>
      </c>
      <c r="AE333" t="s">
        <v>180</v>
      </c>
      <c r="AF333">
        <v>48</v>
      </c>
      <c r="AG333" t="s">
        <v>40</v>
      </c>
      <c r="AH333" t="s">
        <v>50</v>
      </c>
      <c r="AI333" t="s">
        <v>46</v>
      </c>
      <c r="AJ333" t="s">
        <v>47</v>
      </c>
      <c r="AK333" t="s">
        <v>61</v>
      </c>
      <c r="AL333">
        <v>20</v>
      </c>
      <c r="AM333" t="s">
        <v>46</v>
      </c>
      <c r="AN333" t="s">
        <v>152</v>
      </c>
      <c r="AO333" t="s">
        <v>222</v>
      </c>
      <c r="AP333" t="s">
        <v>63</v>
      </c>
      <c r="AQ333">
        <v>44</v>
      </c>
      <c r="AR333" t="s">
        <v>63</v>
      </c>
      <c r="AS333" t="s">
        <v>1629</v>
      </c>
      <c r="AT333" t="s">
        <v>63</v>
      </c>
      <c r="AU333" t="s">
        <v>46</v>
      </c>
      <c r="AV333">
        <v>1999</v>
      </c>
      <c r="AW333" t="s">
        <v>1185</v>
      </c>
    </row>
    <row r="334" spans="1:49" x14ac:dyDescent="0.2">
      <c r="A334">
        <v>333</v>
      </c>
      <c r="B334" t="s">
        <v>1173</v>
      </c>
      <c r="C334" t="s">
        <v>55</v>
      </c>
      <c r="D334">
        <v>88.6</v>
      </c>
      <c r="E334" s="3" t="s">
        <v>42</v>
      </c>
      <c r="F334">
        <f>D334-79.8</f>
        <v>8.7999999999999972</v>
      </c>
      <c r="G334">
        <f>98.3-D334</f>
        <v>9.7000000000000028</v>
      </c>
      <c r="H334" t="s">
        <v>69</v>
      </c>
      <c r="I334">
        <v>4</v>
      </c>
      <c r="J334">
        <v>5</v>
      </c>
      <c r="K334" t="s">
        <v>756</v>
      </c>
      <c r="L334" t="s">
        <v>1174</v>
      </c>
      <c r="M334">
        <v>10.4</v>
      </c>
      <c r="N334" t="s">
        <v>42</v>
      </c>
      <c r="O334">
        <f>M334-9.7</f>
        <v>0.70000000000000107</v>
      </c>
      <c r="P334">
        <f>11.1-M334</f>
        <v>0.69999999999999929</v>
      </c>
      <c r="Q334" s="3" t="s">
        <v>69</v>
      </c>
      <c r="R334">
        <v>4</v>
      </c>
      <c r="S334">
        <v>5</v>
      </c>
      <c r="T334" t="s">
        <v>756</v>
      </c>
      <c r="U334" t="s">
        <v>1176</v>
      </c>
      <c r="V334" t="s">
        <v>1177</v>
      </c>
      <c r="W334" t="s">
        <v>1182</v>
      </c>
      <c r="X334" t="s">
        <v>1179</v>
      </c>
      <c r="Y334" t="s">
        <v>46</v>
      </c>
      <c r="Z334" t="s">
        <v>1180</v>
      </c>
      <c r="AA334" t="s">
        <v>60</v>
      </c>
      <c r="AB334" t="s">
        <v>37</v>
      </c>
      <c r="AC334" t="s">
        <v>38</v>
      </c>
      <c r="AD334" t="s">
        <v>179</v>
      </c>
      <c r="AE334" t="s">
        <v>180</v>
      </c>
      <c r="AF334">
        <v>24</v>
      </c>
      <c r="AG334" t="s">
        <v>40</v>
      </c>
      <c r="AH334" t="s">
        <v>50</v>
      </c>
      <c r="AI334" t="s">
        <v>46</v>
      </c>
      <c r="AJ334" t="s">
        <v>47</v>
      </c>
      <c r="AK334" t="s">
        <v>61</v>
      </c>
      <c r="AL334">
        <v>20</v>
      </c>
      <c r="AM334" t="s">
        <v>46</v>
      </c>
      <c r="AN334" t="s">
        <v>152</v>
      </c>
      <c r="AO334" t="s">
        <v>222</v>
      </c>
      <c r="AP334" t="s">
        <v>63</v>
      </c>
      <c r="AQ334">
        <v>44</v>
      </c>
      <c r="AR334" t="s">
        <v>50</v>
      </c>
      <c r="AS334" t="s">
        <v>1629</v>
      </c>
      <c r="AT334" t="s">
        <v>63</v>
      </c>
      <c r="AU334" t="s">
        <v>46</v>
      </c>
      <c r="AV334">
        <v>1999</v>
      </c>
      <c r="AW334" t="s">
        <v>1185</v>
      </c>
    </row>
    <row r="335" spans="1:49" x14ac:dyDescent="0.2">
      <c r="A335">
        <v>334</v>
      </c>
      <c r="B335" t="s">
        <v>1173</v>
      </c>
      <c r="C335" t="s">
        <v>80</v>
      </c>
      <c r="D335" t="s">
        <v>1211</v>
      </c>
      <c r="E335" s="3" t="s">
        <v>42</v>
      </c>
      <c r="F335" t="s">
        <v>46</v>
      </c>
      <c r="G335" t="s">
        <v>46</v>
      </c>
      <c r="H335" t="s">
        <v>46</v>
      </c>
      <c r="I335">
        <v>4</v>
      </c>
      <c r="J335">
        <v>5</v>
      </c>
      <c r="K335" t="s">
        <v>756</v>
      </c>
      <c r="L335" t="s">
        <v>1175</v>
      </c>
      <c r="M335">
        <v>333</v>
      </c>
      <c r="N335" t="s">
        <v>42</v>
      </c>
      <c r="O335">
        <f>M335-305</f>
        <v>28</v>
      </c>
      <c r="P335">
        <f>363-M335</f>
        <v>30</v>
      </c>
      <c r="Q335" s="3" t="s">
        <v>69</v>
      </c>
      <c r="R335">
        <v>4</v>
      </c>
      <c r="S335">
        <v>5</v>
      </c>
      <c r="T335" t="s">
        <v>756</v>
      </c>
      <c r="U335" t="s">
        <v>1176</v>
      </c>
      <c r="V335" t="s">
        <v>1177</v>
      </c>
      <c r="W335" t="s">
        <v>1184</v>
      </c>
      <c r="X335" t="s">
        <v>1179</v>
      </c>
      <c r="Y335" t="s">
        <v>46</v>
      </c>
      <c r="Z335" s="3" t="s">
        <v>1180</v>
      </c>
      <c r="AA335" s="3" t="s">
        <v>60</v>
      </c>
      <c r="AB335" s="3" t="s">
        <v>37</v>
      </c>
      <c r="AC335" s="3" t="s">
        <v>38</v>
      </c>
      <c r="AD335" s="3" t="s">
        <v>179</v>
      </c>
      <c r="AE335" s="3" t="s">
        <v>180</v>
      </c>
      <c r="AF335">
        <v>24</v>
      </c>
      <c r="AG335" t="s">
        <v>40</v>
      </c>
      <c r="AH335" t="s">
        <v>50</v>
      </c>
      <c r="AI335" t="s">
        <v>46</v>
      </c>
      <c r="AJ335" t="s">
        <v>47</v>
      </c>
      <c r="AK335" t="s">
        <v>61</v>
      </c>
      <c r="AL335">
        <v>20</v>
      </c>
      <c r="AM335" t="s">
        <v>46</v>
      </c>
      <c r="AN335" t="s">
        <v>152</v>
      </c>
      <c r="AO335" t="s">
        <v>222</v>
      </c>
      <c r="AP335" t="s">
        <v>63</v>
      </c>
      <c r="AQ335">
        <v>44</v>
      </c>
      <c r="AR335" t="s">
        <v>63</v>
      </c>
      <c r="AS335" t="s">
        <v>1629</v>
      </c>
      <c r="AT335" t="s">
        <v>63</v>
      </c>
      <c r="AU335" t="s">
        <v>46</v>
      </c>
      <c r="AV335">
        <v>1999</v>
      </c>
      <c r="AW335" t="s">
        <v>1185</v>
      </c>
    </row>
    <row r="336" spans="1:49" x14ac:dyDescent="0.2">
      <c r="A336">
        <v>335</v>
      </c>
      <c r="B336" t="s">
        <v>1173</v>
      </c>
      <c r="C336" t="s">
        <v>80</v>
      </c>
      <c r="D336" t="s">
        <v>1211</v>
      </c>
      <c r="E336" t="s">
        <v>42</v>
      </c>
      <c r="F336" t="s">
        <v>46</v>
      </c>
      <c r="G336" t="s">
        <v>46</v>
      </c>
      <c r="H336" t="s">
        <v>46</v>
      </c>
      <c r="I336">
        <v>4</v>
      </c>
      <c r="J336">
        <v>5</v>
      </c>
      <c r="K336" t="s">
        <v>756</v>
      </c>
      <c r="L336" t="s">
        <v>1175</v>
      </c>
      <c r="M336">
        <v>328</v>
      </c>
      <c r="N336" s="3" t="s">
        <v>42</v>
      </c>
      <c r="O336">
        <f>M336-296</f>
        <v>32</v>
      </c>
      <c r="P336">
        <f>363-M336</f>
        <v>35</v>
      </c>
      <c r="Q336" s="3" t="s">
        <v>69</v>
      </c>
      <c r="R336">
        <v>4</v>
      </c>
      <c r="S336">
        <v>5</v>
      </c>
      <c r="T336" t="s">
        <v>756</v>
      </c>
      <c r="U336" t="s">
        <v>1176</v>
      </c>
      <c r="V336" t="s">
        <v>1181</v>
      </c>
      <c r="W336" t="s">
        <v>1184</v>
      </c>
      <c r="X336" t="s">
        <v>1179</v>
      </c>
      <c r="Y336" t="s">
        <v>46</v>
      </c>
      <c r="Z336" s="3" t="s">
        <v>1180</v>
      </c>
      <c r="AA336" s="3" t="s">
        <v>60</v>
      </c>
      <c r="AB336" s="3" t="s">
        <v>37</v>
      </c>
      <c r="AC336" s="3" t="s">
        <v>38</v>
      </c>
      <c r="AD336" s="3" t="s">
        <v>179</v>
      </c>
      <c r="AE336" s="3" t="s">
        <v>180</v>
      </c>
      <c r="AF336">
        <v>48</v>
      </c>
      <c r="AG336" t="s">
        <v>40</v>
      </c>
      <c r="AH336" s="3" t="s">
        <v>50</v>
      </c>
      <c r="AI336" t="s">
        <v>46</v>
      </c>
      <c r="AJ336" t="s">
        <v>47</v>
      </c>
      <c r="AK336" t="s">
        <v>61</v>
      </c>
      <c r="AL336">
        <v>20</v>
      </c>
      <c r="AM336" t="s">
        <v>46</v>
      </c>
      <c r="AN336" t="s">
        <v>152</v>
      </c>
      <c r="AO336" t="s">
        <v>222</v>
      </c>
      <c r="AP336" t="s">
        <v>63</v>
      </c>
      <c r="AQ336">
        <v>44</v>
      </c>
      <c r="AR336" t="s">
        <v>63</v>
      </c>
      <c r="AS336" t="s">
        <v>1629</v>
      </c>
      <c r="AT336" t="s">
        <v>63</v>
      </c>
      <c r="AU336" t="s">
        <v>46</v>
      </c>
      <c r="AV336">
        <v>1999</v>
      </c>
      <c r="AW336" t="s">
        <v>1185</v>
      </c>
    </row>
    <row r="337" spans="1:49" x14ac:dyDescent="0.2">
      <c r="A337">
        <v>336</v>
      </c>
      <c r="B337" t="s">
        <v>1173</v>
      </c>
      <c r="C337" t="s">
        <v>55</v>
      </c>
      <c r="D337">
        <v>127</v>
      </c>
      <c r="E337" t="s">
        <v>42</v>
      </c>
      <c r="F337">
        <f>D337-90</f>
        <v>37</v>
      </c>
      <c r="G337">
        <f>180-D337</f>
        <v>53</v>
      </c>
      <c r="H337" t="s">
        <v>69</v>
      </c>
      <c r="I337">
        <v>4</v>
      </c>
      <c r="J337">
        <v>5</v>
      </c>
      <c r="K337" t="s">
        <v>756</v>
      </c>
      <c r="L337" t="s">
        <v>415</v>
      </c>
      <c r="M337">
        <v>12.7</v>
      </c>
      <c r="N337" t="s">
        <v>42</v>
      </c>
      <c r="O337">
        <f>M337-9</f>
        <v>3.6999999999999993</v>
      </c>
      <c r="P337">
        <f>18-M337</f>
        <v>5.3000000000000007</v>
      </c>
      <c r="Q337" t="s">
        <v>69</v>
      </c>
      <c r="R337">
        <v>4</v>
      </c>
      <c r="S337">
        <v>5</v>
      </c>
      <c r="T337" t="s">
        <v>756</v>
      </c>
      <c r="U337" t="s">
        <v>1176</v>
      </c>
      <c r="V337" t="s">
        <v>1183</v>
      </c>
      <c r="W337" t="s">
        <v>1188</v>
      </c>
      <c r="X337" t="s">
        <v>1179</v>
      </c>
      <c r="Y337" t="s">
        <v>46</v>
      </c>
      <c r="Z337" t="s">
        <v>1180</v>
      </c>
      <c r="AA337" t="s">
        <v>60</v>
      </c>
      <c r="AB337" t="s">
        <v>37</v>
      </c>
      <c r="AC337" t="s">
        <v>38</v>
      </c>
      <c r="AD337" t="s">
        <v>179</v>
      </c>
      <c r="AE337" t="s">
        <v>180</v>
      </c>
      <c r="AF337">
        <v>24</v>
      </c>
      <c r="AG337" t="s">
        <v>40</v>
      </c>
      <c r="AH337" t="s">
        <v>50</v>
      </c>
      <c r="AI337" t="s">
        <v>46</v>
      </c>
      <c r="AJ337" t="s">
        <v>47</v>
      </c>
      <c r="AK337" t="s">
        <v>61</v>
      </c>
      <c r="AL337">
        <v>20</v>
      </c>
      <c r="AM337" t="s">
        <v>46</v>
      </c>
      <c r="AN337" t="s">
        <v>152</v>
      </c>
      <c r="AO337" t="s">
        <v>222</v>
      </c>
      <c r="AP337" t="s">
        <v>63</v>
      </c>
      <c r="AQ337" t="s">
        <v>46</v>
      </c>
      <c r="AR337" t="s">
        <v>50</v>
      </c>
      <c r="AS337" t="s">
        <v>1629</v>
      </c>
      <c r="AT337" t="s">
        <v>63</v>
      </c>
      <c r="AU337" t="s">
        <v>46</v>
      </c>
      <c r="AV337">
        <v>1999</v>
      </c>
      <c r="AW337" t="s">
        <v>1186</v>
      </c>
    </row>
    <row r="338" spans="1:49" x14ac:dyDescent="0.2">
      <c r="A338">
        <v>337</v>
      </c>
      <c r="B338" t="s">
        <v>1173</v>
      </c>
      <c r="C338" t="s">
        <v>55</v>
      </c>
      <c r="D338">
        <v>121</v>
      </c>
      <c r="E338" t="s">
        <v>42</v>
      </c>
      <c r="F338">
        <f>D338-111</f>
        <v>10</v>
      </c>
      <c r="G338">
        <f>133-D338</f>
        <v>12</v>
      </c>
      <c r="H338" t="s">
        <v>69</v>
      </c>
      <c r="I338">
        <v>4</v>
      </c>
      <c r="J338">
        <v>5</v>
      </c>
      <c r="K338" t="s">
        <v>756</v>
      </c>
      <c r="L338" t="s">
        <v>415</v>
      </c>
      <c r="M338">
        <v>11.6</v>
      </c>
      <c r="N338" t="s">
        <v>42</v>
      </c>
      <c r="O338">
        <f>M338-10.3</f>
        <v>1.2999999999999989</v>
      </c>
      <c r="P338">
        <f>13.1-M338</f>
        <v>1.5</v>
      </c>
      <c r="Q338" t="s">
        <v>69</v>
      </c>
      <c r="R338">
        <v>4</v>
      </c>
      <c r="S338">
        <v>5</v>
      </c>
      <c r="T338" t="s">
        <v>756</v>
      </c>
      <c r="U338" t="s">
        <v>1176</v>
      </c>
      <c r="V338" t="s">
        <v>1187</v>
      </c>
      <c r="W338" t="s">
        <v>1188</v>
      </c>
      <c r="X338" t="s">
        <v>1179</v>
      </c>
      <c r="Y338" t="s">
        <v>46</v>
      </c>
      <c r="Z338" t="s">
        <v>1180</v>
      </c>
      <c r="AA338" t="s">
        <v>60</v>
      </c>
      <c r="AB338" t="s">
        <v>37</v>
      </c>
      <c r="AC338" t="s">
        <v>38</v>
      </c>
      <c r="AD338" t="s">
        <v>179</v>
      </c>
      <c r="AE338" t="s">
        <v>180</v>
      </c>
      <c r="AF338">
        <v>48</v>
      </c>
      <c r="AG338" t="s">
        <v>40</v>
      </c>
      <c r="AH338" t="s">
        <v>50</v>
      </c>
      <c r="AI338" t="s">
        <v>46</v>
      </c>
      <c r="AJ338" t="s">
        <v>47</v>
      </c>
      <c r="AK338" t="s">
        <v>61</v>
      </c>
      <c r="AL338">
        <v>20</v>
      </c>
      <c r="AM338" t="s">
        <v>46</v>
      </c>
      <c r="AN338" t="s">
        <v>152</v>
      </c>
      <c r="AO338" t="s">
        <v>222</v>
      </c>
      <c r="AP338" t="s">
        <v>63</v>
      </c>
      <c r="AQ338" t="s">
        <v>46</v>
      </c>
      <c r="AR338" t="s">
        <v>50</v>
      </c>
      <c r="AS338" t="s">
        <v>1629</v>
      </c>
      <c r="AT338" t="s">
        <v>63</v>
      </c>
      <c r="AU338" t="s">
        <v>46</v>
      </c>
      <c r="AV338">
        <v>1999</v>
      </c>
      <c r="AW338" t="s">
        <v>1186</v>
      </c>
    </row>
    <row r="339" spans="1:49" x14ac:dyDescent="0.2">
      <c r="A339">
        <v>338</v>
      </c>
      <c r="B339" t="s">
        <v>1173</v>
      </c>
      <c r="C339" t="s">
        <v>55</v>
      </c>
      <c r="D339">
        <v>89.6</v>
      </c>
      <c r="E339" t="s">
        <v>42</v>
      </c>
      <c r="F339">
        <f>D339-73.6</f>
        <v>16</v>
      </c>
      <c r="G339">
        <f>108.6-D339</f>
        <v>19</v>
      </c>
      <c r="H339" t="s">
        <v>69</v>
      </c>
      <c r="I339">
        <v>5</v>
      </c>
      <c r="J339">
        <v>1</v>
      </c>
      <c r="K339" t="s">
        <v>1189</v>
      </c>
      <c r="L339" t="s">
        <v>415</v>
      </c>
      <c r="M339">
        <v>52.6</v>
      </c>
      <c r="N339" t="s">
        <v>42</v>
      </c>
      <c r="O339">
        <f>M339-39.3</f>
        <v>13.300000000000004</v>
      </c>
      <c r="P339">
        <f>70.5-M339</f>
        <v>17.899999999999999</v>
      </c>
      <c r="Q339" t="s">
        <v>69</v>
      </c>
      <c r="R339">
        <v>5</v>
      </c>
      <c r="S339">
        <v>1</v>
      </c>
      <c r="T339" t="s">
        <v>1189</v>
      </c>
      <c r="U339" t="s">
        <v>1176</v>
      </c>
      <c r="V339" t="s">
        <v>1191</v>
      </c>
      <c r="W339" t="s">
        <v>1192</v>
      </c>
      <c r="X339" t="s">
        <v>1193</v>
      </c>
      <c r="Y339" t="s">
        <v>46</v>
      </c>
      <c r="Z339" t="s">
        <v>1194</v>
      </c>
      <c r="AA339" t="s">
        <v>60</v>
      </c>
      <c r="AB339" t="s">
        <v>37</v>
      </c>
      <c r="AC339" t="s">
        <v>38</v>
      </c>
      <c r="AD339" t="s">
        <v>179</v>
      </c>
      <c r="AE339" t="s">
        <v>75</v>
      </c>
      <c r="AF339">
        <v>24</v>
      </c>
      <c r="AG339" t="s">
        <v>40</v>
      </c>
      <c r="AH339" t="s">
        <v>50</v>
      </c>
      <c r="AI339" t="s">
        <v>46</v>
      </c>
      <c r="AJ339" t="s">
        <v>47</v>
      </c>
      <c r="AK339" t="s">
        <v>61</v>
      </c>
      <c r="AL339">
        <v>20</v>
      </c>
      <c r="AM339" t="s">
        <v>46</v>
      </c>
      <c r="AN339" t="s">
        <v>152</v>
      </c>
      <c r="AO339" t="s">
        <v>46</v>
      </c>
      <c r="AP339" t="s">
        <v>63</v>
      </c>
      <c r="AQ339" t="s">
        <v>46</v>
      </c>
      <c r="AR339" t="s">
        <v>50</v>
      </c>
      <c r="AS339" t="s">
        <v>1629</v>
      </c>
      <c r="AT339" t="s">
        <v>63</v>
      </c>
      <c r="AU339" t="s">
        <v>46</v>
      </c>
      <c r="AV339">
        <v>1999</v>
      </c>
      <c r="AW339" t="s">
        <v>1195</v>
      </c>
    </row>
    <row r="340" spans="1:49" x14ac:dyDescent="0.2">
      <c r="A340">
        <v>339</v>
      </c>
      <c r="B340" t="s">
        <v>1173</v>
      </c>
      <c r="C340" t="s">
        <v>55</v>
      </c>
      <c r="D340">
        <v>83.6</v>
      </c>
      <c r="E340" t="s">
        <v>42</v>
      </c>
      <c r="F340">
        <f>D340-67.4</f>
        <v>16.199999999999989</v>
      </c>
      <c r="G340">
        <f>103.6-D340</f>
        <v>20</v>
      </c>
      <c r="H340" t="s">
        <v>69</v>
      </c>
      <c r="I340">
        <v>5</v>
      </c>
      <c r="J340">
        <v>1</v>
      </c>
      <c r="K340" t="s">
        <v>1189</v>
      </c>
      <c r="L340" t="s">
        <v>415</v>
      </c>
      <c r="M340">
        <v>49.4</v>
      </c>
      <c r="N340" t="s">
        <v>42</v>
      </c>
      <c r="O340">
        <f>M340-40.5</f>
        <v>8.8999999999999986</v>
      </c>
      <c r="P340">
        <f>60.2-M340</f>
        <v>10.800000000000004</v>
      </c>
      <c r="Q340" t="s">
        <v>69</v>
      </c>
      <c r="R340">
        <v>5</v>
      </c>
      <c r="S340">
        <v>1</v>
      </c>
      <c r="T340" t="s">
        <v>1189</v>
      </c>
      <c r="U340" t="s">
        <v>1176</v>
      </c>
      <c r="V340" t="s">
        <v>1190</v>
      </c>
      <c r="W340" t="s">
        <v>1192</v>
      </c>
      <c r="X340" t="s">
        <v>1193</v>
      </c>
      <c r="Y340" t="s">
        <v>46</v>
      </c>
      <c r="Z340" t="s">
        <v>1194</v>
      </c>
      <c r="AA340" t="s">
        <v>60</v>
      </c>
      <c r="AB340" t="s">
        <v>37</v>
      </c>
      <c r="AC340" t="s">
        <v>38</v>
      </c>
      <c r="AD340" t="s">
        <v>179</v>
      </c>
      <c r="AE340" t="s">
        <v>75</v>
      </c>
      <c r="AF340">
        <v>48</v>
      </c>
      <c r="AG340" t="s">
        <v>40</v>
      </c>
      <c r="AH340" t="s">
        <v>50</v>
      </c>
      <c r="AI340" t="s">
        <v>46</v>
      </c>
      <c r="AJ340" t="s">
        <v>47</v>
      </c>
      <c r="AK340" t="s">
        <v>61</v>
      </c>
      <c r="AL340">
        <v>20</v>
      </c>
      <c r="AM340" t="s">
        <v>46</v>
      </c>
      <c r="AN340" t="s">
        <v>152</v>
      </c>
      <c r="AO340" t="s">
        <v>46</v>
      </c>
      <c r="AP340" t="s">
        <v>63</v>
      </c>
      <c r="AQ340" t="s">
        <v>46</v>
      </c>
      <c r="AR340" t="s">
        <v>50</v>
      </c>
      <c r="AS340" t="s">
        <v>1629</v>
      </c>
      <c r="AT340" t="s">
        <v>63</v>
      </c>
      <c r="AU340" t="s">
        <v>46</v>
      </c>
      <c r="AV340">
        <v>1999</v>
      </c>
      <c r="AW340" t="s">
        <v>1195</v>
      </c>
    </row>
    <row r="341" spans="1:49" x14ac:dyDescent="0.2">
      <c r="A341">
        <v>340</v>
      </c>
      <c r="B341" t="s">
        <v>1173</v>
      </c>
      <c r="C341" t="s">
        <v>80</v>
      </c>
      <c r="D341" t="s">
        <v>1197</v>
      </c>
      <c r="E341" t="s">
        <v>42</v>
      </c>
      <c r="F341" t="s">
        <v>46</v>
      </c>
      <c r="G341" t="s">
        <v>46</v>
      </c>
      <c r="H341" t="s">
        <v>46</v>
      </c>
      <c r="I341">
        <v>4</v>
      </c>
      <c r="J341">
        <v>5</v>
      </c>
      <c r="K341" t="s">
        <v>756</v>
      </c>
      <c r="L341" t="s">
        <v>415</v>
      </c>
      <c r="M341">
        <v>8.6</v>
      </c>
      <c r="N341" t="s">
        <v>42</v>
      </c>
      <c r="O341">
        <f>M341-7.8</f>
        <v>0.79999999999999982</v>
      </c>
      <c r="P341">
        <f>9.5-M341</f>
        <v>0.90000000000000036</v>
      </c>
      <c r="Q341" t="s">
        <v>69</v>
      </c>
      <c r="R341">
        <v>4</v>
      </c>
      <c r="S341">
        <v>5</v>
      </c>
      <c r="T341" t="s">
        <v>756</v>
      </c>
      <c r="U341" t="s">
        <v>1176</v>
      </c>
      <c r="V341" t="s">
        <v>1198</v>
      </c>
      <c r="W341" t="s">
        <v>1199</v>
      </c>
      <c r="X341" t="s">
        <v>1200</v>
      </c>
      <c r="Y341" t="s">
        <v>46</v>
      </c>
      <c r="Z341" t="s">
        <v>1194</v>
      </c>
      <c r="AA341" t="s">
        <v>60</v>
      </c>
      <c r="AB341" t="s">
        <v>37</v>
      </c>
      <c r="AC341" t="s">
        <v>38</v>
      </c>
      <c r="AD341" t="s">
        <v>179</v>
      </c>
      <c r="AE341" t="s">
        <v>180</v>
      </c>
      <c r="AF341">
        <v>24</v>
      </c>
      <c r="AG341" t="s">
        <v>40</v>
      </c>
      <c r="AH341" t="s">
        <v>50</v>
      </c>
      <c r="AI341" t="s">
        <v>46</v>
      </c>
      <c r="AJ341" t="s">
        <v>47</v>
      </c>
      <c r="AK341" t="s">
        <v>61</v>
      </c>
      <c r="AL341">
        <v>20</v>
      </c>
      <c r="AM341" t="s">
        <v>46</v>
      </c>
      <c r="AN341" t="s">
        <v>152</v>
      </c>
      <c r="AO341" t="s">
        <v>222</v>
      </c>
      <c r="AP341" t="s">
        <v>63</v>
      </c>
      <c r="AQ341">
        <v>44</v>
      </c>
      <c r="AR341" t="s">
        <v>63</v>
      </c>
      <c r="AS341" t="s">
        <v>1629</v>
      </c>
      <c r="AT341" t="s">
        <v>63</v>
      </c>
      <c r="AU341" t="s">
        <v>46</v>
      </c>
      <c r="AV341">
        <v>1999</v>
      </c>
      <c r="AW341" t="s">
        <v>1185</v>
      </c>
    </row>
    <row r="342" spans="1:49" x14ac:dyDescent="0.2">
      <c r="A342">
        <v>341</v>
      </c>
      <c r="B342" t="s">
        <v>1173</v>
      </c>
      <c r="C342" t="s">
        <v>80</v>
      </c>
      <c r="D342" t="s">
        <v>1197</v>
      </c>
      <c r="E342" t="s">
        <v>42</v>
      </c>
      <c r="F342" t="s">
        <v>46</v>
      </c>
      <c r="G342" t="s">
        <v>46</v>
      </c>
      <c r="H342" t="s">
        <v>46</v>
      </c>
      <c r="I342">
        <v>4</v>
      </c>
      <c r="J342">
        <v>5</v>
      </c>
      <c r="K342" t="s">
        <v>756</v>
      </c>
      <c r="L342" t="s">
        <v>415</v>
      </c>
      <c r="M342">
        <v>6.3</v>
      </c>
      <c r="N342" t="s">
        <v>42</v>
      </c>
      <c r="O342">
        <f>M342-5.6</f>
        <v>0.70000000000000018</v>
      </c>
      <c r="P342">
        <f>7.1-M342</f>
        <v>0.79999999999999982</v>
      </c>
      <c r="Q342" t="s">
        <v>69</v>
      </c>
      <c r="R342">
        <v>4</v>
      </c>
      <c r="S342">
        <v>5</v>
      </c>
      <c r="T342" t="s">
        <v>756</v>
      </c>
      <c r="U342" t="s">
        <v>1176</v>
      </c>
      <c r="V342" t="s">
        <v>1201</v>
      </c>
      <c r="W342" t="s">
        <v>1199</v>
      </c>
      <c r="X342" t="s">
        <v>1200</v>
      </c>
      <c r="Y342" t="s">
        <v>46</v>
      </c>
      <c r="Z342" t="s">
        <v>1194</v>
      </c>
      <c r="AA342" t="s">
        <v>60</v>
      </c>
      <c r="AB342" t="s">
        <v>37</v>
      </c>
      <c r="AC342" t="s">
        <v>38</v>
      </c>
      <c r="AD342" t="s">
        <v>179</v>
      </c>
      <c r="AE342" t="s">
        <v>180</v>
      </c>
      <c r="AF342">
        <v>48</v>
      </c>
      <c r="AG342" t="s">
        <v>40</v>
      </c>
      <c r="AH342" t="s">
        <v>50</v>
      </c>
      <c r="AI342" t="s">
        <v>46</v>
      </c>
      <c r="AJ342" t="s">
        <v>47</v>
      </c>
      <c r="AK342" t="s">
        <v>61</v>
      </c>
      <c r="AL342">
        <v>20</v>
      </c>
      <c r="AM342" t="s">
        <v>46</v>
      </c>
      <c r="AN342" t="s">
        <v>152</v>
      </c>
      <c r="AO342" t="s">
        <v>222</v>
      </c>
      <c r="AP342" t="s">
        <v>63</v>
      </c>
      <c r="AQ342">
        <v>44</v>
      </c>
      <c r="AR342" t="s">
        <v>63</v>
      </c>
      <c r="AS342" t="s">
        <v>1629</v>
      </c>
      <c r="AT342" t="s">
        <v>63</v>
      </c>
      <c r="AU342" t="s">
        <v>46</v>
      </c>
      <c r="AV342">
        <v>1999</v>
      </c>
      <c r="AW342" t="s">
        <v>1185</v>
      </c>
    </row>
    <row r="343" spans="1:49" x14ac:dyDescent="0.2">
      <c r="A343">
        <v>342</v>
      </c>
      <c r="B343" t="s">
        <v>1173</v>
      </c>
      <c r="C343" t="s">
        <v>80</v>
      </c>
      <c r="D343" t="s">
        <v>1202</v>
      </c>
      <c r="E343" t="s">
        <v>42</v>
      </c>
      <c r="F343" t="s">
        <v>46</v>
      </c>
      <c r="G343" t="s">
        <v>46</v>
      </c>
      <c r="H343" t="s">
        <v>46</v>
      </c>
      <c r="I343">
        <v>4</v>
      </c>
      <c r="J343">
        <v>5</v>
      </c>
      <c r="K343" t="s">
        <v>756</v>
      </c>
      <c r="L343" t="s">
        <v>415</v>
      </c>
      <c r="M343">
        <v>3.6</v>
      </c>
      <c r="N343" t="s">
        <v>42</v>
      </c>
      <c r="O343">
        <f>M343-3.3</f>
        <v>0.30000000000000027</v>
      </c>
      <c r="P343">
        <f>4.1-M343</f>
        <v>0.49999999999999956</v>
      </c>
      <c r="Q343" t="s">
        <v>69</v>
      </c>
      <c r="R343">
        <v>4</v>
      </c>
      <c r="S343">
        <v>5</v>
      </c>
      <c r="T343" t="s">
        <v>756</v>
      </c>
      <c r="U343" t="s">
        <v>1176</v>
      </c>
      <c r="V343" t="s">
        <v>1203</v>
      </c>
      <c r="W343" t="s">
        <v>1204</v>
      </c>
      <c r="X343" t="s">
        <v>1193</v>
      </c>
      <c r="Y343" t="s">
        <v>46</v>
      </c>
      <c r="Z343" t="s">
        <v>1194</v>
      </c>
      <c r="AA343" t="s">
        <v>60</v>
      </c>
      <c r="AB343" t="s">
        <v>37</v>
      </c>
      <c r="AC343" t="s">
        <v>38</v>
      </c>
      <c r="AD343" t="s">
        <v>179</v>
      </c>
      <c r="AE343" t="s">
        <v>180</v>
      </c>
      <c r="AF343">
        <v>48</v>
      </c>
      <c r="AG343" t="s">
        <v>40</v>
      </c>
      <c r="AH343" t="s">
        <v>50</v>
      </c>
      <c r="AI343" t="s">
        <v>46</v>
      </c>
      <c r="AJ343" t="s">
        <v>47</v>
      </c>
      <c r="AK343" t="s">
        <v>61</v>
      </c>
      <c r="AL343">
        <v>20</v>
      </c>
      <c r="AM343" t="s">
        <v>46</v>
      </c>
      <c r="AN343" t="s">
        <v>152</v>
      </c>
      <c r="AO343" t="s">
        <v>222</v>
      </c>
      <c r="AP343" t="s">
        <v>63</v>
      </c>
      <c r="AQ343">
        <v>44</v>
      </c>
      <c r="AR343" t="s">
        <v>63</v>
      </c>
      <c r="AS343" t="s">
        <v>1629</v>
      </c>
      <c r="AT343" t="s">
        <v>63</v>
      </c>
      <c r="AU343" t="s">
        <v>46</v>
      </c>
      <c r="AV343">
        <v>1999</v>
      </c>
      <c r="AW343" t="s">
        <v>1185</v>
      </c>
    </row>
    <row r="344" spans="1:49" x14ac:dyDescent="0.2">
      <c r="A344">
        <v>343</v>
      </c>
      <c r="B344" t="s">
        <v>1173</v>
      </c>
      <c r="C344" t="s">
        <v>80</v>
      </c>
      <c r="D344" t="s">
        <v>1196</v>
      </c>
      <c r="E344" t="s">
        <v>42</v>
      </c>
      <c r="F344" t="s">
        <v>46</v>
      </c>
      <c r="G344" t="s">
        <v>46</v>
      </c>
      <c r="H344" t="s">
        <v>46</v>
      </c>
      <c r="I344">
        <v>4</v>
      </c>
      <c r="J344">
        <v>5</v>
      </c>
      <c r="K344" t="s">
        <v>756</v>
      </c>
      <c r="L344" t="s">
        <v>415</v>
      </c>
      <c r="M344">
        <v>4.5999999999999996</v>
      </c>
      <c r="N344" t="s">
        <v>42</v>
      </c>
      <c r="O344">
        <f>M344-4.1</f>
        <v>0.5</v>
      </c>
      <c r="P344">
        <f>5.2-M344</f>
        <v>0.60000000000000053</v>
      </c>
      <c r="Q344" t="s">
        <v>69</v>
      </c>
      <c r="R344">
        <v>4</v>
      </c>
      <c r="S344">
        <v>5</v>
      </c>
      <c r="T344" t="s">
        <v>756</v>
      </c>
      <c r="U344" t="s">
        <v>1176</v>
      </c>
      <c r="V344" t="s">
        <v>1205</v>
      </c>
      <c r="W344" t="s">
        <v>1207</v>
      </c>
      <c r="X344" t="s">
        <v>1209</v>
      </c>
      <c r="Y344" t="s">
        <v>46</v>
      </c>
      <c r="Z344" t="s">
        <v>1194</v>
      </c>
      <c r="AA344" t="s">
        <v>60</v>
      </c>
      <c r="AB344" t="s">
        <v>37</v>
      </c>
      <c r="AC344" t="s">
        <v>38</v>
      </c>
      <c r="AD344" t="s">
        <v>179</v>
      </c>
      <c r="AE344" t="s">
        <v>180</v>
      </c>
      <c r="AF344">
        <v>24</v>
      </c>
      <c r="AG344" t="s">
        <v>40</v>
      </c>
      <c r="AH344" t="s">
        <v>50</v>
      </c>
      <c r="AI344" t="s">
        <v>46</v>
      </c>
      <c r="AJ344" t="s">
        <v>47</v>
      </c>
      <c r="AK344" t="s">
        <v>61</v>
      </c>
      <c r="AL344">
        <v>20</v>
      </c>
      <c r="AM344" t="s">
        <v>46</v>
      </c>
      <c r="AN344" t="s">
        <v>152</v>
      </c>
      <c r="AO344" t="s">
        <v>222</v>
      </c>
      <c r="AP344" t="s">
        <v>63</v>
      </c>
      <c r="AQ344">
        <v>44</v>
      </c>
      <c r="AR344" t="s">
        <v>63</v>
      </c>
      <c r="AS344" t="s">
        <v>1629</v>
      </c>
      <c r="AT344" t="s">
        <v>63</v>
      </c>
      <c r="AU344" t="s">
        <v>46</v>
      </c>
      <c r="AV344">
        <v>1999</v>
      </c>
      <c r="AW344" t="s">
        <v>1185</v>
      </c>
    </row>
    <row r="345" spans="1:49" x14ac:dyDescent="0.2">
      <c r="A345">
        <v>344</v>
      </c>
      <c r="B345" t="s">
        <v>1173</v>
      </c>
      <c r="C345" t="s">
        <v>80</v>
      </c>
      <c r="D345" t="s">
        <v>1196</v>
      </c>
      <c r="E345" t="s">
        <v>42</v>
      </c>
      <c r="F345" t="s">
        <v>46</v>
      </c>
      <c r="G345" t="s">
        <v>46</v>
      </c>
      <c r="H345" t="s">
        <v>46</v>
      </c>
      <c r="I345">
        <v>4</v>
      </c>
      <c r="J345">
        <v>5</v>
      </c>
      <c r="K345" t="s">
        <v>756</v>
      </c>
      <c r="L345" t="s">
        <v>415</v>
      </c>
      <c r="M345">
        <v>3</v>
      </c>
      <c r="N345" t="s">
        <v>42</v>
      </c>
      <c r="O345">
        <f>M345-2.8</f>
        <v>0.20000000000000018</v>
      </c>
      <c r="P345">
        <f>3.2-M345</f>
        <v>0.20000000000000018</v>
      </c>
      <c r="Q345" t="s">
        <v>69</v>
      </c>
      <c r="R345">
        <v>4</v>
      </c>
      <c r="S345">
        <v>5</v>
      </c>
      <c r="T345" t="s">
        <v>756</v>
      </c>
      <c r="U345" t="s">
        <v>1176</v>
      </c>
      <c r="V345" t="s">
        <v>1206</v>
      </c>
      <c r="W345" t="s">
        <v>1207</v>
      </c>
      <c r="X345" t="s">
        <v>1209</v>
      </c>
      <c r="Y345" t="s">
        <v>46</v>
      </c>
      <c r="Z345" t="s">
        <v>1194</v>
      </c>
      <c r="AA345" t="s">
        <v>60</v>
      </c>
      <c r="AB345" t="s">
        <v>37</v>
      </c>
      <c r="AC345" t="s">
        <v>38</v>
      </c>
      <c r="AD345" t="s">
        <v>179</v>
      </c>
      <c r="AE345" t="s">
        <v>180</v>
      </c>
      <c r="AF345">
        <v>48</v>
      </c>
      <c r="AG345" t="s">
        <v>40</v>
      </c>
      <c r="AH345" t="s">
        <v>50</v>
      </c>
      <c r="AI345" t="s">
        <v>46</v>
      </c>
      <c r="AJ345" t="s">
        <v>47</v>
      </c>
      <c r="AK345" t="s">
        <v>61</v>
      </c>
      <c r="AL345">
        <v>20</v>
      </c>
      <c r="AM345" t="s">
        <v>46</v>
      </c>
      <c r="AN345" t="s">
        <v>152</v>
      </c>
      <c r="AO345" t="s">
        <v>222</v>
      </c>
      <c r="AP345" t="s">
        <v>63</v>
      </c>
      <c r="AQ345">
        <v>44</v>
      </c>
      <c r="AR345" t="s">
        <v>63</v>
      </c>
      <c r="AS345" t="s">
        <v>1629</v>
      </c>
      <c r="AT345" t="s">
        <v>63</v>
      </c>
      <c r="AU345" t="s">
        <v>46</v>
      </c>
      <c r="AV345">
        <v>1999</v>
      </c>
      <c r="AW345" t="s">
        <v>1185</v>
      </c>
    </row>
    <row r="346" spans="1:49" x14ac:dyDescent="0.2">
      <c r="A346">
        <v>345</v>
      </c>
      <c r="B346" t="s">
        <v>1173</v>
      </c>
      <c r="C346" t="s">
        <v>80</v>
      </c>
      <c r="D346" t="s">
        <v>1196</v>
      </c>
      <c r="E346" t="s">
        <v>42</v>
      </c>
      <c r="F346" t="s">
        <v>46</v>
      </c>
      <c r="G346" t="s">
        <v>46</v>
      </c>
      <c r="H346" t="s">
        <v>46</v>
      </c>
      <c r="I346">
        <v>4</v>
      </c>
      <c r="J346">
        <v>5</v>
      </c>
      <c r="K346" t="s">
        <v>756</v>
      </c>
      <c r="L346" t="s">
        <v>1175</v>
      </c>
      <c r="M346" t="s">
        <v>1196</v>
      </c>
      <c r="N346" t="s">
        <v>42</v>
      </c>
      <c r="O346" t="s">
        <v>46</v>
      </c>
      <c r="P346" t="s">
        <v>46</v>
      </c>
      <c r="Q346" t="s">
        <v>46</v>
      </c>
      <c r="R346">
        <v>4</v>
      </c>
      <c r="S346">
        <v>5</v>
      </c>
      <c r="T346" t="s">
        <v>756</v>
      </c>
      <c r="U346" t="s">
        <v>1176</v>
      </c>
      <c r="V346" t="s">
        <v>1205</v>
      </c>
      <c r="W346" t="s">
        <v>1208</v>
      </c>
      <c r="X346" t="s">
        <v>1209</v>
      </c>
      <c r="Y346" t="s">
        <v>46</v>
      </c>
      <c r="Z346" t="s">
        <v>1194</v>
      </c>
      <c r="AA346" t="s">
        <v>60</v>
      </c>
      <c r="AB346" t="s">
        <v>37</v>
      </c>
      <c r="AC346" t="s">
        <v>38</v>
      </c>
      <c r="AD346" t="s">
        <v>179</v>
      </c>
      <c r="AE346" t="s">
        <v>180</v>
      </c>
      <c r="AF346">
        <v>24</v>
      </c>
      <c r="AG346" t="s">
        <v>40</v>
      </c>
      <c r="AH346" t="s">
        <v>50</v>
      </c>
      <c r="AI346" t="s">
        <v>46</v>
      </c>
      <c r="AJ346" t="s">
        <v>47</v>
      </c>
      <c r="AK346" t="s">
        <v>61</v>
      </c>
      <c r="AL346">
        <v>20</v>
      </c>
      <c r="AM346" t="s">
        <v>46</v>
      </c>
      <c r="AN346" t="s">
        <v>152</v>
      </c>
      <c r="AO346" t="s">
        <v>222</v>
      </c>
      <c r="AP346" t="s">
        <v>63</v>
      </c>
      <c r="AQ346">
        <v>44</v>
      </c>
      <c r="AR346" t="s">
        <v>63</v>
      </c>
      <c r="AS346" t="s">
        <v>1629</v>
      </c>
      <c r="AT346" t="s">
        <v>63</v>
      </c>
      <c r="AU346" t="s">
        <v>46</v>
      </c>
      <c r="AV346">
        <v>1999</v>
      </c>
      <c r="AW346" t="s">
        <v>1185</v>
      </c>
    </row>
    <row r="347" spans="1:49" x14ac:dyDescent="0.2">
      <c r="A347">
        <v>346</v>
      </c>
      <c r="B347" t="s">
        <v>1173</v>
      </c>
      <c r="C347" t="s">
        <v>80</v>
      </c>
      <c r="D347" t="s">
        <v>1196</v>
      </c>
      <c r="E347" t="s">
        <v>42</v>
      </c>
      <c r="F347" t="s">
        <v>46</v>
      </c>
      <c r="G347" t="s">
        <v>46</v>
      </c>
      <c r="H347" t="s">
        <v>46</v>
      </c>
      <c r="I347">
        <v>4</v>
      </c>
      <c r="J347">
        <v>5</v>
      </c>
      <c r="K347" t="s">
        <v>756</v>
      </c>
      <c r="L347" t="s">
        <v>1175</v>
      </c>
      <c r="M347" t="s">
        <v>1196</v>
      </c>
      <c r="N347" t="s">
        <v>42</v>
      </c>
      <c r="O347" t="s">
        <v>46</v>
      </c>
      <c r="P347" t="s">
        <v>46</v>
      </c>
      <c r="Q347" t="s">
        <v>46</v>
      </c>
      <c r="R347">
        <v>4</v>
      </c>
      <c r="S347">
        <v>5</v>
      </c>
      <c r="T347" t="s">
        <v>756</v>
      </c>
      <c r="U347" t="s">
        <v>1176</v>
      </c>
      <c r="V347" t="s">
        <v>1206</v>
      </c>
      <c r="W347" t="s">
        <v>1208</v>
      </c>
      <c r="X347" t="s">
        <v>1209</v>
      </c>
      <c r="Y347" t="s">
        <v>46</v>
      </c>
      <c r="Z347" t="s">
        <v>1194</v>
      </c>
      <c r="AA347" t="s">
        <v>60</v>
      </c>
      <c r="AB347" t="s">
        <v>37</v>
      </c>
      <c r="AC347" t="s">
        <v>38</v>
      </c>
      <c r="AD347" t="s">
        <v>179</v>
      </c>
      <c r="AE347" t="s">
        <v>180</v>
      </c>
      <c r="AF347">
        <v>48</v>
      </c>
      <c r="AG347" t="s">
        <v>40</v>
      </c>
      <c r="AH347" t="s">
        <v>50</v>
      </c>
      <c r="AI347" t="s">
        <v>46</v>
      </c>
      <c r="AJ347" t="s">
        <v>47</v>
      </c>
      <c r="AK347" t="s">
        <v>61</v>
      </c>
      <c r="AL347">
        <v>20</v>
      </c>
      <c r="AM347" t="s">
        <v>46</v>
      </c>
      <c r="AN347" t="s">
        <v>152</v>
      </c>
      <c r="AO347" t="s">
        <v>222</v>
      </c>
      <c r="AP347" t="s">
        <v>63</v>
      </c>
      <c r="AQ347">
        <v>44</v>
      </c>
      <c r="AR347" t="s">
        <v>63</v>
      </c>
      <c r="AS347" t="s">
        <v>1629</v>
      </c>
      <c r="AT347" t="s">
        <v>63</v>
      </c>
      <c r="AU347" t="s">
        <v>46</v>
      </c>
      <c r="AV347">
        <v>1999</v>
      </c>
      <c r="AW347" t="s">
        <v>1185</v>
      </c>
    </row>
    <row r="348" spans="1:49" x14ac:dyDescent="0.2">
      <c r="A348">
        <v>347</v>
      </c>
      <c r="B348" t="s">
        <v>1212</v>
      </c>
      <c r="C348" t="s">
        <v>55</v>
      </c>
      <c r="D348">
        <v>1324</v>
      </c>
      <c r="E348" t="s">
        <v>68</v>
      </c>
      <c r="F348">
        <f>D348-1087</f>
        <v>237</v>
      </c>
      <c r="G348">
        <f>1574-D348</f>
        <v>250</v>
      </c>
      <c r="H348" t="s">
        <v>69</v>
      </c>
      <c r="I348">
        <v>10</v>
      </c>
      <c r="J348">
        <v>9</v>
      </c>
      <c r="K348" t="s">
        <v>1213</v>
      </c>
      <c r="L348" t="s">
        <v>1214</v>
      </c>
      <c r="M348">
        <v>18</v>
      </c>
      <c r="N348" t="s">
        <v>68</v>
      </c>
      <c r="O348">
        <f>M348-2.8</f>
        <v>15.2</v>
      </c>
      <c r="P348">
        <f>66-M348</f>
        <v>48</v>
      </c>
      <c r="Q348" t="s">
        <v>69</v>
      </c>
      <c r="R348">
        <v>5</v>
      </c>
      <c r="S348">
        <v>9</v>
      </c>
      <c r="T348" t="s">
        <v>1215</v>
      </c>
      <c r="U348" t="s">
        <v>1216</v>
      </c>
      <c r="V348" t="s">
        <v>1217</v>
      </c>
      <c r="W348" t="s">
        <v>1218</v>
      </c>
      <c r="X348" t="s">
        <v>1219</v>
      </c>
      <c r="Y348" t="s">
        <v>46</v>
      </c>
      <c r="Z348" t="s">
        <v>1221</v>
      </c>
      <c r="AA348" t="s">
        <v>1220</v>
      </c>
      <c r="AB348" t="s">
        <v>86</v>
      </c>
      <c r="AC348" t="s">
        <v>38</v>
      </c>
      <c r="AD348" t="s">
        <v>169</v>
      </c>
      <c r="AE348" t="s">
        <v>45</v>
      </c>
      <c r="AF348">
        <f>20*24</f>
        <v>480</v>
      </c>
      <c r="AG348" t="s">
        <v>40</v>
      </c>
      <c r="AH348" t="s">
        <v>50</v>
      </c>
      <c r="AI348" t="s">
        <v>46</v>
      </c>
      <c r="AJ348" t="s">
        <v>1222</v>
      </c>
      <c r="AK348" t="s">
        <v>48</v>
      </c>
      <c r="AL348">
        <v>20</v>
      </c>
      <c r="AM348" t="s">
        <v>46</v>
      </c>
      <c r="AN348" t="s">
        <v>46</v>
      </c>
      <c r="AO348" t="s">
        <v>46</v>
      </c>
      <c r="AP348" t="s">
        <v>50</v>
      </c>
      <c r="AQ348" t="s">
        <v>46</v>
      </c>
      <c r="AR348" t="s">
        <v>50</v>
      </c>
      <c r="AS348" t="s">
        <v>1629</v>
      </c>
      <c r="AT348" t="s">
        <v>63</v>
      </c>
      <c r="AU348" t="s">
        <v>46</v>
      </c>
      <c r="AV348">
        <v>2010</v>
      </c>
      <c r="AW348" t="s">
        <v>1223</v>
      </c>
    </row>
    <row r="349" spans="1:49" x14ac:dyDescent="0.2">
      <c r="A349">
        <v>348</v>
      </c>
      <c r="B349" t="s">
        <v>1224</v>
      </c>
      <c r="C349" t="s">
        <v>120</v>
      </c>
      <c r="D349">
        <v>8.2000000000000003E-2</v>
      </c>
      <c r="E349" t="s">
        <v>42</v>
      </c>
      <c r="F349">
        <f>D349-0.06</f>
        <v>2.2000000000000006E-2</v>
      </c>
      <c r="G349">
        <f>0.1-D349</f>
        <v>1.8000000000000002E-2</v>
      </c>
      <c r="H349" t="s">
        <v>69</v>
      </c>
      <c r="I349">
        <v>32</v>
      </c>
      <c r="J349">
        <v>1</v>
      </c>
      <c r="K349" t="s">
        <v>1225</v>
      </c>
      <c r="L349" t="s">
        <v>1232</v>
      </c>
      <c r="M349">
        <v>0.9</v>
      </c>
      <c r="N349" t="s">
        <v>42</v>
      </c>
      <c r="O349">
        <f>M349-0.71</f>
        <v>0.19000000000000006</v>
      </c>
      <c r="P349">
        <f>1.29-M349</f>
        <v>0.39</v>
      </c>
      <c r="Q349" t="s">
        <v>69</v>
      </c>
      <c r="R349">
        <v>32</v>
      </c>
      <c r="S349">
        <v>1</v>
      </c>
      <c r="T349" t="s">
        <v>1225</v>
      </c>
      <c r="U349" t="s">
        <v>156</v>
      </c>
      <c r="V349" t="s">
        <v>1226</v>
      </c>
      <c r="W349" t="s">
        <v>1227</v>
      </c>
      <c r="X349" t="s">
        <v>1235</v>
      </c>
      <c r="Y349" t="s">
        <v>1228</v>
      </c>
      <c r="Z349" t="s">
        <v>1229</v>
      </c>
      <c r="AA349" t="s">
        <v>232</v>
      </c>
      <c r="AB349" t="s">
        <v>74</v>
      </c>
      <c r="AC349" t="s">
        <v>38</v>
      </c>
      <c r="AD349" t="s">
        <v>169</v>
      </c>
      <c r="AE349" t="s">
        <v>75</v>
      </c>
      <c r="AF349">
        <v>24</v>
      </c>
      <c r="AG349" t="s">
        <v>77</v>
      </c>
      <c r="AH349" t="s">
        <v>50</v>
      </c>
      <c r="AI349" t="s">
        <v>46</v>
      </c>
      <c r="AJ349" t="s">
        <v>1222</v>
      </c>
      <c r="AK349" t="s">
        <v>61</v>
      </c>
      <c r="AL349">
        <v>21</v>
      </c>
      <c r="AM349" t="s">
        <v>46</v>
      </c>
      <c r="AN349" t="s">
        <v>46</v>
      </c>
      <c r="AO349" t="s">
        <v>46</v>
      </c>
      <c r="AP349" t="s">
        <v>50</v>
      </c>
      <c r="AQ349" t="s">
        <v>46</v>
      </c>
      <c r="AR349" t="s">
        <v>50</v>
      </c>
      <c r="AS349" t="s">
        <v>1631</v>
      </c>
      <c r="AT349" t="s">
        <v>63</v>
      </c>
      <c r="AU349" t="s">
        <v>46</v>
      </c>
      <c r="AV349">
        <v>2010</v>
      </c>
      <c r="AW349" t="s">
        <v>46</v>
      </c>
    </row>
    <row r="350" spans="1:49" x14ac:dyDescent="0.2">
      <c r="A350">
        <v>349</v>
      </c>
      <c r="B350" t="s">
        <v>1224</v>
      </c>
      <c r="C350" t="s">
        <v>1230</v>
      </c>
      <c r="D350">
        <v>3.7999999999999999E-2</v>
      </c>
      <c r="E350" t="s">
        <v>42</v>
      </c>
      <c r="F350">
        <f>D350-0.034</f>
        <v>3.9999999999999966E-3</v>
      </c>
      <c r="G350">
        <f>0.045-D350</f>
        <v>6.9999999999999993E-3</v>
      </c>
      <c r="H350" t="s">
        <v>69</v>
      </c>
      <c r="I350">
        <v>32</v>
      </c>
      <c r="J350">
        <v>1</v>
      </c>
      <c r="K350" t="s">
        <v>1225</v>
      </c>
      <c r="L350" t="s">
        <v>1231</v>
      </c>
      <c r="M350">
        <v>0.44</v>
      </c>
      <c r="N350" t="s">
        <v>42</v>
      </c>
      <c r="O350">
        <f>M350-0.36</f>
        <v>8.0000000000000016E-2</v>
      </c>
      <c r="P350">
        <f>0.56-M350</f>
        <v>0.12000000000000005</v>
      </c>
      <c r="Q350" t="s">
        <v>69</v>
      </c>
      <c r="R350">
        <v>32</v>
      </c>
      <c r="S350">
        <v>1</v>
      </c>
      <c r="T350" t="s">
        <v>1225</v>
      </c>
      <c r="U350" t="s">
        <v>156</v>
      </c>
      <c r="V350" t="s">
        <v>1233</v>
      </c>
      <c r="W350" s="3" t="s">
        <v>1234</v>
      </c>
      <c r="X350" t="s">
        <v>1235</v>
      </c>
      <c r="Y350" t="s">
        <v>1228</v>
      </c>
      <c r="Z350" t="s">
        <v>1229</v>
      </c>
      <c r="AA350" t="s">
        <v>232</v>
      </c>
      <c r="AB350" t="s">
        <v>74</v>
      </c>
      <c r="AC350" t="s">
        <v>38</v>
      </c>
      <c r="AD350" t="s">
        <v>169</v>
      </c>
      <c r="AE350" t="s">
        <v>75</v>
      </c>
      <c r="AF350">
        <v>24</v>
      </c>
      <c r="AG350" t="s">
        <v>77</v>
      </c>
      <c r="AH350" t="s">
        <v>50</v>
      </c>
      <c r="AI350" t="s">
        <v>46</v>
      </c>
      <c r="AJ350" t="s">
        <v>1222</v>
      </c>
      <c r="AK350" t="s">
        <v>61</v>
      </c>
      <c r="AL350">
        <v>21</v>
      </c>
      <c r="AM350" t="s">
        <v>46</v>
      </c>
      <c r="AN350" t="s">
        <v>46</v>
      </c>
      <c r="AO350" t="s">
        <v>46</v>
      </c>
      <c r="AP350" t="s">
        <v>50</v>
      </c>
      <c r="AQ350" t="s">
        <v>46</v>
      </c>
      <c r="AR350" t="s">
        <v>50</v>
      </c>
      <c r="AS350" t="s">
        <v>1631</v>
      </c>
      <c r="AT350" t="s">
        <v>63</v>
      </c>
      <c r="AU350" t="s">
        <v>46</v>
      </c>
      <c r="AV350">
        <v>2010</v>
      </c>
      <c r="AW350" t="s">
        <v>46</v>
      </c>
    </row>
    <row r="351" spans="1:49" x14ac:dyDescent="0.2">
      <c r="A351">
        <v>350</v>
      </c>
      <c r="B351" t="s">
        <v>1236</v>
      </c>
      <c r="C351" t="s">
        <v>1237</v>
      </c>
      <c r="D351">
        <v>4691.2</v>
      </c>
      <c r="E351" t="s">
        <v>413</v>
      </c>
      <c r="F351">
        <v>702.1</v>
      </c>
      <c r="G351">
        <v>702.1</v>
      </c>
      <c r="H351" t="s">
        <v>43</v>
      </c>
      <c r="I351">
        <v>3</v>
      </c>
      <c r="J351">
        <v>5</v>
      </c>
      <c r="K351" t="s">
        <v>1238</v>
      </c>
      <c r="L351" t="s">
        <v>1239</v>
      </c>
      <c r="M351">
        <v>176.3</v>
      </c>
      <c r="N351" t="s">
        <v>413</v>
      </c>
      <c r="O351">
        <v>12.1</v>
      </c>
      <c r="P351">
        <v>12.1</v>
      </c>
      <c r="Q351" t="s">
        <v>43</v>
      </c>
      <c r="R351">
        <v>3</v>
      </c>
      <c r="S351">
        <v>5</v>
      </c>
      <c r="T351" t="s">
        <v>1238</v>
      </c>
      <c r="U351" t="s">
        <v>46</v>
      </c>
      <c r="V351" t="s">
        <v>1240</v>
      </c>
      <c r="W351" t="s">
        <v>1241</v>
      </c>
      <c r="X351" t="s">
        <v>438</v>
      </c>
      <c r="Y351" t="s">
        <v>46</v>
      </c>
      <c r="Z351" t="s">
        <v>1242</v>
      </c>
      <c r="AA351" t="s">
        <v>440</v>
      </c>
      <c r="AB351" t="s">
        <v>439</v>
      </c>
      <c r="AC351" t="s">
        <v>433</v>
      </c>
      <c r="AD351" t="s">
        <v>39</v>
      </c>
      <c r="AE351" t="s">
        <v>46</v>
      </c>
      <c r="AF351">
        <v>9</v>
      </c>
      <c r="AG351" t="s">
        <v>40</v>
      </c>
      <c r="AH351" t="s">
        <v>50</v>
      </c>
      <c r="AI351" t="s">
        <v>46</v>
      </c>
      <c r="AJ351" t="s">
        <v>47</v>
      </c>
      <c r="AK351" t="s">
        <v>61</v>
      </c>
      <c r="AL351">
        <v>28</v>
      </c>
      <c r="AM351" t="s">
        <v>46</v>
      </c>
      <c r="AN351" t="s">
        <v>46</v>
      </c>
      <c r="AO351" t="s">
        <v>46</v>
      </c>
      <c r="AP351" t="s">
        <v>50</v>
      </c>
      <c r="AQ351" t="s">
        <v>46</v>
      </c>
      <c r="AR351" t="s">
        <v>50</v>
      </c>
      <c r="AS351" t="s">
        <v>1649</v>
      </c>
      <c r="AT351" t="s">
        <v>63</v>
      </c>
      <c r="AU351" t="s">
        <v>46</v>
      </c>
      <c r="AV351">
        <v>2008</v>
      </c>
      <c r="AW351" t="s">
        <v>46</v>
      </c>
    </row>
    <row r="352" spans="1:49" x14ac:dyDescent="0.2">
      <c r="A352">
        <v>351</v>
      </c>
      <c r="B352" t="s">
        <v>1236</v>
      </c>
      <c r="C352" t="s">
        <v>1243</v>
      </c>
      <c r="D352">
        <v>7728.4</v>
      </c>
      <c r="E352" t="s">
        <v>413</v>
      </c>
      <c r="F352">
        <v>1247.0999999999999</v>
      </c>
      <c r="G352">
        <v>1247.0999999999999</v>
      </c>
      <c r="H352" t="s">
        <v>43</v>
      </c>
      <c r="I352">
        <v>3</v>
      </c>
      <c r="J352">
        <v>5</v>
      </c>
      <c r="K352" t="s">
        <v>1238</v>
      </c>
      <c r="L352" t="s">
        <v>1244</v>
      </c>
      <c r="M352">
        <v>4</v>
      </c>
      <c r="N352" t="s">
        <v>413</v>
      </c>
      <c r="O352">
        <v>0.1</v>
      </c>
      <c r="P352">
        <v>0.1</v>
      </c>
      <c r="Q352" t="s">
        <v>43</v>
      </c>
      <c r="R352">
        <v>3</v>
      </c>
      <c r="S352">
        <v>5</v>
      </c>
      <c r="T352" t="s">
        <v>1238</v>
      </c>
      <c r="U352" t="s">
        <v>46</v>
      </c>
      <c r="V352" t="s">
        <v>1245</v>
      </c>
      <c r="W352" t="s">
        <v>1246</v>
      </c>
      <c r="X352" t="s">
        <v>438</v>
      </c>
      <c r="Y352" t="s">
        <v>46</v>
      </c>
      <c r="Z352" t="s">
        <v>1242</v>
      </c>
      <c r="AA352" t="s">
        <v>440</v>
      </c>
      <c r="AB352" t="s">
        <v>439</v>
      </c>
      <c r="AC352" t="s">
        <v>433</v>
      </c>
      <c r="AD352" t="s">
        <v>39</v>
      </c>
      <c r="AE352" t="s">
        <v>46</v>
      </c>
      <c r="AF352">
        <v>9</v>
      </c>
      <c r="AG352" t="s">
        <v>40</v>
      </c>
      <c r="AH352" t="s">
        <v>50</v>
      </c>
      <c r="AI352" t="s">
        <v>46</v>
      </c>
      <c r="AJ352" t="s">
        <v>47</v>
      </c>
      <c r="AK352" t="s">
        <v>61</v>
      </c>
      <c r="AL352">
        <v>28</v>
      </c>
      <c r="AM352" t="s">
        <v>46</v>
      </c>
      <c r="AN352" t="s">
        <v>46</v>
      </c>
      <c r="AO352" t="s">
        <v>46</v>
      </c>
      <c r="AP352" t="s">
        <v>50</v>
      </c>
      <c r="AQ352" t="s">
        <v>46</v>
      </c>
      <c r="AR352" t="s">
        <v>50</v>
      </c>
      <c r="AS352" t="s">
        <v>1649</v>
      </c>
      <c r="AT352" t="s">
        <v>63</v>
      </c>
      <c r="AU352" t="s">
        <v>46</v>
      </c>
      <c r="AV352">
        <v>2008</v>
      </c>
      <c r="AW352" t="s">
        <v>46</v>
      </c>
    </row>
    <row r="353" spans="1:49" x14ac:dyDescent="0.2">
      <c r="A353">
        <v>352</v>
      </c>
      <c r="B353" t="s">
        <v>1236</v>
      </c>
      <c r="C353" t="s">
        <v>1237</v>
      </c>
      <c r="D353">
        <v>55.1</v>
      </c>
      <c r="E353" t="s">
        <v>413</v>
      </c>
      <c r="F353">
        <v>5.6</v>
      </c>
      <c r="G353">
        <v>5.6</v>
      </c>
      <c r="H353" t="s">
        <v>43</v>
      </c>
      <c r="I353">
        <v>4</v>
      </c>
      <c r="J353">
        <v>1</v>
      </c>
      <c r="K353" t="s">
        <v>828</v>
      </c>
      <c r="L353" t="s">
        <v>1239</v>
      </c>
      <c r="M353">
        <v>12.5</v>
      </c>
      <c r="N353" t="s">
        <v>413</v>
      </c>
      <c r="O353">
        <v>1.3</v>
      </c>
      <c r="P353">
        <v>1.3</v>
      </c>
      <c r="Q353" t="s">
        <v>43</v>
      </c>
      <c r="R353">
        <v>4</v>
      </c>
      <c r="S353">
        <v>1</v>
      </c>
      <c r="T353" t="s">
        <v>828</v>
      </c>
      <c r="U353" t="s">
        <v>46</v>
      </c>
      <c r="V353" t="s">
        <v>1247</v>
      </c>
      <c r="W353" t="s">
        <v>1248</v>
      </c>
      <c r="X353" t="s">
        <v>418</v>
      </c>
      <c r="Y353" t="s">
        <v>46</v>
      </c>
      <c r="Z353" t="s">
        <v>494</v>
      </c>
      <c r="AA353" t="s">
        <v>419</v>
      </c>
      <c r="AB353" t="s">
        <v>420</v>
      </c>
      <c r="AC353" t="s">
        <v>421</v>
      </c>
      <c r="AD353" t="s">
        <v>39</v>
      </c>
      <c r="AE353" t="s">
        <v>46</v>
      </c>
      <c r="AF353">
        <v>0.25</v>
      </c>
      <c r="AG353" t="s">
        <v>40</v>
      </c>
      <c r="AH353" t="s">
        <v>50</v>
      </c>
      <c r="AI353" t="s">
        <v>46</v>
      </c>
      <c r="AJ353" t="s">
        <v>47</v>
      </c>
      <c r="AK353" t="s">
        <v>61</v>
      </c>
      <c r="AL353" t="s">
        <v>46</v>
      </c>
      <c r="AM353" t="s">
        <v>1249</v>
      </c>
      <c r="AN353" t="s">
        <v>46</v>
      </c>
      <c r="AO353" t="s">
        <v>46</v>
      </c>
      <c r="AP353" t="s">
        <v>63</v>
      </c>
      <c r="AQ353" t="s">
        <v>46</v>
      </c>
      <c r="AR353" t="s">
        <v>50</v>
      </c>
      <c r="AS353" t="s">
        <v>1649</v>
      </c>
      <c r="AT353" t="s">
        <v>63</v>
      </c>
      <c r="AU353" t="s">
        <v>46</v>
      </c>
      <c r="AV353">
        <v>2008</v>
      </c>
      <c r="AW353" t="s">
        <v>1250</v>
      </c>
    </row>
    <row r="354" spans="1:49" x14ac:dyDescent="0.2">
      <c r="A354">
        <v>353</v>
      </c>
      <c r="B354" t="s">
        <v>1236</v>
      </c>
      <c r="C354" t="s">
        <v>1237</v>
      </c>
      <c r="D354">
        <v>194.6</v>
      </c>
      <c r="E354" t="s">
        <v>413</v>
      </c>
      <c r="F354">
        <v>13.8</v>
      </c>
      <c r="G354">
        <v>13.8</v>
      </c>
      <c r="H354" t="s">
        <v>43</v>
      </c>
      <c r="I354">
        <v>4</v>
      </c>
      <c r="J354">
        <v>1</v>
      </c>
      <c r="K354" t="s">
        <v>828</v>
      </c>
      <c r="L354" t="s">
        <v>1239</v>
      </c>
      <c r="M354">
        <v>99.9</v>
      </c>
      <c r="N354" t="s">
        <v>413</v>
      </c>
      <c r="O354">
        <v>13.1</v>
      </c>
      <c r="P354">
        <v>13.1</v>
      </c>
      <c r="Q354" t="s">
        <v>43</v>
      </c>
      <c r="R354">
        <v>4</v>
      </c>
      <c r="S354">
        <v>1</v>
      </c>
      <c r="T354" t="s">
        <v>828</v>
      </c>
      <c r="U354" t="s">
        <v>46</v>
      </c>
      <c r="V354" t="s">
        <v>1251</v>
      </c>
      <c r="W354" t="s">
        <v>1252</v>
      </c>
      <c r="X354" t="s">
        <v>418</v>
      </c>
      <c r="Y354" t="s">
        <v>46</v>
      </c>
      <c r="Z354" t="s">
        <v>494</v>
      </c>
      <c r="AA354" t="s">
        <v>419</v>
      </c>
      <c r="AB354" t="s">
        <v>420</v>
      </c>
      <c r="AC354" t="s">
        <v>421</v>
      </c>
      <c r="AD354" t="s">
        <v>39</v>
      </c>
      <c r="AE354" t="s">
        <v>46</v>
      </c>
      <c r="AF354">
        <v>0.25</v>
      </c>
      <c r="AG354" t="s">
        <v>40</v>
      </c>
      <c r="AH354" t="s">
        <v>50</v>
      </c>
      <c r="AI354" t="s">
        <v>46</v>
      </c>
      <c r="AJ354" t="s">
        <v>47</v>
      </c>
      <c r="AK354" t="s">
        <v>61</v>
      </c>
      <c r="AL354" t="s">
        <v>46</v>
      </c>
      <c r="AM354" t="s">
        <v>1253</v>
      </c>
      <c r="AN354" t="s">
        <v>46</v>
      </c>
      <c r="AO354" t="s">
        <v>46</v>
      </c>
      <c r="AP354" t="s">
        <v>63</v>
      </c>
      <c r="AQ354" t="s">
        <v>46</v>
      </c>
      <c r="AR354" t="s">
        <v>50</v>
      </c>
      <c r="AS354" t="s">
        <v>1649</v>
      </c>
      <c r="AT354" t="s">
        <v>63</v>
      </c>
      <c r="AU354" t="s">
        <v>46</v>
      </c>
      <c r="AV354">
        <v>2008</v>
      </c>
      <c r="AW354" t="s">
        <v>1254</v>
      </c>
    </row>
    <row r="355" spans="1:49" x14ac:dyDescent="0.2">
      <c r="A355">
        <v>354</v>
      </c>
      <c r="B355" t="s">
        <v>1236</v>
      </c>
      <c r="C355" t="s">
        <v>1243</v>
      </c>
      <c r="D355">
        <v>43.6</v>
      </c>
      <c r="E355" t="s">
        <v>413</v>
      </c>
      <c r="F355">
        <v>2.4</v>
      </c>
      <c r="G355">
        <v>2.4</v>
      </c>
      <c r="H355" t="s">
        <v>43</v>
      </c>
      <c r="I355">
        <v>4</v>
      </c>
      <c r="J355">
        <v>1</v>
      </c>
      <c r="K355" t="s">
        <v>828</v>
      </c>
      <c r="L355" t="s">
        <v>1244</v>
      </c>
      <c r="M355">
        <v>1.1000000000000001</v>
      </c>
      <c r="N355" t="s">
        <v>413</v>
      </c>
      <c r="O355">
        <v>0.1</v>
      </c>
      <c r="P355">
        <v>0.1</v>
      </c>
      <c r="Q355" t="s">
        <v>43</v>
      </c>
      <c r="R355">
        <v>4</v>
      </c>
      <c r="S355">
        <v>1</v>
      </c>
      <c r="T355" t="s">
        <v>828</v>
      </c>
      <c r="U355" t="s">
        <v>46</v>
      </c>
      <c r="V355" t="s">
        <v>1255</v>
      </c>
      <c r="W355" t="s">
        <v>1256</v>
      </c>
      <c r="X355" t="s">
        <v>418</v>
      </c>
      <c r="Y355" t="s">
        <v>46</v>
      </c>
      <c r="Z355" t="s">
        <v>494</v>
      </c>
      <c r="AA355" t="s">
        <v>419</v>
      </c>
      <c r="AB355" t="s">
        <v>420</v>
      </c>
      <c r="AC355" t="s">
        <v>421</v>
      </c>
      <c r="AD355" t="s">
        <v>39</v>
      </c>
      <c r="AE355" t="s">
        <v>46</v>
      </c>
      <c r="AF355">
        <v>0.25</v>
      </c>
      <c r="AG355" t="s">
        <v>40</v>
      </c>
      <c r="AH355" t="s">
        <v>50</v>
      </c>
      <c r="AI355" t="s">
        <v>46</v>
      </c>
      <c r="AJ355" t="s">
        <v>47</v>
      </c>
      <c r="AK355" t="s">
        <v>61</v>
      </c>
      <c r="AL355" t="s">
        <v>46</v>
      </c>
      <c r="AM355" t="s">
        <v>1249</v>
      </c>
      <c r="AN355" t="s">
        <v>46</v>
      </c>
      <c r="AO355" t="s">
        <v>46</v>
      </c>
      <c r="AP355" t="s">
        <v>63</v>
      </c>
      <c r="AQ355" t="s">
        <v>46</v>
      </c>
      <c r="AR355" t="s">
        <v>50</v>
      </c>
      <c r="AS355" t="s">
        <v>1649</v>
      </c>
      <c r="AT355" t="s">
        <v>63</v>
      </c>
      <c r="AU355" t="s">
        <v>46</v>
      </c>
      <c r="AV355">
        <v>2008</v>
      </c>
      <c r="AW355" t="s">
        <v>1250</v>
      </c>
    </row>
    <row r="356" spans="1:49" x14ac:dyDescent="0.2">
      <c r="A356">
        <v>355</v>
      </c>
      <c r="B356" t="s">
        <v>1236</v>
      </c>
      <c r="C356" t="s">
        <v>1243</v>
      </c>
      <c r="D356">
        <v>69.2</v>
      </c>
      <c r="E356" t="s">
        <v>413</v>
      </c>
      <c r="F356">
        <v>4</v>
      </c>
      <c r="G356">
        <v>4</v>
      </c>
      <c r="H356" t="s">
        <v>43</v>
      </c>
      <c r="I356">
        <v>4</v>
      </c>
      <c r="J356">
        <v>1</v>
      </c>
      <c r="K356" t="s">
        <v>828</v>
      </c>
      <c r="L356" t="s">
        <v>1244</v>
      </c>
      <c r="M356">
        <v>0.9</v>
      </c>
      <c r="N356" t="s">
        <v>413</v>
      </c>
      <c r="O356">
        <v>0.2</v>
      </c>
      <c r="P356">
        <v>0.2</v>
      </c>
      <c r="Q356" t="s">
        <v>43</v>
      </c>
      <c r="R356">
        <v>4</v>
      </c>
      <c r="S356">
        <v>1</v>
      </c>
      <c r="T356" t="s">
        <v>828</v>
      </c>
      <c r="U356" t="s">
        <v>46</v>
      </c>
      <c r="V356" t="s">
        <v>1257</v>
      </c>
      <c r="W356" t="s">
        <v>1258</v>
      </c>
      <c r="X356" t="s">
        <v>418</v>
      </c>
      <c r="Y356" t="s">
        <v>46</v>
      </c>
      <c r="Z356" t="s">
        <v>494</v>
      </c>
      <c r="AA356" t="s">
        <v>419</v>
      </c>
      <c r="AB356" t="s">
        <v>420</v>
      </c>
      <c r="AC356" t="s">
        <v>421</v>
      </c>
      <c r="AD356" t="s">
        <v>39</v>
      </c>
      <c r="AE356" t="s">
        <v>46</v>
      </c>
      <c r="AF356">
        <v>0.25</v>
      </c>
      <c r="AG356" t="s">
        <v>40</v>
      </c>
      <c r="AH356" t="s">
        <v>50</v>
      </c>
      <c r="AI356" t="s">
        <v>46</v>
      </c>
      <c r="AJ356" t="s">
        <v>47</v>
      </c>
      <c r="AK356" t="s">
        <v>61</v>
      </c>
      <c r="AL356" t="s">
        <v>46</v>
      </c>
      <c r="AM356" t="s">
        <v>1253</v>
      </c>
      <c r="AN356" t="s">
        <v>46</v>
      </c>
      <c r="AO356" t="s">
        <v>46</v>
      </c>
      <c r="AP356" t="s">
        <v>63</v>
      </c>
      <c r="AQ356" t="s">
        <v>46</v>
      </c>
      <c r="AR356" t="s">
        <v>50</v>
      </c>
      <c r="AS356" t="s">
        <v>1649</v>
      </c>
      <c r="AT356" t="s">
        <v>63</v>
      </c>
      <c r="AU356" t="s">
        <v>46</v>
      </c>
      <c r="AV356">
        <v>2008</v>
      </c>
      <c r="AW356" t="s">
        <v>1254</v>
      </c>
    </row>
    <row r="357" spans="1:49" x14ac:dyDescent="0.2">
      <c r="A357">
        <v>356</v>
      </c>
      <c r="B357" t="s">
        <v>1259</v>
      </c>
      <c r="C357" t="s">
        <v>1260</v>
      </c>
      <c r="D357">
        <v>174.5</v>
      </c>
      <c r="E357" t="s">
        <v>413</v>
      </c>
      <c r="F357">
        <v>20.100000000000001</v>
      </c>
      <c r="G357">
        <v>20.100000000000001</v>
      </c>
      <c r="H357" t="s">
        <v>43</v>
      </c>
      <c r="I357">
        <v>4</v>
      </c>
      <c r="J357">
        <v>1</v>
      </c>
      <c r="K357" t="s">
        <v>828</v>
      </c>
      <c r="L357" t="s">
        <v>1261</v>
      </c>
      <c r="M357">
        <v>20.5</v>
      </c>
      <c r="N357" t="s">
        <v>413</v>
      </c>
      <c r="O357">
        <v>2</v>
      </c>
      <c r="P357">
        <v>2</v>
      </c>
      <c r="Q357" t="s">
        <v>43</v>
      </c>
      <c r="R357">
        <v>4</v>
      </c>
      <c r="S357">
        <v>1</v>
      </c>
      <c r="T357" t="s">
        <v>828</v>
      </c>
      <c r="U357" t="s">
        <v>46</v>
      </c>
      <c r="V357" t="s">
        <v>1262</v>
      </c>
      <c r="W357" t="s">
        <v>1263</v>
      </c>
      <c r="X357" t="s">
        <v>418</v>
      </c>
      <c r="Y357" t="s">
        <v>46</v>
      </c>
      <c r="Z357" t="s">
        <v>494</v>
      </c>
      <c r="AA357" t="s">
        <v>419</v>
      </c>
      <c r="AB357" t="s">
        <v>420</v>
      </c>
      <c r="AC357" t="s">
        <v>421</v>
      </c>
      <c r="AD357" t="s">
        <v>39</v>
      </c>
      <c r="AE357" t="s">
        <v>46</v>
      </c>
      <c r="AF357">
        <v>0.25</v>
      </c>
      <c r="AG357" t="s">
        <v>40</v>
      </c>
      <c r="AH357" t="s">
        <v>50</v>
      </c>
      <c r="AI357" t="s">
        <v>46</v>
      </c>
      <c r="AJ357" t="s">
        <v>47</v>
      </c>
      <c r="AK357" t="s">
        <v>61</v>
      </c>
      <c r="AL357" t="s">
        <v>46</v>
      </c>
      <c r="AM357" t="s">
        <v>46</v>
      </c>
      <c r="AN357" t="s">
        <v>46</v>
      </c>
      <c r="AO357" t="s">
        <v>46</v>
      </c>
      <c r="AP357" t="s">
        <v>63</v>
      </c>
      <c r="AQ357" t="s">
        <v>46</v>
      </c>
      <c r="AR357" t="s">
        <v>50</v>
      </c>
      <c r="AS357" t="s">
        <v>1649</v>
      </c>
      <c r="AT357" t="s">
        <v>63</v>
      </c>
      <c r="AU357" t="s">
        <v>46</v>
      </c>
      <c r="AV357">
        <v>2013</v>
      </c>
      <c r="AW357" t="s">
        <v>46</v>
      </c>
    </row>
    <row r="358" spans="1:49" x14ac:dyDescent="0.2">
      <c r="A358">
        <v>357</v>
      </c>
      <c r="B358" t="s">
        <v>1259</v>
      </c>
      <c r="C358" t="s">
        <v>1264</v>
      </c>
      <c r="D358">
        <v>167.8</v>
      </c>
      <c r="E358" t="s">
        <v>413</v>
      </c>
      <c r="F358">
        <v>21.8</v>
      </c>
      <c r="G358">
        <v>21.8</v>
      </c>
      <c r="H358" t="s">
        <v>43</v>
      </c>
      <c r="I358">
        <v>4</v>
      </c>
      <c r="J358">
        <v>1</v>
      </c>
      <c r="K358" t="s">
        <v>828</v>
      </c>
      <c r="L358" t="s">
        <v>1265</v>
      </c>
      <c r="M358">
        <v>4.0999999999999996</v>
      </c>
      <c r="N358" t="s">
        <v>413</v>
      </c>
      <c r="O358">
        <v>0.7</v>
      </c>
      <c r="P358">
        <v>0.7</v>
      </c>
      <c r="Q358" t="s">
        <v>43</v>
      </c>
      <c r="R358">
        <v>4</v>
      </c>
      <c r="S358">
        <v>1</v>
      </c>
      <c r="T358" t="s">
        <v>828</v>
      </c>
      <c r="U358" t="s">
        <v>46</v>
      </c>
      <c r="V358" t="s">
        <v>1266</v>
      </c>
      <c r="W358" t="s">
        <v>1267</v>
      </c>
      <c r="X358" t="s">
        <v>418</v>
      </c>
      <c r="Y358" t="s">
        <v>46</v>
      </c>
      <c r="Z358" t="s">
        <v>494</v>
      </c>
      <c r="AA358" t="s">
        <v>419</v>
      </c>
      <c r="AB358" t="s">
        <v>420</v>
      </c>
      <c r="AC358" t="s">
        <v>421</v>
      </c>
      <c r="AD358" t="s">
        <v>39</v>
      </c>
      <c r="AE358" t="s">
        <v>46</v>
      </c>
      <c r="AF358">
        <v>0.25</v>
      </c>
      <c r="AG358" t="s">
        <v>40</v>
      </c>
      <c r="AH358" t="s">
        <v>50</v>
      </c>
      <c r="AI358" t="s">
        <v>46</v>
      </c>
      <c r="AJ358" t="s">
        <v>47</v>
      </c>
      <c r="AK358" t="s">
        <v>61</v>
      </c>
      <c r="AL358" t="s">
        <v>46</v>
      </c>
      <c r="AM358" t="s">
        <v>46</v>
      </c>
      <c r="AN358" t="s">
        <v>46</v>
      </c>
      <c r="AO358" t="s">
        <v>46</v>
      </c>
      <c r="AP358" t="s">
        <v>63</v>
      </c>
      <c r="AQ358" t="s">
        <v>46</v>
      </c>
      <c r="AR358" t="s">
        <v>50</v>
      </c>
      <c r="AS358" t="s">
        <v>1649</v>
      </c>
      <c r="AT358" t="s">
        <v>63</v>
      </c>
      <c r="AU358" t="s">
        <v>46</v>
      </c>
      <c r="AV358">
        <v>2013</v>
      </c>
      <c r="AW358" t="s">
        <v>46</v>
      </c>
    </row>
    <row r="359" spans="1:49" x14ac:dyDescent="0.2">
      <c r="A359">
        <v>358</v>
      </c>
      <c r="B359" t="s">
        <v>1268</v>
      </c>
      <c r="C359" t="s">
        <v>1010</v>
      </c>
      <c r="D359">
        <v>61.14</v>
      </c>
      <c r="E359" t="s">
        <v>42</v>
      </c>
      <c r="F359">
        <f>D359-58.28</f>
        <v>2.8599999999999994</v>
      </c>
      <c r="G359">
        <f>64.14-D359</f>
        <v>3</v>
      </c>
      <c r="H359" t="s">
        <v>69</v>
      </c>
      <c r="I359">
        <v>20</v>
      </c>
      <c r="J359">
        <v>1</v>
      </c>
      <c r="K359" t="s">
        <v>1269</v>
      </c>
      <c r="L359" t="s">
        <v>1270</v>
      </c>
      <c r="M359">
        <v>162.6</v>
      </c>
      <c r="N359" t="s">
        <v>42</v>
      </c>
      <c r="O359">
        <f>M359-155.82</f>
        <v>6.7800000000000011</v>
      </c>
      <c r="P359">
        <f>169.68-M359</f>
        <v>7.0800000000000125</v>
      </c>
      <c r="Q359" t="s">
        <v>69</v>
      </c>
      <c r="R359">
        <v>20</v>
      </c>
      <c r="S359">
        <v>1</v>
      </c>
      <c r="T359" t="s">
        <v>1269</v>
      </c>
      <c r="U359" t="s">
        <v>1165</v>
      </c>
      <c r="V359" t="s">
        <v>1271</v>
      </c>
      <c r="W359" t="s">
        <v>1272</v>
      </c>
      <c r="X359" t="s">
        <v>1273</v>
      </c>
      <c r="Y359" t="s">
        <v>46</v>
      </c>
      <c r="Z359" t="s">
        <v>1274</v>
      </c>
      <c r="AA359" t="s">
        <v>36</v>
      </c>
      <c r="AB359" t="s">
        <v>37</v>
      </c>
      <c r="AC359" t="s">
        <v>38</v>
      </c>
      <c r="AD359" t="s">
        <v>39</v>
      </c>
      <c r="AE359" t="s">
        <v>75</v>
      </c>
      <c r="AF359">
        <v>24</v>
      </c>
      <c r="AG359" t="s">
        <v>77</v>
      </c>
      <c r="AH359" t="s">
        <v>50</v>
      </c>
      <c r="AI359" t="s">
        <v>46</v>
      </c>
      <c r="AJ359" t="s">
        <v>47</v>
      </c>
      <c r="AK359" t="s">
        <v>61</v>
      </c>
      <c r="AL359">
        <v>27</v>
      </c>
      <c r="AM359">
        <v>7.5</v>
      </c>
      <c r="AN359" t="s">
        <v>152</v>
      </c>
      <c r="AO359" t="s">
        <v>46</v>
      </c>
      <c r="AP359" t="s">
        <v>50</v>
      </c>
      <c r="AQ359" t="s">
        <v>46</v>
      </c>
      <c r="AR359" t="s">
        <v>50</v>
      </c>
      <c r="AS359" t="s">
        <v>46</v>
      </c>
      <c r="AT359" t="s">
        <v>63</v>
      </c>
      <c r="AU359" t="s">
        <v>46</v>
      </c>
      <c r="AV359">
        <v>1988</v>
      </c>
      <c r="AW359" t="s">
        <v>46</v>
      </c>
    </row>
    <row r="360" spans="1:49" x14ac:dyDescent="0.2">
      <c r="A360">
        <v>359</v>
      </c>
      <c r="B360" t="s">
        <v>1268</v>
      </c>
      <c r="C360" t="s">
        <v>1010</v>
      </c>
      <c r="D360">
        <v>53.65</v>
      </c>
      <c r="E360" t="s">
        <v>42</v>
      </c>
      <c r="F360">
        <f>D360-49.04</f>
        <v>4.6099999999999994</v>
      </c>
      <c r="G360">
        <f>58.28-D360</f>
        <v>4.6300000000000026</v>
      </c>
      <c r="H360" t="s">
        <v>69</v>
      </c>
      <c r="I360">
        <v>20</v>
      </c>
      <c r="J360">
        <v>1</v>
      </c>
      <c r="K360" t="s">
        <v>1269</v>
      </c>
      <c r="L360" t="s">
        <v>1270</v>
      </c>
      <c r="M360">
        <v>134.08000000000001</v>
      </c>
      <c r="N360" t="s">
        <v>42</v>
      </c>
      <c r="O360">
        <f>M360-128.62</f>
        <v>5.460000000000008</v>
      </c>
      <c r="P360">
        <f>139.54-M360</f>
        <v>5.4599999999999795</v>
      </c>
      <c r="Q360" t="s">
        <v>69</v>
      </c>
      <c r="R360">
        <v>20</v>
      </c>
      <c r="S360">
        <v>1</v>
      </c>
      <c r="T360" t="s">
        <v>1269</v>
      </c>
      <c r="U360" t="s">
        <v>1165</v>
      </c>
      <c r="V360" t="s">
        <v>1275</v>
      </c>
      <c r="W360" t="s">
        <v>1272</v>
      </c>
      <c r="X360" t="s">
        <v>1273</v>
      </c>
      <c r="Y360" t="s">
        <v>46</v>
      </c>
      <c r="Z360" t="s">
        <v>1274</v>
      </c>
      <c r="AA360" t="s">
        <v>36</v>
      </c>
      <c r="AB360" t="s">
        <v>37</v>
      </c>
      <c r="AC360" t="s">
        <v>38</v>
      </c>
      <c r="AD360" t="s">
        <v>39</v>
      </c>
      <c r="AE360" t="s">
        <v>75</v>
      </c>
      <c r="AF360">
        <v>48</v>
      </c>
      <c r="AG360" t="s">
        <v>77</v>
      </c>
      <c r="AH360" t="s">
        <v>50</v>
      </c>
      <c r="AI360" t="s">
        <v>46</v>
      </c>
      <c r="AJ360" t="s">
        <v>47</v>
      </c>
      <c r="AK360" t="s">
        <v>61</v>
      </c>
      <c r="AL360">
        <v>27</v>
      </c>
      <c r="AM360">
        <v>7.5</v>
      </c>
      <c r="AN360" t="s">
        <v>152</v>
      </c>
      <c r="AO360" t="s">
        <v>46</v>
      </c>
      <c r="AP360" t="s">
        <v>50</v>
      </c>
      <c r="AQ360" t="s">
        <v>46</v>
      </c>
      <c r="AR360" t="s">
        <v>50</v>
      </c>
      <c r="AS360" t="s">
        <v>46</v>
      </c>
      <c r="AT360" t="s">
        <v>63</v>
      </c>
      <c r="AU360" t="s">
        <v>46</v>
      </c>
      <c r="AV360">
        <v>1988</v>
      </c>
      <c r="AW360" t="s">
        <v>46</v>
      </c>
    </row>
    <row r="361" spans="1:49" x14ac:dyDescent="0.2">
      <c r="A361">
        <v>360</v>
      </c>
      <c r="B361" t="s">
        <v>1268</v>
      </c>
      <c r="C361" t="s">
        <v>1010</v>
      </c>
      <c r="D361">
        <v>48.58</v>
      </c>
      <c r="E361" t="s">
        <v>42</v>
      </c>
      <c r="F361">
        <f>D361-44.95</f>
        <v>3.6299999999999955</v>
      </c>
      <c r="G361">
        <f>52.22-D361</f>
        <v>3.6400000000000006</v>
      </c>
      <c r="H361" t="s">
        <v>69</v>
      </c>
      <c r="I361">
        <v>20</v>
      </c>
      <c r="J361">
        <v>1</v>
      </c>
      <c r="K361" t="s">
        <v>1269</v>
      </c>
      <c r="L361" t="s">
        <v>1270</v>
      </c>
      <c r="M361">
        <v>123.36</v>
      </c>
      <c r="N361" t="s">
        <v>42</v>
      </c>
      <c r="O361">
        <f>M361-119.81</f>
        <v>3.5499999999999972</v>
      </c>
      <c r="P361">
        <f>126.96-M361</f>
        <v>3.5999999999999943</v>
      </c>
      <c r="Q361" t="s">
        <v>69</v>
      </c>
      <c r="R361">
        <v>20</v>
      </c>
      <c r="S361">
        <v>1</v>
      </c>
      <c r="T361" t="s">
        <v>1269</v>
      </c>
      <c r="U361" t="s">
        <v>1165</v>
      </c>
      <c r="V361" t="s">
        <v>1276</v>
      </c>
      <c r="W361" t="s">
        <v>1272</v>
      </c>
      <c r="X361" t="s">
        <v>1273</v>
      </c>
      <c r="Y361" t="s">
        <v>46</v>
      </c>
      <c r="Z361" t="s">
        <v>1274</v>
      </c>
      <c r="AA361" t="s">
        <v>36</v>
      </c>
      <c r="AB361" t="s">
        <v>37</v>
      </c>
      <c r="AC361" t="s">
        <v>38</v>
      </c>
      <c r="AD361" t="s">
        <v>39</v>
      </c>
      <c r="AE361" t="s">
        <v>75</v>
      </c>
      <c r="AF361">
        <v>72</v>
      </c>
      <c r="AG361" t="s">
        <v>77</v>
      </c>
      <c r="AH361" t="s">
        <v>50</v>
      </c>
      <c r="AI361" t="s">
        <v>46</v>
      </c>
      <c r="AJ361" t="s">
        <v>47</v>
      </c>
      <c r="AK361" t="s">
        <v>61</v>
      </c>
      <c r="AL361">
        <v>27</v>
      </c>
      <c r="AM361">
        <v>7.5</v>
      </c>
      <c r="AN361" t="s">
        <v>152</v>
      </c>
      <c r="AO361" t="s">
        <v>46</v>
      </c>
      <c r="AP361" t="s">
        <v>50</v>
      </c>
      <c r="AQ361" t="s">
        <v>46</v>
      </c>
      <c r="AR361" t="s">
        <v>50</v>
      </c>
      <c r="AS361" t="s">
        <v>46</v>
      </c>
      <c r="AT361" t="s">
        <v>63</v>
      </c>
      <c r="AU361" t="s">
        <v>46</v>
      </c>
      <c r="AV361">
        <v>1988</v>
      </c>
      <c r="AW361" t="s">
        <v>46</v>
      </c>
    </row>
    <row r="362" spans="1:49" x14ac:dyDescent="0.2">
      <c r="A362">
        <v>361</v>
      </c>
      <c r="B362" t="s">
        <v>1268</v>
      </c>
      <c r="C362" t="s">
        <v>1010</v>
      </c>
      <c r="D362">
        <v>46.85</v>
      </c>
      <c r="E362" t="s">
        <v>42</v>
      </c>
      <c r="F362">
        <f>D362-40.96</f>
        <v>5.8900000000000006</v>
      </c>
      <c r="G362">
        <f>52.77-D362</f>
        <v>5.9200000000000017</v>
      </c>
      <c r="H362" t="s">
        <v>69</v>
      </c>
      <c r="I362">
        <v>20</v>
      </c>
      <c r="J362">
        <v>1</v>
      </c>
      <c r="K362" t="s">
        <v>1269</v>
      </c>
      <c r="L362" t="s">
        <v>1270</v>
      </c>
      <c r="M362">
        <v>107.66</v>
      </c>
      <c r="N362" t="s">
        <v>42</v>
      </c>
      <c r="O362">
        <f>M362-100.83</f>
        <v>6.8299999999999983</v>
      </c>
      <c r="P362">
        <f>114.49-M362</f>
        <v>6.8299999999999983</v>
      </c>
      <c r="Q362" t="s">
        <v>69</v>
      </c>
      <c r="R362">
        <v>20</v>
      </c>
      <c r="S362">
        <v>1</v>
      </c>
      <c r="T362" t="s">
        <v>1269</v>
      </c>
      <c r="U362" t="s">
        <v>1165</v>
      </c>
      <c r="V362" t="s">
        <v>1277</v>
      </c>
      <c r="W362" t="s">
        <v>1272</v>
      </c>
      <c r="X362" t="s">
        <v>1273</v>
      </c>
      <c r="Y362" t="s">
        <v>46</v>
      </c>
      <c r="Z362" t="s">
        <v>1274</v>
      </c>
      <c r="AA362" t="s">
        <v>36</v>
      </c>
      <c r="AB362" t="s">
        <v>37</v>
      </c>
      <c r="AC362" t="s">
        <v>38</v>
      </c>
      <c r="AD362" t="s">
        <v>39</v>
      </c>
      <c r="AE362" t="s">
        <v>75</v>
      </c>
      <c r="AF362">
        <v>96</v>
      </c>
      <c r="AG362" t="s">
        <v>77</v>
      </c>
      <c r="AH362" t="s">
        <v>50</v>
      </c>
      <c r="AI362" t="s">
        <v>46</v>
      </c>
      <c r="AJ362" t="s">
        <v>47</v>
      </c>
      <c r="AK362" t="s">
        <v>61</v>
      </c>
      <c r="AL362">
        <v>27</v>
      </c>
      <c r="AM362">
        <v>7.5</v>
      </c>
      <c r="AN362" t="s">
        <v>152</v>
      </c>
      <c r="AO362" t="s">
        <v>46</v>
      </c>
      <c r="AP362" t="s">
        <v>50</v>
      </c>
      <c r="AQ362" t="s">
        <v>46</v>
      </c>
      <c r="AR362" t="s">
        <v>50</v>
      </c>
      <c r="AS362" t="s">
        <v>46</v>
      </c>
      <c r="AT362" t="s">
        <v>63</v>
      </c>
      <c r="AU362" t="s">
        <v>46</v>
      </c>
      <c r="AV362">
        <v>1988</v>
      </c>
      <c r="AW362" t="s">
        <v>46</v>
      </c>
    </row>
    <row r="363" spans="1:49" x14ac:dyDescent="0.2">
      <c r="A363">
        <v>362</v>
      </c>
      <c r="B363" t="s">
        <v>1278</v>
      </c>
      <c r="C363" t="s">
        <v>253</v>
      </c>
      <c r="D363">
        <v>2.1000000000000001E-2</v>
      </c>
      <c r="E363" t="s">
        <v>68</v>
      </c>
      <c r="F363">
        <f>D363-0.019</f>
        <v>2.0000000000000018E-3</v>
      </c>
      <c r="G363">
        <f>0.022-D363</f>
        <v>9.9999999999999742E-4</v>
      </c>
      <c r="H363" t="s">
        <v>69</v>
      </c>
      <c r="I363">
        <v>4</v>
      </c>
      <c r="J363">
        <v>5</v>
      </c>
      <c r="K363" t="s">
        <v>756</v>
      </c>
      <c r="L363" t="s">
        <v>1281</v>
      </c>
      <c r="M363">
        <v>2.4E-2</v>
      </c>
      <c r="N363" t="s">
        <v>68</v>
      </c>
      <c r="O363">
        <f>M363-0.022</f>
        <v>2.0000000000000018E-3</v>
      </c>
      <c r="P363">
        <f>0.026-M363</f>
        <v>1.9999999999999983E-3</v>
      </c>
      <c r="Q363" t="s">
        <v>69</v>
      </c>
      <c r="R363">
        <v>4</v>
      </c>
      <c r="S363">
        <v>5</v>
      </c>
      <c r="T363" t="s">
        <v>756</v>
      </c>
      <c r="U363" t="s">
        <v>156</v>
      </c>
      <c r="V363" t="s">
        <v>1284</v>
      </c>
      <c r="W363" t="s">
        <v>1285</v>
      </c>
      <c r="X363" t="s">
        <v>257</v>
      </c>
      <c r="Y363" t="s">
        <v>258</v>
      </c>
      <c r="Z363" t="s">
        <v>1290</v>
      </c>
      <c r="AA363" t="s">
        <v>73</v>
      </c>
      <c r="AB363" t="s">
        <v>74</v>
      </c>
      <c r="AC363" t="s">
        <v>38</v>
      </c>
      <c r="AD363" t="s">
        <v>39</v>
      </c>
      <c r="AE363" t="s">
        <v>465</v>
      </c>
      <c r="AF363">
        <v>48</v>
      </c>
      <c r="AG363" t="s">
        <v>77</v>
      </c>
      <c r="AH363" t="s">
        <v>50</v>
      </c>
      <c r="AI363" t="s">
        <v>46</v>
      </c>
      <c r="AJ363" t="s">
        <v>47</v>
      </c>
      <c r="AK363" t="s">
        <v>61</v>
      </c>
      <c r="AL363">
        <v>20</v>
      </c>
      <c r="AM363" t="s">
        <v>46</v>
      </c>
      <c r="AN363" t="s">
        <v>46</v>
      </c>
      <c r="AO363">
        <v>24</v>
      </c>
      <c r="AP363" t="s">
        <v>63</v>
      </c>
      <c r="AQ363" t="s">
        <v>46</v>
      </c>
      <c r="AR363" t="s">
        <v>50</v>
      </c>
      <c r="AS363" t="s">
        <v>1652</v>
      </c>
      <c r="AT363" t="s">
        <v>63</v>
      </c>
      <c r="AU363" t="s">
        <v>46</v>
      </c>
      <c r="AV363">
        <v>2009</v>
      </c>
      <c r="AW363" t="s">
        <v>46</v>
      </c>
    </row>
    <row r="364" spans="1:49" x14ac:dyDescent="0.2">
      <c r="A364">
        <v>363</v>
      </c>
      <c r="B364" t="s">
        <v>1278</v>
      </c>
      <c r="C364" t="s">
        <v>1279</v>
      </c>
      <c r="D364">
        <v>2.1</v>
      </c>
      <c r="E364" t="s">
        <v>68</v>
      </c>
      <c r="F364">
        <f>D364-1.8</f>
        <v>0.30000000000000004</v>
      </c>
      <c r="G364">
        <f>2.5-D364</f>
        <v>0.39999999999999991</v>
      </c>
      <c r="H364" t="s">
        <v>69</v>
      </c>
      <c r="I364">
        <v>4</v>
      </c>
      <c r="J364">
        <v>5</v>
      </c>
      <c r="K364" t="s">
        <v>756</v>
      </c>
      <c r="L364" t="s">
        <v>1282</v>
      </c>
      <c r="M364">
        <v>3.6</v>
      </c>
      <c r="N364" t="s">
        <v>68</v>
      </c>
      <c r="O364">
        <f>M364-3.2</f>
        <v>0.39999999999999991</v>
      </c>
      <c r="P364">
        <f>4.1-M364</f>
        <v>0.49999999999999956</v>
      </c>
      <c r="Q364" t="s">
        <v>69</v>
      </c>
      <c r="R364">
        <v>4</v>
      </c>
      <c r="S364">
        <v>5</v>
      </c>
      <c r="T364" t="s">
        <v>756</v>
      </c>
      <c r="U364" t="s">
        <v>156</v>
      </c>
      <c r="V364" t="s">
        <v>1286</v>
      </c>
      <c r="W364" t="s">
        <v>1287</v>
      </c>
      <c r="X364" t="s">
        <v>257</v>
      </c>
      <c r="Y364" t="s">
        <v>258</v>
      </c>
      <c r="Z364" t="s">
        <v>1290</v>
      </c>
      <c r="AA364" t="s">
        <v>73</v>
      </c>
      <c r="AB364" t="s">
        <v>74</v>
      </c>
      <c r="AC364" t="s">
        <v>38</v>
      </c>
      <c r="AD364" t="s">
        <v>39</v>
      </c>
      <c r="AE364" t="s">
        <v>465</v>
      </c>
      <c r="AF364">
        <v>48</v>
      </c>
      <c r="AG364" t="s">
        <v>40</v>
      </c>
      <c r="AH364" t="s">
        <v>50</v>
      </c>
      <c r="AI364" t="s">
        <v>46</v>
      </c>
      <c r="AJ364" t="s">
        <v>47</v>
      </c>
      <c r="AK364" t="s">
        <v>61</v>
      </c>
      <c r="AL364">
        <v>20</v>
      </c>
      <c r="AM364" t="s">
        <v>46</v>
      </c>
      <c r="AN364" t="s">
        <v>46</v>
      </c>
      <c r="AO364">
        <v>24</v>
      </c>
      <c r="AP364" t="s">
        <v>63</v>
      </c>
      <c r="AQ364" t="s">
        <v>46</v>
      </c>
      <c r="AR364" t="s">
        <v>50</v>
      </c>
      <c r="AS364" t="s">
        <v>1649</v>
      </c>
      <c r="AT364" t="s">
        <v>63</v>
      </c>
      <c r="AU364" t="s">
        <v>46</v>
      </c>
      <c r="AV364">
        <v>2009</v>
      </c>
      <c r="AW364" t="s">
        <v>46</v>
      </c>
    </row>
    <row r="365" spans="1:49" x14ac:dyDescent="0.2">
      <c r="A365">
        <v>364</v>
      </c>
      <c r="B365" t="s">
        <v>1278</v>
      </c>
      <c r="C365" t="s">
        <v>55</v>
      </c>
      <c r="D365" t="s">
        <v>1280</v>
      </c>
      <c r="E365" t="s">
        <v>68</v>
      </c>
      <c r="F365" t="s">
        <v>46</v>
      </c>
      <c r="G365" t="s">
        <v>46</v>
      </c>
      <c r="H365" t="s">
        <v>46</v>
      </c>
      <c r="I365">
        <v>4</v>
      </c>
      <c r="J365">
        <v>5</v>
      </c>
      <c r="K365" t="s">
        <v>756</v>
      </c>
      <c r="L365" t="s">
        <v>1283</v>
      </c>
      <c r="M365">
        <v>307</v>
      </c>
      <c r="N365" t="s">
        <v>68</v>
      </c>
      <c r="O365">
        <f>M365-299</f>
        <v>8</v>
      </c>
      <c r="P365">
        <f>315-M365</f>
        <v>8</v>
      </c>
      <c r="Q365" t="s">
        <v>69</v>
      </c>
      <c r="R365">
        <v>4</v>
      </c>
      <c r="S365">
        <v>5</v>
      </c>
      <c r="T365" t="s">
        <v>756</v>
      </c>
      <c r="U365" t="s">
        <v>156</v>
      </c>
      <c r="V365" t="s">
        <v>1288</v>
      </c>
      <c r="W365" t="s">
        <v>1289</v>
      </c>
      <c r="X365" t="s">
        <v>257</v>
      </c>
      <c r="Y365" t="s">
        <v>258</v>
      </c>
      <c r="Z365" t="s">
        <v>1290</v>
      </c>
      <c r="AA365" t="s">
        <v>73</v>
      </c>
      <c r="AB365" t="s">
        <v>74</v>
      </c>
      <c r="AC365" t="s">
        <v>38</v>
      </c>
      <c r="AD365" t="s">
        <v>39</v>
      </c>
      <c r="AE365" t="s">
        <v>465</v>
      </c>
      <c r="AF365">
        <v>48</v>
      </c>
      <c r="AG365" t="s">
        <v>40</v>
      </c>
      <c r="AH365" t="s">
        <v>50</v>
      </c>
      <c r="AI365" t="s">
        <v>46</v>
      </c>
      <c r="AJ365" t="s">
        <v>47</v>
      </c>
      <c r="AK365" t="s">
        <v>61</v>
      </c>
      <c r="AL365">
        <v>20</v>
      </c>
      <c r="AM365" t="s">
        <v>46</v>
      </c>
      <c r="AN365" t="s">
        <v>46</v>
      </c>
      <c r="AO365">
        <v>24</v>
      </c>
      <c r="AP365" t="s">
        <v>63</v>
      </c>
      <c r="AQ365" t="s">
        <v>46</v>
      </c>
      <c r="AR365" t="s">
        <v>63</v>
      </c>
      <c r="AS365" t="s">
        <v>46</v>
      </c>
      <c r="AT365" t="s">
        <v>63</v>
      </c>
      <c r="AU365" t="s">
        <v>46</v>
      </c>
      <c r="AV365">
        <v>2009</v>
      </c>
      <c r="AW365" t="s">
        <v>46</v>
      </c>
    </row>
    <row r="366" spans="1:49" x14ac:dyDescent="0.2">
      <c r="A366">
        <v>365</v>
      </c>
      <c r="B366" t="s">
        <v>1278</v>
      </c>
      <c r="C366" t="s">
        <v>253</v>
      </c>
      <c r="D366">
        <v>108</v>
      </c>
      <c r="E366" t="s">
        <v>68</v>
      </c>
      <c r="F366">
        <f>D366-87</f>
        <v>21</v>
      </c>
      <c r="G366">
        <f>126-D366</f>
        <v>18</v>
      </c>
      <c r="H366" t="s">
        <v>69</v>
      </c>
      <c r="I366">
        <v>3</v>
      </c>
      <c r="J366">
        <v>1</v>
      </c>
      <c r="K366" t="s">
        <v>725</v>
      </c>
      <c r="L366" t="s">
        <v>1281</v>
      </c>
      <c r="M366">
        <v>184</v>
      </c>
      <c r="N366" t="s">
        <v>68</v>
      </c>
      <c r="O366">
        <f>M366-164</f>
        <v>20</v>
      </c>
      <c r="P366">
        <f>206-M366</f>
        <v>22</v>
      </c>
      <c r="Q366" t="s">
        <v>69</v>
      </c>
      <c r="R366">
        <v>3</v>
      </c>
      <c r="S366">
        <v>1</v>
      </c>
      <c r="T366" t="s">
        <v>725</v>
      </c>
      <c r="U366" t="s">
        <v>156</v>
      </c>
      <c r="V366" t="s">
        <v>1291</v>
      </c>
      <c r="W366" t="s">
        <v>1292</v>
      </c>
      <c r="X366" t="s">
        <v>571</v>
      </c>
      <c r="Y366" t="s">
        <v>46</v>
      </c>
      <c r="Z366" t="s">
        <v>46</v>
      </c>
      <c r="AA366" t="s">
        <v>426</v>
      </c>
      <c r="AB366" t="s">
        <v>427</v>
      </c>
      <c r="AC366" t="s">
        <v>428</v>
      </c>
      <c r="AD366" t="s">
        <v>39</v>
      </c>
      <c r="AE366" t="s">
        <v>46</v>
      </c>
      <c r="AF366">
        <v>96</v>
      </c>
      <c r="AG366" t="s">
        <v>77</v>
      </c>
      <c r="AH366" t="s">
        <v>50</v>
      </c>
      <c r="AI366" t="s">
        <v>46</v>
      </c>
      <c r="AJ366" t="s">
        <v>47</v>
      </c>
      <c r="AK366" t="s">
        <v>61</v>
      </c>
      <c r="AL366">
        <v>20</v>
      </c>
      <c r="AM366" t="s">
        <v>46</v>
      </c>
      <c r="AN366" t="s">
        <v>46</v>
      </c>
      <c r="AO366" t="s">
        <v>46</v>
      </c>
      <c r="AP366" t="s">
        <v>63</v>
      </c>
      <c r="AQ366" t="s">
        <v>46</v>
      </c>
      <c r="AR366" t="s">
        <v>50</v>
      </c>
      <c r="AS366" t="s">
        <v>1652</v>
      </c>
      <c r="AT366" t="s">
        <v>63</v>
      </c>
      <c r="AU366" t="s">
        <v>46</v>
      </c>
      <c r="AV366">
        <v>2009</v>
      </c>
      <c r="AW366" t="s">
        <v>46</v>
      </c>
    </row>
    <row r="367" spans="1:49" x14ac:dyDescent="0.2">
      <c r="A367">
        <v>366</v>
      </c>
      <c r="B367" t="s">
        <v>1278</v>
      </c>
      <c r="C367" t="s">
        <v>1279</v>
      </c>
      <c r="D367">
        <v>3.1E-2</v>
      </c>
      <c r="E367" t="s">
        <v>68</v>
      </c>
      <c r="F367">
        <f>D367-0.023</f>
        <v>8.0000000000000002E-3</v>
      </c>
      <c r="G367">
        <f>0.037-D367</f>
        <v>5.9999999999999984E-3</v>
      </c>
      <c r="H367" t="s">
        <v>69</v>
      </c>
      <c r="I367">
        <v>3</v>
      </c>
      <c r="J367">
        <v>1</v>
      </c>
      <c r="K367" t="s">
        <v>725</v>
      </c>
      <c r="L367" t="s">
        <v>1282</v>
      </c>
      <c r="M367">
        <v>1.2E-2</v>
      </c>
      <c r="N367" t="s">
        <v>68</v>
      </c>
      <c r="O367">
        <f>M367-0.009</f>
        <v>3.0000000000000009E-3</v>
      </c>
      <c r="P367">
        <f>0.018-M367</f>
        <v>5.9999999999999984E-3</v>
      </c>
      <c r="Q367" t="s">
        <v>69</v>
      </c>
      <c r="R367">
        <v>3</v>
      </c>
      <c r="S367">
        <v>1</v>
      </c>
      <c r="T367" t="s">
        <v>725</v>
      </c>
      <c r="U367" t="s">
        <v>156</v>
      </c>
      <c r="V367" t="s">
        <v>1293</v>
      </c>
      <c r="W367" t="s">
        <v>1295</v>
      </c>
      <c r="X367" t="s">
        <v>571</v>
      </c>
      <c r="Y367" t="s">
        <v>46</v>
      </c>
      <c r="Z367" t="s">
        <v>46</v>
      </c>
      <c r="AA367" t="s">
        <v>426</v>
      </c>
      <c r="AB367" t="s">
        <v>427</v>
      </c>
      <c r="AC367" t="s">
        <v>428</v>
      </c>
      <c r="AD367" t="s">
        <v>39</v>
      </c>
      <c r="AE367" t="s">
        <v>46</v>
      </c>
      <c r="AF367">
        <v>96</v>
      </c>
      <c r="AG367" t="s">
        <v>40</v>
      </c>
      <c r="AH367" t="s">
        <v>50</v>
      </c>
      <c r="AI367" t="s">
        <v>46</v>
      </c>
      <c r="AJ367" t="s">
        <v>47</v>
      </c>
      <c r="AK367" t="s">
        <v>61</v>
      </c>
      <c r="AL367">
        <v>20</v>
      </c>
      <c r="AM367" t="s">
        <v>46</v>
      </c>
      <c r="AN367" t="s">
        <v>46</v>
      </c>
      <c r="AO367" t="s">
        <v>46</v>
      </c>
      <c r="AP367" t="s">
        <v>63</v>
      </c>
      <c r="AQ367" t="s">
        <v>46</v>
      </c>
      <c r="AR367" t="s">
        <v>50</v>
      </c>
      <c r="AS367" t="s">
        <v>1649</v>
      </c>
      <c r="AT367" t="s">
        <v>63</v>
      </c>
      <c r="AU367" t="s">
        <v>46</v>
      </c>
      <c r="AV367">
        <v>2009</v>
      </c>
      <c r="AW367" t="s">
        <v>46</v>
      </c>
    </row>
    <row r="368" spans="1:49" x14ac:dyDescent="0.2">
      <c r="A368">
        <v>367</v>
      </c>
      <c r="B368" t="s">
        <v>1278</v>
      </c>
      <c r="C368" t="s">
        <v>55</v>
      </c>
      <c r="D368">
        <v>129</v>
      </c>
      <c r="E368" t="s">
        <v>68</v>
      </c>
      <c r="F368">
        <f>D368-108</f>
        <v>21</v>
      </c>
      <c r="G368">
        <f>158-D368</f>
        <v>29</v>
      </c>
      <c r="H368" t="s">
        <v>69</v>
      </c>
      <c r="I368">
        <v>3</v>
      </c>
      <c r="J368">
        <v>1</v>
      </c>
      <c r="K368" t="s">
        <v>725</v>
      </c>
      <c r="L368" t="s">
        <v>1283</v>
      </c>
      <c r="M368">
        <v>71</v>
      </c>
      <c r="N368" t="s">
        <v>68</v>
      </c>
      <c r="O368">
        <f>M368-63</f>
        <v>8</v>
      </c>
      <c r="P368">
        <f>79-M368</f>
        <v>8</v>
      </c>
      <c r="Q368" t="s">
        <v>69</v>
      </c>
      <c r="R368">
        <v>3</v>
      </c>
      <c r="S368">
        <v>1</v>
      </c>
      <c r="T368" t="s">
        <v>725</v>
      </c>
      <c r="U368" t="s">
        <v>156</v>
      </c>
      <c r="V368" t="s">
        <v>1294</v>
      </c>
      <c r="W368" t="s">
        <v>1296</v>
      </c>
      <c r="X368" t="s">
        <v>571</v>
      </c>
      <c r="Y368" t="s">
        <v>46</v>
      </c>
      <c r="Z368" t="s">
        <v>46</v>
      </c>
      <c r="AA368" t="s">
        <v>426</v>
      </c>
      <c r="AB368" t="s">
        <v>427</v>
      </c>
      <c r="AC368" t="s">
        <v>428</v>
      </c>
      <c r="AD368" t="s">
        <v>39</v>
      </c>
      <c r="AE368" t="s">
        <v>46</v>
      </c>
      <c r="AF368">
        <v>96</v>
      </c>
      <c r="AG368" t="s">
        <v>40</v>
      </c>
      <c r="AH368" t="s">
        <v>50</v>
      </c>
      <c r="AI368" t="s">
        <v>46</v>
      </c>
      <c r="AJ368" t="s">
        <v>47</v>
      </c>
      <c r="AK368" t="s">
        <v>61</v>
      </c>
      <c r="AL368">
        <v>20</v>
      </c>
      <c r="AM368" t="s">
        <v>46</v>
      </c>
      <c r="AN368" t="s">
        <v>46</v>
      </c>
      <c r="AO368" t="s">
        <v>46</v>
      </c>
      <c r="AP368" t="s">
        <v>63</v>
      </c>
      <c r="AQ368" t="s">
        <v>46</v>
      </c>
      <c r="AR368" t="s">
        <v>50</v>
      </c>
      <c r="AS368" t="s">
        <v>46</v>
      </c>
      <c r="AT368" t="s">
        <v>63</v>
      </c>
      <c r="AU368" t="s">
        <v>46</v>
      </c>
      <c r="AV368">
        <v>2009</v>
      </c>
      <c r="AW368" t="s">
        <v>46</v>
      </c>
    </row>
    <row r="369" spans="1:49" x14ac:dyDescent="0.2">
      <c r="A369">
        <v>368</v>
      </c>
      <c r="B369" t="s">
        <v>1297</v>
      </c>
      <c r="C369" t="s">
        <v>455</v>
      </c>
      <c r="D369" t="s">
        <v>1298</v>
      </c>
      <c r="E369" t="s">
        <v>42</v>
      </c>
      <c r="F369" t="s">
        <v>46</v>
      </c>
      <c r="G369" t="s">
        <v>46</v>
      </c>
      <c r="H369" t="s">
        <v>46</v>
      </c>
      <c r="I369">
        <v>4</v>
      </c>
      <c r="J369">
        <v>10</v>
      </c>
      <c r="K369" t="s">
        <v>990</v>
      </c>
      <c r="L369" t="s">
        <v>457</v>
      </c>
      <c r="M369" t="s">
        <v>1298</v>
      </c>
      <c r="N369" t="s">
        <v>42</v>
      </c>
      <c r="O369" t="s">
        <v>46</v>
      </c>
      <c r="P369" t="s">
        <v>46</v>
      </c>
      <c r="Q369" t="s">
        <v>46</v>
      </c>
      <c r="R369">
        <v>4</v>
      </c>
      <c r="S369">
        <v>10</v>
      </c>
      <c r="T369" t="s">
        <v>990</v>
      </c>
      <c r="U369" t="s">
        <v>1299</v>
      </c>
      <c r="V369" t="s">
        <v>1300</v>
      </c>
      <c r="W369" t="s">
        <v>1306</v>
      </c>
      <c r="X369" t="s">
        <v>534</v>
      </c>
      <c r="Y369" t="s">
        <v>46</v>
      </c>
      <c r="Z369" t="s">
        <v>1302</v>
      </c>
      <c r="AA369" t="s">
        <v>535</v>
      </c>
      <c r="AB369" t="s">
        <v>536</v>
      </c>
      <c r="AC369" t="s">
        <v>38</v>
      </c>
      <c r="AD369" t="s">
        <v>169</v>
      </c>
      <c r="AE369" t="s">
        <v>75</v>
      </c>
      <c r="AF369">
        <f t="shared" ref="AF369:AF376" si="3">28*24</f>
        <v>672</v>
      </c>
      <c r="AG369" t="s">
        <v>77</v>
      </c>
      <c r="AH369" t="s">
        <v>50</v>
      </c>
      <c r="AI369" t="s">
        <v>46</v>
      </c>
      <c r="AJ369" t="s">
        <v>47</v>
      </c>
      <c r="AK369" t="s">
        <v>48</v>
      </c>
      <c r="AL369">
        <v>20</v>
      </c>
      <c r="AM369" t="s">
        <v>46</v>
      </c>
      <c r="AN369" t="s">
        <v>76</v>
      </c>
      <c r="AO369">
        <f>60*24</f>
        <v>1440</v>
      </c>
      <c r="AP369" t="s">
        <v>63</v>
      </c>
      <c r="AQ369" t="s">
        <v>46</v>
      </c>
      <c r="AR369" t="s">
        <v>63</v>
      </c>
      <c r="AS369" t="s">
        <v>1633</v>
      </c>
      <c r="AT369" t="s">
        <v>63</v>
      </c>
      <c r="AU369" t="s">
        <v>46</v>
      </c>
      <c r="AV369">
        <v>2020</v>
      </c>
      <c r="AW369" t="s">
        <v>46</v>
      </c>
    </row>
    <row r="370" spans="1:49" x14ac:dyDescent="0.2">
      <c r="A370">
        <v>369</v>
      </c>
      <c r="B370" t="s">
        <v>1297</v>
      </c>
      <c r="C370" t="s">
        <v>1303</v>
      </c>
      <c r="D370">
        <v>0.8</v>
      </c>
      <c r="E370" t="s">
        <v>42</v>
      </c>
      <c r="F370">
        <f>D370-0.3</f>
        <v>0.5</v>
      </c>
      <c r="G370">
        <f>1-D370</f>
        <v>0.19999999999999996</v>
      </c>
      <c r="H370" t="s">
        <v>69</v>
      </c>
      <c r="I370">
        <v>4</v>
      </c>
      <c r="J370">
        <v>10</v>
      </c>
      <c r="K370" t="s">
        <v>990</v>
      </c>
      <c r="L370" t="s">
        <v>1304</v>
      </c>
      <c r="M370">
        <v>0.8</v>
      </c>
      <c r="N370" t="s">
        <v>42</v>
      </c>
      <c r="O370">
        <f>M370-0.3</f>
        <v>0.5</v>
      </c>
      <c r="P370">
        <f>1-M370</f>
        <v>0.19999999999999996</v>
      </c>
      <c r="Q370" t="s">
        <v>69</v>
      </c>
      <c r="R370">
        <v>4</v>
      </c>
      <c r="S370">
        <v>10</v>
      </c>
      <c r="T370" t="s">
        <v>990</v>
      </c>
      <c r="U370" t="s">
        <v>1299</v>
      </c>
      <c r="V370" t="s">
        <v>1305</v>
      </c>
      <c r="W370" t="s">
        <v>1307</v>
      </c>
      <c r="X370" t="s">
        <v>534</v>
      </c>
      <c r="Y370" t="s">
        <v>46</v>
      </c>
      <c r="Z370" t="s">
        <v>1302</v>
      </c>
      <c r="AA370" t="s">
        <v>535</v>
      </c>
      <c r="AB370" t="s">
        <v>536</v>
      </c>
      <c r="AC370" t="s">
        <v>38</v>
      </c>
      <c r="AD370" t="s">
        <v>169</v>
      </c>
      <c r="AE370" t="s">
        <v>75</v>
      </c>
      <c r="AF370">
        <f t="shared" si="3"/>
        <v>672</v>
      </c>
      <c r="AG370" t="s">
        <v>77</v>
      </c>
      <c r="AH370" t="s">
        <v>50</v>
      </c>
      <c r="AI370" t="s">
        <v>46</v>
      </c>
      <c r="AJ370" t="s">
        <v>47</v>
      </c>
      <c r="AK370" t="s">
        <v>48</v>
      </c>
      <c r="AL370">
        <v>20</v>
      </c>
      <c r="AM370" t="s">
        <v>46</v>
      </c>
      <c r="AN370" t="s">
        <v>76</v>
      </c>
      <c r="AO370">
        <f>60*24</f>
        <v>1440</v>
      </c>
      <c r="AP370" t="s">
        <v>63</v>
      </c>
      <c r="AQ370" t="s">
        <v>46</v>
      </c>
      <c r="AR370" t="s">
        <v>50</v>
      </c>
      <c r="AS370" t="s">
        <v>1653</v>
      </c>
      <c r="AT370" t="s">
        <v>63</v>
      </c>
      <c r="AU370" t="s">
        <v>46</v>
      </c>
      <c r="AV370">
        <v>2020</v>
      </c>
      <c r="AW370" t="s">
        <v>46</v>
      </c>
    </row>
    <row r="371" spans="1:49" x14ac:dyDescent="0.2">
      <c r="A371">
        <v>370</v>
      </c>
      <c r="B371" t="s">
        <v>1297</v>
      </c>
      <c r="C371" t="s">
        <v>529</v>
      </c>
      <c r="D371">
        <v>8</v>
      </c>
      <c r="E371" t="s">
        <v>42</v>
      </c>
      <c r="F371" t="s">
        <v>46</v>
      </c>
      <c r="G371" t="s">
        <v>46</v>
      </c>
      <c r="H371" t="s">
        <v>46</v>
      </c>
      <c r="I371">
        <v>4</v>
      </c>
      <c r="J371">
        <v>10</v>
      </c>
      <c r="K371" t="s">
        <v>990</v>
      </c>
      <c r="L371" t="s">
        <v>531</v>
      </c>
      <c r="M371">
        <v>7</v>
      </c>
      <c r="N371" t="s">
        <v>42</v>
      </c>
      <c r="O371">
        <f>M371-6.5</f>
        <v>0.5</v>
      </c>
      <c r="P371">
        <f>7.5-M371</f>
        <v>0.5</v>
      </c>
      <c r="Q371" t="s">
        <v>69</v>
      </c>
      <c r="R371">
        <v>4</v>
      </c>
      <c r="S371">
        <v>10</v>
      </c>
      <c r="T371" t="s">
        <v>990</v>
      </c>
      <c r="U371" t="s">
        <v>1299</v>
      </c>
      <c r="V371" t="s">
        <v>1308</v>
      </c>
      <c r="W371" t="s">
        <v>1309</v>
      </c>
      <c r="X371" t="s">
        <v>534</v>
      </c>
      <c r="Y371" t="s">
        <v>46</v>
      </c>
      <c r="Z371" t="s">
        <v>1302</v>
      </c>
      <c r="AA371" t="s">
        <v>535</v>
      </c>
      <c r="AB371" t="s">
        <v>536</v>
      </c>
      <c r="AC371" t="s">
        <v>38</v>
      </c>
      <c r="AD371" t="s">
        <v>169</v>
      </c>
      <c r="AE371" t="s">
        <v>75</v>
      </c>
      <c r="AF371">
        <f t="shared" si="3"/>
        <v>672</v>
      </c>
      <c r="AG371" t="s">
        <v>77</v>
      </c>
      <c r="AH371" t="s">
        <v>50</v>
      </c>
      <c r="AI371" t="s">
        <v>46</v>
      </c>
      <c r="AJ371" t="s">
        <v>47</v>
      </c>
      <c r="AK371" t="s">
        <v>48</v>
      </c>
      <c r="AL371">
        <v>20</v>
      </c>
      <c r="AM371" t="s">
        <v>46</v>
      </c>
      <c r="AN371" t="s">
        <v>76</v>
      </c>
      <c r="AO371">
        <f>60*24</f>
        <v>1440</v>
      </c>
      <c r="AP371" t="s">
        <v>63</v>
      </c>
      <c r="AQ371" t="s">
        <v>46</v>
      </c>
      <c r="AR371" t="s">
        <v>50</v>
      </c>
      <c r="AS371" t="s">
        <v>1649</v>
      </c>
      <c r="AT371" t="s">
        <v>63</v>
      </c>
      <c r="AU371" t="s">
        <v>46</v>
      </c>
      <c r="AV371">
        <v>2020</v>
      </c>
      <c r="AW371" t="s">
        <v>1310</v>
      </c>
    </row>
    <row r="372" spans="1:49" x14ac:dyDescent="0.2">
      <c r="A372">
        <v>371</v>
      </c>
      <c r="B372" t="s">
        <v>1297</v>
      </c>
      <c r="C372" t="s">
        <v>201</v>
      </c>
      <c r="D372">
        <v>1</v>
      </c>
      <c r="E372" t="s">
        <v>42</v>
      </c>
      <c r="F372">
        <f>D372-0</f>
        <v>1</v>
      </c>
      <c r="G372">
        <f>2.5-D372</f>
        <v>1.5</v>
      </c>
      <c r="H372" t="s">
        <v>69</v>
      </c>
      <c r="I372">
        <v>4</v>
      </c>
      <c r="J372">
        <v>10</v>
      </c>
      <c r="K372" t="s">
        <v>990</v>
      </c>
      <c r="L372" t="s">
        <v>929</v>
      </c>
      <c r="M372">
        <v>0.8</v>
      </c>
      <c r="N372" t="s">
        <v>42</v>
      </c>
      <c r="O372">
        <f>M372-0.6</f>
        <v>0.20000000000000007</v>
      </c>
      <c r="P372">
        <f>1-M372</f>
        <v>0.19999999999999996</v>
      </c>
      <c r="Q372" t="s">
        <v>69</v>
      </c>
      <c r="R372">
        <v>4</v>
      </c>
      <c r="S372">
        <v>10</v>
      </c>
      <c r="T372" t="s">
        <v>990</v>
      </c>
      <c r="U372" t="s">
        <v>1299</v>
      </c>
      <c r="V372" t="s">
        <v>1311</v>
      </c>
      <c r="W372" t="s">
        <v>1312</v>
      </c>
      <c r="X372" t="s">
        <v>534</v>
      </c>
      <c r="Y372" t="s">
        <v>46</v>
      </c>
      <c r="Z372" t="s">
        <v>1302</v>
      </c>
      <c r="AA372" t="s">
        <v>535</v>
      </c>
      <c r="AB372" t="s">
        <v>536</v>
      </c>
      <c r="AC372" t="s">
        <v>38</v>
      </c>
      <c r="AD372" t="s">
        <v>169</v>
      </c>
      <c r="AE372" t="s">
        <v>75</v>
      </c>
      <c r="AF372">
        <f t="shared" si="3"/>
        <v>672</v>
      </c>
      <c r="AG372" t="s">
        <v>77</v>
      </c>
      <c r="AH372" t="s">
        <v>50</v>
      </c>
      <c r="AI372" t="s">
        <v>46</v>
      </c>
      <c r="AJ372" t="s">
        <v>47</v>
      </c>
      <c r="AK372" t="s">
        <v>48</v>
      </c>
      <c r="AL372">
        <v>20</v>
      </c>
      <c r="AM372" t="s">
        <v>46</v>
      </c>
      <c r="AN372" t="s">
        <v>76</v>
      </c>
      <c r="AO372">
        <f>60*24</f>
        <v>1440</v>
      </c>
      <c r="AP372" t="s">
        <v>63</v>
      </c>
      <c r="AQ372" t="s">
        <v>46</v>
      </c>
      <c r="AR372" t="s">
        <v>50</v>
      </c>
      <c r="AS372" t="s">
        <v>1654</v>
      </c>
      <c r="AT372" t="s">
        <v>63</v>
      </c>
      <c r="AU372" t="s">
        <v>46</v>
      </c>
      <c r="AV372">
        <v>2020</v>
      </c>
      <c r="AW372" t="s">
        <v>46</v>
      </c>
    </row>
    <row r="373" spans="1:49" x14ac:dyDescent="0.2">
      <c r="A373">
        <v>372</v>
      </c>
      <c r="B373" t="s">
        <v>1297</v>
      </c>
      <c r="C373" t="s">
        <v>455</v>
      </c>
      <c r="D373">
        <v>0.32</v>
      </c>
      <c r="E373" t="s">
        <v>42</v>
      </c>
      <c r="F373">
        <f>D373-0.3</f>
        <v>2.0000000000000018E-2</v>
      </c>
      <c r="G373">
        <f>0.4-D373</f>
        <v>8.0000000000000016E-2</v>
      </c>
      <c r="H373" t="s">
        <v>69</v>
      </c>
      <c r="I373">
        <v>5</v>
      </c>
      <c r="J373">
        <v>10</v>
      </c>
      <c r="K373" t="s">
        <v>456</v>
      </c>
      <c r="L373" t="s">
        <v>457</v>
      </c>
      <c r="M373">
        <v>0.33</v>
      </c>
      <c r="N373" t="s">
        <v>42</v>
      </c>
      <c r="O373">
        <f>M373-0.3</f>
        <v>3.0000000000000027E-2</v>
      </c>
      <c r="P373">
        <f>0.4-M373</f>
        <v>7.0000000000000007E-2</v>
      </c>
      <c r="Q373" t="s">
        <v>69</v>
      </c>
      <c r="R373">
        <v>5</v>
      </c>
      <c r="S373">
        <v>10</v>
      </c>
      <c r="T373" t="s">
        <v>456</v>
      </c>
      <c r="U373" t="s">
        <v>1299</v>
      </c>
      <c r="V373" t="s">
        <v>1313</v>
      </c>
      <c r="W373" t="s">
        <v>1314</v>
      </c>
      <c r="X373" t="s">
        <v>461</v>
      </c>
      <c r="Y373" t="s">
        <v>46</v>
      </c>
      <c r="Z373" t="s">
        <v>1302</v>
      </c>
      <c r="AA373" t="s">
        <v>462</v>
      </c>
      <c r="AB373" t="s">
        <v>74</v>
      </c>
      <c r="AC373" t="s">
        <v>38</v>
      </c>
      <c r="AD373" t="s">
        <v>169</v>
      </c>
      <c r="AE373" t="s">
        <v>90</v>
      </c>
      <c r="AF373">
        <f t="shared" si="3"/>
        <v>672</v>
      </c>
      <c r="AG373" t="s">
        <v>77</v>
      </c>
      <c r="AH373" t="s">
        <v>50</v>
      </c>
      <c r="AI373" t="s">
        <v>46</v>
      </c>
      <c r="AJ373" t="s">
        <v>47</v>
      </c>
      <c r="AK373" t="s">
        <v>48</v>
      </c>
      <c r="AL373">
        <v>20</v>
      </c>
      <c r="AM373" t="s">
        <v>46</v>
      </c>
      <c r="AN373" t="s">
        <v>76</v>
      </c>
      <c r="AO373">
        <f>11*24</f>
        <v>264</v>
      </c>
      <c r="AP373" t="s">
        <v>63</v>
      </c>
      <c r="AQ373" t="s">
        <v>46</v>
      </c>
      <c r="AR373" t="s">
        <v>50</v>
      </c>
      <c r="AS373" t="s">
        <v>1633</v>
      </c>
      <c r="AT373" t="s">
        <v>63</v>
      </c>
      <c r="AU373" t="s">
        <v>46</v>
      </c>
      <c r="AV373">
        <v>2020</v>
      </c>
      <c r="AW373" t="s">
        <v>46</v>
      </c>
    </row>
    <row r="374" spans="1:49" x14ac:dyDescent="0.2">
      <c r="A374">
        <v>373</v>
      </c>
      <c r="B374" t="s">
        <v>1297</v>
      </c>
      <c r="C374" t="s">
        <v>1303</v>
      </c>
      <c r="D374">
        <v>0.12</v>
      </c>
      <c r="E374" t="s">
        <v>42</v>
      </c>
      <c r="F374">
        <f>D374-0.1</f>
        <v>1.999999999999999E-2</v>
      </c>
      <c r="G374">
        <f>0.15-D374</f>
        <v>0.03</v>
      </c>
      <c r="H374" t="s">
        <v>69</v>
      </c>
      <c r="I374">
        <v>5</v>
      </c>
      <c r="J374">
        <v>10</v>
      </c>
      <c r="K374" t="s">
        <v>456</v>
      </c>
      <c r="L374" t="s">
        <v>1304</v>
      </c>
      <c r="M374">
        <v>0.42</v>
      </c>
      <c r="N374" t="s">
        <v>42</v>
      </c>
      <c r="O374">
        <f>M374-0.3</f>
        <v>0.12</v>
      </c>
      <c r="P374">
        <f>0.5-M374</f>
        <v>8.0000000000000016E-2</v>
      </c>
      <c r="Q374" t="s">
        <v>69</v>
      </c>
      <c r="R374">
        <v>5</v>
      </c>
      <c r="S374">
        <v>10</v>
      </c>
      <c r="T374" t="s">
        <v>456</v>
      </c>
      <c r="U374" t="s">
        <v>1299</v>
      </c>
      <c r="V374" t="s">
        <v>1315</v>
      </c>
      <c r="W374" t="s">
        <v>1316</v>
      </c>
      <c r="X374" t="s">
        <v>461</v>
      </c>
      <c r="Y374" t="s">
        <v>46</v>
      </c>
      <c r="Z374" t="s">
        <v>1302</v>
      </c>
      <c r="AA374" t="s">
        <v>462</v>
      </c>
      <c r="AB374" t="s">
        <v>74</v>
      </c>
      <c r="AC374" t="s">
        <v>38</v>
      </c>
      <c r="AD374" t="s">
        <v>169</v>
      </c>
      <c r="AE374" t="s">
        <v>90</v>
      </c>
      <c r="AF374">
        <f t="shared" si="3"/>
        <v>672</v>
      </c>
      <c r="AG374" t="s">
        <v>77</v>
      </c>
      <c r="AH374" t="s">
        <v>50</v>
      </c>
      <c r="AI374" t="s">
        <v>46</v>
      </c>
      <c r="AJ374" t="s">
        <v>47</v>
      </c>
      <c r="AK374" t="s">
        <v>48</v>
      </c>
      <c r="AL374">
        <v>20</v>
      </c>
      <c r="AM374" t="s">
        <v>46</v>
      </c>
      <c r="AN374" t="s">
        <v>76</v>
      </c>
      <c r="AO374">
        <f>11*24</f>
        <v>264</v>
      </c>
      <c r="AP374" t="s">
        <v>63</v>
      </c>
      <c r="AQ374" t="s">
        <v>46</v>
      </c>
      <c r="AR374" t="s">
        <v>50</v>
      </c>
      <c r="AS374" t="s">
        <v>1653</v>
      </c>
      <c r="AT374" t="s">
        <v>63</v>
      </c>
      <c r="AU374" t="s">
        <v>46</v>
      </c>
      <c r="AV374">
        <v>2020</v>
      </c>
      <c r="AW374" t="s">
        <v>46</v>
      </c>
    </row>
    <row r="375" spans="1:49" x14ac:dyDescent="0.2">
      <c r="A375">
        <v>374</v>
      </c>
      <c r="B375" t="s">
        <v>1297</v>
      </c>
      <c r="C375" t="s">
        <v>529</v>
      </c>
      <c r="D375">
        <v>5</v>
      </c>
      <c r="E375" t="s">
        <v>42</v>
      </c>
      <c r="F375">
        <f>D375-4</f>
        <v>1</v>
      </c>
      <c r="G375">
        <f>7-D375</f>
        <v>2</v>
      </c>
      <c r="H375" t="s">
        <v>69</v>
      </c>
      <c r="I375">
        <v>5</v>
      </c>
      <c r="J375">
        <v>10</v>
      </c>
      <c r="K375" t="s">
        <v>456</v>
      </c>
      <c r="L375" t="s">
        <v>531</v>
      </c>
      <c r="M375">
        <v>4.3</v>
      </c>
      <c r="N375" t="s">
        <v>42</v>
      </c>
      <c r="O375">
        <f>M375-3</f>
        <v>1.2999999999999998</v>
      </c>
      <c r="P375">
        <f>6-M375</f>
        <v>1.7000000000000002</v>
      </c>
      <c r="Q375" t="s">
        <v>69</v>
      </c>
      <c r="R375">
        <v>5</v>
      </c>
      <c r="S375">
        <v>10</v>
      </c>
      <c r="T375" t="s">
        <v>456</v>
      </c>
      <c r="U375" t="s">
        <v>1299</v>
      </c>
      <c r="V375" t="s">
        <v>1317</v>
      </c>
      <c r="W375" t="s">
        <v>1301</v>
      </c>
      <c r="X375" t="s">
        <v>461</v>
      </c>
      <c r="Y375" t="s">
        <v>46</v>
      </c>
      <c r="Z375" t="s">
        <v>1302</v>
      </c>
      <c r="AA375" t="s">
        <v>462</v>
      </c>
      <c r="AB375" t="s">
        <v>74</v>
      </c>
      <c r="AC375" t="s">
        <v>38</v>
      </c>
      <c r="AD375" t="s">
        <v>169</v>
      </c>
      <c r="AE375" t="s">
        <v>90</v>
      </c>
      <c r="AF375">
        <f t="shared" si="3"/>
        <v>672</v>
      </c>
      <c r="AG375" t="s">
        <v>77</v>
      </c>
      <c r="AH375" t="s">
        <v>50</v>
      </c>
      <c r="AI375" t="s">
        <v>46</v>
      </c>
      <c r="AJ375" t="s">
        <v>47</v>
      </c>
      <c r="AK375" t="s">
        <v>48</v>
      </c>
      <c r="AL375">
        <v>20</v>
      </c>
      <c r="AM375" t="s">
        <v>46</v>
      </c>
      <c r="AN375" t="s">
        <v>76</v>
      </c>
      <c r="AO375">
        <f>11*24</f>
        <v>264</v>
      </c>
      <c r="AP375" t="s">
        <v>63</v>
      </c>
      <c r="AQ375" t="s">
        <v>46</v>
      </c>
      <c r="AR375" t="s">
        <v>50</v>
      </c>
      <c r="AS375" t="s">
        <v>1649</v>
      </c>
      <c r="AT375" t="s">
        <v>63</v>
      </c>
      <c r="AU375" t="s">
        <v>46</v>
      </c>
      <c r="AV375">
        <v>2020</v>
      </c>
      <c r="AW375" t="s">
        <v>46</v>
      </c>
    </row>
    <row r="376" spans="1:49" x14ac:dyDescent="0.2">
      <c r="A376">
        <v>375</v>
      </c>
      <c r="B376" t="s">
        <v>1297</v>
      </c>
      <c r="C376" t="s">
        <v>201</v>
      </c>
      <c r="D376">
        <v>0.55000000000000004</v>
      </c>
      <c r="E376" t="s">
        <v>42</v>
      </c>
      <c r="F376">
        <f>D376-0.06</f>
        <v>0.49000000000000005</v>
      </c>
      <c r="G376">
        <f>1-D376</f>
        <v>0.44999999999999996</v>
      </c>
      <c r="H376" t="s">
        <v>69</v>
      </c>
      <c r="I376">
        <v>5</v>
      </c>
      <c r="J376">
        <v>10</v>
      </c>
      <c r="K376" t="s">
        <v>456</v>
      </c>
      <c r="L376" t="s">
        <v>929</v>
      </c>
      <c r="M376">
        <v>1</v>
      </c>
      <c r="N376" t="s">
        <v>42</v>
      </c>
      <c r="O376">
        <f>M376-0.3</f>
        <v>0.7</v>
      </c>
      <c r="P376">
        <f>2-M376</f>
        <v>1</v>
      </c>
      <c r="Q376" t="s">
        <v>69</v>
      </c>
      <c r="R376">
        <v>5</v>
      </c>
      <c r="S376">
        <v>10</v>
      </c>
      <c r="T376" t="s">
        <v>456</v>
      </c>
      <c r="U376" t="s">
        <v>1299</v>
      </c>
      <c r="V376" t="s">
        <v>1318</v>
      </c>
      <c r="W376" t="s">
        <v>1319</v>
      </c>
      <c r="X376" t="s">
        <v>461</v>
      </c>
      <c r="Y376" t="s">
        <v>46</v>
      </c>
      <c r="Z376" t="s">
        <v>1302</v>
      </c>
      <c r="AA376" t="s">
        <v>462</v>
      </c>
      <c r="AB376" t="s">
        <v>74</v>
      </c>
      <c r="AC376" t="s">
        <v>38</v>
      </c>
      <c r="AD376" t="s">
        <v>169</v>
      </c>
      <c r="AE376" t="s">
        <v>90</v>
      </c>
      <c r="AF376">
        <f t="shared" si="3"/>
        <v>672</v>
      </c>
      <c r="AG376" t="s">
        <v>77</v>
      </c>
      <c r="AH376" t="s">
        <v>50</v>
      </c>
      <c r="AI376" t="s">
        <v>46</v>
      </c>
      <c r="AJ376" t="s">
        <v>47</v>
      </c>
      <c r="AK376" t="s">
        <v>48</v>
      </c>
      <c r="AL376">
        <v>20</v>
      </c>
      <c r="AM376" t="s">
        <v>46</v>
      </c>
      <c r="AN376" t="s">
        <v>76</v>
      </c>
      <c r="AO376">
        <f>11*24</f>
        <v>264</v>
      </c>
      <c r="AP376" t="s">
        <v>63</v>
      </c>
      <c r="AQ376" t="s">
        <v>46</v>
      </c>
      <c r="AR376" t="s">
        <v>50</v>
      </c>
      <c r="AS376" t="s">
        <v>1654</v>
      </c>
      <c r="AT376" t="s">
        <v>63</v>
      </c>
      <c r="AU376" t="s">
        <v>46</v>
      </c>
      <c r="AV376">
        <v>2020</v>
      </c>
      <c r="AW376" t="s">
        <v>46</v>
      </c>
    </row>
    <row r="377" spans="1:49" x14ac:dyDescent="0.2">
      <c r="A377">
        <v>376</v>
      </c>
      <c r="B377" t="s">
        <v>1320</v>
      </c>
      <c r="C377" t="s">
        <v>1321</v>
      </c>
      <c r="D377">
        <v>5.8000000000000003E-2</v>
      </c>
      <c r="E377" t="s">
        <v>42</v>
      </c>
      <c r="F377">
        <f>D377-0.052</f>
        <v>6.0000000000000053E-3</v>
      </c>
      <c r="G377">
        <f>0.062-D377</f>
        <v>3.9999999999999966E-3</v>
      </c>
      <c r="H377" t="s">
        <v>69</v>
      </c>
      <c r="I377">
        <v>4</v>
      </c>
      <c r="J377">
        <v>5</v>
      </c>
      <c r="K377" t="s">
        <v>756</v>
      </c>
      <c r="L377" t="s">
        <v>1322</v>
      </c>
      <c r="M377">
        <v>5.3999999999999999E-2</v>
      </c>
      <c r="N377" t="s">
        <v>42</v>
      </c>
      <c r="O377">
        <f>M377-0.016</f>
        <v>3.7999999999999999E-2</v>
      </c>
      <c r="P377">
        <f>0.18-M377</f>
        <v>0.126</v>
      </c>
      <c r="Q377" t="s">
        <v>69</v>
      </c>
      <c r="R377">
        <v>4</v>
      </c>
      <c r="S377">
        <v>5</v>
      </c>
      <c r="T377" t="s">
        <v>756</v>
      </c>
      <c r="U377" t="s">
        <v>227</v>
      </c>
      <c r="V377" t="s">
        <v>1323</v>
      </c>
      <c r="W377" t="s">
        <v>1324</v>
      </c>
      <c r="X377" t="s">
        <v>350</v>
      </c>
      <c r="Y377" t="s">
        <v>351</v>
      </c>
      <c r="Z377" t="s">
        <v>492</v>
      </c>
      <c r="AA377" t="s">
        <v>36</v>
      </c>
      <c r="AB377" t="s">
        <v>37</v>
      </c>
      <c r="AC377" t="s">
        <v>38</v>
      </c>
      <c r="AD377" t="s">
        <v>39</v>
      </c>
      <c r="AE377" t="s">
        <v>75</v>
      </c>
      <c r="AF377">
        <v>96</v>
      </c>
      <c r="AG377" t="s">
        <v>40</v>
      </c>
      <c r="AH377" t="s">
        <v>50</v>
      </c>
      <c r="AI377" t="s">
        <v>46</v>
      </c>
      <c r="AJ377" t="s">
        <v>47</v>
      </c>
      <c r="AK377" t="s">
        <v>61</v>
      </c>
      <c r="AL377">
        <v>12</v>
      </c>
      <c r="AM377">
        <v>7.4</v>
      </c>
      <c r="AN377" t="s">
        <v>152</v>
      </c>
      <c r="AO377">
        <f t="shared" ref="AO377:AO390" si="4">365*24</f>
        <v>8760</v>
      </c>
      <c r="AP377" t="s">
        <v>50</v>
      </c>
      <c r="AQ377">
        <v>44</v>
      </c>
      <c r="AR377" t="s">
        <v>50</v>
      </c>
      <c r="AS377" t="s">
        <v>46</v>
      </c>
      <c r="AT377" t="s">
        <v>63</v>
      </c>
      <c r="AU377" t="s">
        <v>46</v>
      </c>
      <c r="AV377">
        <v>1989</v>
      </c>
      <c r="AW377" t="s">
        <v>46</v>
      </c>
    </row>
    <row r="378" spans="1:49" x14ac:dyDescent="0.2">
      <c r="A378">
        <v>377</v>
      </c>
      <c r="B378" t="s">
        <v>1320</v>
      </c>
      <c r="C378" t="s">
        <v>1321</v>
      </c>
      <c r="D378">
        <v>5.8000000000000003E-2</v>
      </c>
      <c r="E378" t="s">
        <v>42</v>
      </c>
      <c r="F378">
        <f>D378-0.052</f>
        <v>6.0000000000000053E-3</v>
      </c>
      <c r="G378">
        <f>0.062-D378</f>
        <v>3.9999999999999966E-3</v>
      </c>
      <c r="H378" t="s">
        <v>69</v>
      </c>
      <c r="I378">
        <v>4</v>
      </c>
      <c r="J378">
        <v>5</v>
      </c>
      <c r="K378" t="s">
        <v>756</v>
      </c>
      <c r="L378" t="s">
        <v>1328</v>
      </c>
      <c r="M378">
        <v>4.2000000000000003E-2</v>
      </c>
      <c r="N378" t="s">
        <v>42</v>
      </c>
      <c r="O378">
        <f>M378-0.036</f>
        <v>6.0000000000000053E-3</v>
      </c>
      <c r="P378">
        <f>0.048-M378</f>
        <v>5.9999999999999984E-3</v>
      </c>
      <c r="Q378" t="s">
        <v>69</v>
      </c>
      <c r="R378">
        <v>4</v>
      </c>
      <c r="S378">
        <v>5</v>
      </c>
      <c r="T378" t="s">
        <v>756</v>
      </c>
      <c r="U378" t="s">
        <v>227</v>
      </c>
      <c r="V378" t="s">
        <v>1323</v>
      </c>
      <c r="W378" t="s">
        <v>1325</v>
      </c>
      <c r="X378" t="s">
        <v>350</v>
      </c>
      <c r="Y378" t="s">
        <v>351</v>
      </c>
      <c r="Z378" t="s">
        <v>492</v>
      </c>
      <c r="AA378" t="s">
        <v>36</v>
      </c>
      <c r="AB378" t="s">
        <v>37</v>
      </c>
      <c r="AC378" t="s">
        <v>38</v>
      </c>
      <c r="AD378" t="s">
        <v>39</v>
      </c>
      <c r="AE378" t="s">
        <v>75</v>
      </c>
      <c r="AF378">
        <v>96</v>
      </c>
      <c r="AG378" t="s">
        <v>40</v>
      </c>
      <c r="AH378" t="s">
        <v>50</v>
      </c>
      <c r="AI378" t="s">
        <v>46</v>
      </c>
      <c r="AJ378" t="s">
        <v>47</v>
      </c>
      <c r="AK378" t="s">
        <v>61</v>
      </c>
      <c r="AL378">
        <v>12</v>
      </c>
      <c r="AM378">
        <v>7.4</v>
      </c>
      <c r="AN378" t="s">
        <v>152</v>
      </c>
      <c r="AO378">
        <f t="shared" si="4"/>
        <v>8760</v>
      </c>
      <c r="AP378" t="s">
        <v>50</v>
      </c>
      <c r="AQ378">
        <v>44</v>
      </c>
      <c r="AR378" t="s">
        <v>50</v>
      </c>
      <c r="AS378" t="s">
        <v>46</v>
      </c>
      <c r="AT378" t="s">
        <v>63</v>
      </c>
      <c r="AU378" t="s">
        <v>46</v>
      </c>
      <c r="AV378">
        <v>1989</v>
      </c>
      <c r="AW378" t="s">
        <v>46</v>
      </c>
    </row>
    <row r="379" spans="1:49" x14ac:dyDescent="0.2">
      <c r="A379">
        <v>378</v>
      </c>
      <c r="B379" t="s">
        <v>1320</v>
      </c>
      <c r="C379" t="s">
        <v>1321</v>
      </c>
      <c r="D379">
        <v>5.8000000000000003E-2</v>
      </c>
      <c r="E379" t="s">
        <v>42</v>
      </c>
      <c r="F379">
        <f>D379-0.052</f>
        <v>6.0000000000000053E-3</v>
      </c>
      <c r="G379">
        <f>0.062-D379</f>
        <v>3.9999999999999966E-3</v>
      </c>
      <c r="H379" t="s">
        <v>69</v>
      </c>
      <c r="I379">
        <v>4</v>
      </c>
      <c r="J379">
        <v>5</v>
      </c>
      <c r="K379" t="s">
        <v>756</v>
      </c>
      <c r="L379" t="s">
        <v>1329</v>
      </c>
      <c r="M379">
        <v>5.2999999999999999E-2</v>
      </c>
      <c r="N379" t="s">
        <v>42</v>
      </c>
      <c r="O379">
        <f>M379-0.049</f>
        <v>3.9999999999999966E-3</v>
      </c>
      <c r="P379">
        <f>0.057-M379</f>
        <v>4.0000000000000036E-3</v>
      </c>
      <c r="Q379" t="s">
        <v>69</v>
      </c>
      <c r="R379">
        <v>4</v>
      </c>
      <c r="S379">
        <v>5</v>
      </c>
      <c r="T379" t="s">
        <v>756</v>
      </c>
      <c r="U379" t="s">
        <v>227</v>
      </c>
      <c r="V379" t="s">
        <v>1323</v>
      </c>
      <c r="W379" t="s">
        <v>1326</v>
      </c>
      <c r="X379" t="s">
        <v>350</v>
      </c>
      <c r="Y379" t="s">
        <v>351</v>
      </c>
      <c r="Z379" t="s">
        <v>492</v>
      </c>
      <c r="AA379" t="s">
        <v>36</v>
      </c>
      <c r="AB379" t="s">
        <v>37</v>
      </c>
      <c r="AC379" t="s">
        <v>38</v>
      </c>
      <c r="AD379" t="s">
        <v>39</v>
      </c>
      <c r="AE379" t="s">
        <v>75</v>
      </c>
      <c r="AF379">
        <v>96</v>
      </c>
      <c r="AG379" t="s">
        <v>40</v>
      </c>
      <c r="AH379" t="s">
        <v>50</v>
      </c>
      <c r="AI379" t="s">
        <v>46</v>
      </c>
      <c r="AJ379" t="s">
        <v>47</v>
      </c>
      <c r="AK379" t="s">
        <v>61</v>
      </c>
      <c r="AL379">
        <v>12</v>
      </c>
      <c r="AM379">
        <v>7.4</v>
      </c>
      <c r="AN379" t="s">
        <v>152</v>
      </c>
      <c r="AO379">
        <f t="shared" si="4"/>
        <v>8760</v>
      </c>
      <c r="AP379" t="s">
        <v>50</v>
      </c>
      <c r="AQ379">
        <v>44</v>
      </c>
      <c r="AR379" t="s">
        <v>50</v>
      </c>
      <c r="AS379" t="s">
        <v>46</v>
      </c>
      <c r="AT379" t="s">
        <v>63</v>
      </c>
      <c r="AU379" t="s">
        <v>46</v>
      </c>
      <c r="AV379">
        <v>1989</v>
      </c>
      <c r="AW379" t="s">
        <v>46</v>
      </c>
    </row>
    <row r="380" spans="1:49" x14ac:dyDescent="0.2">
      <c r="A380">
        <v>379</v>
      </c>
      <c r="B380" t="s">
        <v>1320</v>
      </c>
      <c r="C380" t="s">
        <v>1321</v>
      </c>
      <c r="D380">
        <v>5.8000000000000003E-2</v>
      </c>
      <c r="E380" t="s">
        <v>42</v>
      </c>
      <c r="F380">
        <f>D380-0.052</f>
        <v>6.0000000000000053E-3</v>
      </c>
      <c r="G380">
        <f>0.062-D380</f>
        <v>3.9999999999999966E-3</v>
      </c>
      <c r="H380" t="s">
        <v>69</v>
      </c>
      <c r="I380">
        <v>4</v>
      </c>
      <c r="J380">
        <v>5</v>
      </c>
      <c r="K380" t="s">
        <v>756</v>
      </c>
      <c r="L380" t="s">
        <v>1330</v>
      </c>
      <c r="M380">
        <v>2.8000000000000001E-2</v>
      </c>
      <c r="N380" t="s">
        <v>42</v>
      </c>
      <c r="O380">
        <f>M380-0.024</f>
        <v>4.0000000000000001E-3</v>
      </c>
      <c r="P380">
        <f>0.033-M380</f>
        <v>5.000000000000001E-3</v>
      </c>
      <c r="Q380" t="s">
        <v>69</v>
      </c>
      <c r="R380">
        <v>4</v>
      </c>
      <c r="S380">
        <v>5</v>
      </c>
      <c r="T380" t="s">
        <v>756</v>
      </c>
      <c r="U380" t="s">
        <v>227</v>
      </c>
      <c r="V380" t="s">
        <v>1323</v>
      </c>
      <c r="W380" t="s">
        <v>1327</v>
      </c>
      <c r="X380" t="s">
        <v>350</v>
      </c>
      <c r="Y380" t="s">
        <v>351</v>
      </c>
      <c r="Z380" t="s">
        <v>492</v>
      </c>
      <c r="AA380" t="s">
        <v>36</v>
      </c>
      <c r="AB380" t="s">
        <v>37</v>
      </c>
      <c r="AC380" t="s">
        <v>38</v>
      </c>
      <c r="AD380" t="s">
        <v>39</v>
      </c>
      <c r="AE380" t="s">
        <v>75</v>
      </c>
      <c r="AF380">
        <v>96</v>
      </c>
      <c r="AG380" t="s">
        <v>40</v>
      </c>
      <c r="AH380" t="s">
        <v>50</v>
      </c>
      <c r="AI380" t="s">
        <v>46</v>
      </c>
      <c r="AJ380" t="s">
        <v>47</v>
      </c>
      <c r="AK380" t="s">
        <v>61</v>
      </c>
      <c r="AL380">
        <v>12</v>
      </c>
      <c r="AM380">
        <v>7.4</v>
      </c>
      <c r="AN380" t="s">
        <v>152</v>
      </c>
      <c r="AO380">
        <f t="shared" si="4"/>
        <v>8760</v>
      </c>
      <c r="AP380" t="s">
        <v>50</v>
      </c>
      <c r="AQ380">
        <v>44</v>
      </c>
      <c r="AR380" t="s">
        <v>50</v>
      </c>
      <c r="AS380" t="s">
        <v>46</v>
      </c>
      <c r="AT380" t="s">
        <v>63</v>
      </c>
      <c r="AU380" t="s">
        <v>46</v>
      </c>
      <c r="AV380">
        <v>1989</v>
      </c>
      <c r="AW380" t="s">
        <v>46</v>
      </c>
    </row>
    <row r="381" spans="1:49" x14ac:dyDescent="0.2">
      <c r="A381">
        <v>380</v>
      </c>
      <c r="B381" t="s">
        <v>1320</v>
      </c>
      <c r="C381" t="s">
        <v>1321</v>
      </c>
      <c r="D381">
        <v>8.7999999999999995E-2</v>
      </c>
      <c r="E381" t="s">
        <v>42</v>
      </c>
      <c r="F381">
        <f>D381-0.078</f>
        <v>9.999999999999995E-3</v>
      </c>
      <c r="G381">
        <f>0.098-D381</f>
        <v>1.0000000000000009E-2</v>
      </c>
      <c r="H381" t="s">
        <v>69</v>
      </c>
      <c r="I381">
        <v>2</v>
      </c>
      <c r="J381">
        <v>10</v>
      </c>
      <c r="K381" t="s">
        <v>1001</v>
      </c>
      <c r="L381" t="s">
        <v>1322</v>
      </c>
      <c r="M381">
        <v>0.09</v>
      </c>
      <c r="N381" t="s">
        <v>42</v>
      </c>
      <c r="O381">
        <f>M381-0.076</f>
        <v>1.3999999999999999E-2</v>
      </c>
      <c r="P381">
        <f>0.11-M381</f>
        <v>2.0000000000000004E-2</v>
      </c>
      <c r="Q381" t="s">
        <v>69</v>
      </c>
      <c r="R381" s="3">
        <v>2</v>
      </c>
      <c r="S381" s="3">
        <v>10</v>
      </c>
      <c r="T381" s="3" t="s">
        <v>1001</v>
      </c>
      <c r="U381" t="s">
        <v>227</v>
      </c>
      <c r="V381" t="s">
        <v>1331</v>
      </c>
      <c r="W381" t="s">
        <v>1332</v>
      </c>
      <c r="X381" t="s">
        <v>366</v>
      </c>
      <c r="Y381" t="s">
        <v>367</v>
      </c>
      <c r="Z381" t="s">
        <v>492</v>
      </c>
      <c r="AA381" t="s">
        <v>36</v>
      </c>
      <c r="AB381" t="s">
        <v>37</v>
      </c>
      <c r="AC381" t="s">
        <v>38</v>
      </c>
      <c r="AD381" t="s">
        <v>39</v>
      </c>
      <c r="AE381" t="s">
        <v>75</v>
      </c>
      <c r="AF381">
        <v>96</v>
      </c>
      <c r="AG381" t="s">
        <v>40</v>
      </c>
      <c r="AH381" t="s">
        <v>50</v>
      </c>
      <c r="AI381" t="s">
        <v>46</v>
      </c>
      <c r="AJ381" t="s">
        <v>47</v>
      </c>
      <c r="AK381" t="s">
        <v>61</v>
      </c>
      <c r="AL381">
        <v>12</v>
      </c>
      <c r="AM381">
        <v>7.4</v>
      </c>
      <c r="AN381" t="s">
        <v>152</v>
      </c>
      <c r="AO381">
        <f t="shared" si="4"/>
        <v>8760</v>
      </c>
      <c r="AP381" t="s">
        <v>50</v>
      </c>
      <c r="AQ381">
        <v>44</v>
      </c>
      <c r="AR381" t="s">
        <v>50</v>
      </c>
      <c r="AS381" t="s">
        <v>46</v>
      </c>
      <c r="AT381" t="s">
        <v>63</v>
      </c>
      <c r="AU381" t="s">
        <v>46</v>
      </c>
      <c r="AV381">
        <v>1989</v>
      </c>
      <c r="AW381" t="s">
        <v>46</v>
      </c>
    </row>
    <row r="382" spans="1:49" x14ac:dyDescent="0.2">
      <c r="A382">
        <v>381</v>
      </c>
      <c r="B382" t="s">
        <v>1320</v>
      </c>
      <c r="C382" t="s">
        <v>1321</v>
      </c>
      <c r="D382">
        <v>8.7999999999999995E-2</v>
      </c>
      <c r="E382" t="s">
        <v>42</v>
      </c>
      <c r="F382">
        <f>D382-0.078</f>
        <v>9.999999999999995E-3</v>
      </c>
      <c r="G382">
        <f>0.098-D382</f>
        <v>1.0000000000000009E-2</v>
      </c>
      <c r="H382" t="s">
        <v>69</v>
      </c>
      <c r="I382">
        <v>2</v>
      </c>
      <c r="J382">
        <v>10</v>
      </c>
      <c r="K382" t="s">
        <v>1001</v>
      </c>
      <c r="L382" t="s">
        <v>1328</v>
      </c>
      <c r="M382">
        <v>9.2999999999999999E-2</v>
      </c>
      <c r="N382" t="s">
        <v>42</v>
      </c>
      <c r="O382">
        <f>M382-0.075</f>
        <v>1.8000000000000002E-2</v>
      </c>
      <c r="P382">
        <f>0.11-M382</f>
        <v>1.7000000000000001E-2</v>
      </c>
      <c r="Q382" t="s">
        <v>69</v>
      </c>
      <c r="R382">
        <v>2</v>
      </c>
      <c r="S382">
        <v>10</v>
      </c>
      <c r="T382" t="s">
        <v>1001</v>
      </c>
      <c r="U382" t="s">
        <v>227</v>
      </c>
      <c r="V382" t="s">
        <v>1331</v>
      </c>
      <c r="W382" t="s">
        <v>1333</v>
      </c>
      <c r="X382" t="s">
        <v>366</v>
      </c>
      <c r="Y382" t="s">
        <v>367</v>
      </c>
      <c r="Z382" t="s">
        <v>492</v>
      </c>
      <c r="AA382" t="s">
        <v>36</v>
      </c>
      <c r="AB382" t="s">
        <v>37</v>
      </c>
      <c r="AC382" t="s">
        <v>38</v>
      </c>
      <c r="AD382" t="s">
        <v>39</v>
      </c>
      <c r="AE382" t="s">
        <v>75</v>
      </c>
      <c r="AF382">
        <v>96</v>
      </c>
      <c r="AG382" t="s">
        <v>40</v>
      </c>
      <c r="AH382" t="s">
        <v>50</v>
      </c>
      <c r="AI382" t="s">
        <v>46</v>
      </c>
      <c r="AJ382" t="s">
        <v>47</v>
      </c>
      <c r="AK382" t="s">
        <v>61</v>
      </c>
      <c r="AL382">
        <v>12</v>
      </c>
      <c r="AM382">
        <v>7.4</v>
      </c>
      <c r="AN382" t="s">
        <v>152</v>
      </c>
      <c r="AO382">
        <f t="shared" si="4"/>
        <v>8760</v>
      </c>
      <c r="AP382" t="s">
        <v>50</v>
      </c>
      <c r="AQ382">
        <v>44</v>
      </c>
      <c r="AR382" t="s">
        <v>50</v>
      </c>
      <c r="AS382" t="s">
        <v>46</v>
      </c>
      <c r="AT382" t="s">
        <v>63</v>
      </c>
      <c r="AU382" t="s">
        <v>46</v>
      </c>
      <c r="AV382">
        <v>1989</v>
      </c>
      <c r="AW382" t="s">
        <v>46</v>
      </c>
    </row>
    <row r="383" spans="1:49" x14ac:dyDescent="0.2">
      <c r="A383">
        <v>382</v>
      </c>
      <c r="B383" t="s">
        <v>1320</v>
      </c>
      <c r="C383" t="s">
        <v>1321</v>
      </c>
      <c r="D383">
        <v>8.7999999999999995E-2</v>
      </c>
      <c r="E383" t="s">
        <v>42</v>
      </c>
      <c r="F383">
        <f>D383-0.078</f>
        <v>9.999999999999995E-3</v>
      </c>
      <c r="G383">
        <f>0.098-D383</f>
        <v>1.0000000000000009E-2</v>
      </c>
      <c r="H383" t="s">
        <v>69</v>
      </c>
      <c r="I383">
        <v>2</v>
      </c>
      <c r="J383">
        <v>10</v>
      </c>
      <c r="K383" t="s">
        <v>1001</v>
      </c>
      <c r="L383" t="s">
        <v>1329</v>
      </c>
      <c r="M383">
        <v>0.1</v>
      </c>
      <c r="N383" t="s">
        <v>42</v>
      </c>
      <c r="O383">
        <f>M383-0.087</f>
        <v>1.3000000000000012E-2</v>
      </c>
      <c r="P383">
        <f>0.13-M383</f>
        <v>0.03</v>
      </c>
      <c r="Q383" t="s">
        <v>69</v>
      </c>
      <c r="R383">
        <v>2</v>
      </c>
      <c r="S383">
        <v>10</v>
      </c>
      <c r="T383" t="s">
        <v>1001</v>
      </c>
      <c r="U383" t="s">
        <v>227</v>
      </c>
      <c r="V383" t="s">
        <v>1331</v>
      </c>
      <c r="W383" t="s">
        <v>1334</v>
      </c>
      <c r="X383" t="s">
        <v>366</v>
      </c>
      <c r="Y383" t="s">
        <v>367</v>
      </c>
      <c r="Z383" t="s">
        <v>492</v>
      </c>
      <c r="AA383" t="s">
        <v>36</v>
      </c>
      <c r="AB383" t="s">
        <v>37</v>
      </c>
      <c r="AC383" t="s">
        <v>38</v>
      </c>
      <c r="AD383" t="s">
        <v>39</v>
      </c>
      <c r="AE383" t="s">
        <v>75</v>
      </c>
      <c r="AF383">
        <v>96</v>
      </c>
      <c r="AG383" t="s">
        <v>40</v>
      </c>
      <c r="AH383" t="s">
        <v>50</v>
      </c>
      <c r="AI383" t="s">
        <v>46</v>
      </c>
      <c r="AJ383" t="s">
        <v>47</v>
      </c>
      <c r="AK383" t="s">
        <v>61</v>
      </c>
      <c r="AL383">
        <v>12</v>
      </c>
      <c r="AM383">
        <v>7.4</v>
      </c>
      <c r="AN383" t="s">
        <v>152</v>
      </c>
      <c r="AO383">
        <f t="shared" si="4"/>
        <v>8760</v>
      </c>
      <c r="AP383" t="s">
        <v>50</v>
      </c>
      <c r="AQ383">
        <v>44</v>
      </c>
      <c r="AR383" t="s">
        <v>50</v>
      </c>
      <c r="AS383" t="s">
        <v>46</v>
      </c>
      <c r="AT383" t="s">
        <v>63</v>
      </c>
      <c r="AU383" t="s">
        <v>46</v>
      </c>
      <c r="AV383">
        <v>1989</v>
      </c>
      <c r="AW383" t="s">
        <v>46</v>
      </c>
    </row>
    <row r="384" spans="1:49" x14ac:dyDescent="0.2">
      <c r="A384">
        <v>383</v>
      </c>
      <c r="B384" t="s">
        <v>1320</v>
      </c>
      <c r="C384" t="s">
        <v>1321</v>
      </c>
      <c r="D384">
        <v>8.7999999999999995E-2</v>
      </c>
      <c r="E384" t="s">
        <v>42</v>
      </c>
      <c r="F384">
        <f>D384-0.078</f>
        <v>9.999999999999995E-3</v>
      </c>
      <c r="G384">
        <f>0.098-D384</f>
        <v>1.0000000000000009E-2</v>
      </c>
      <c r="H384" t="s">
        <v>69</v>
      </c>
      <c r="I384">
        <v>2</v>
      </c>
      <c r="J384">
        <v>10</v>
      </c>
      <c r="K384" t="s">
        <v>1001</v>
      </c>
      <c r="L384" t="s">
        <v>1330</v>
      </c>
      <c r="M384">
        <v>0.15</v>
      </c>
      <c r="N384" t="s">
        <v>42</v>
      </c>
      <c r="O384">
        <f>M384-0.11</f>
        <v>3.9999999999999994E-2</v>
      </c>
      <c r="P384">
        <f>0.2-M384</f>
        <v>5.0000000000000017E-2</v>
      </c>
      <c r="Q384" t="s">
        <v>69</v>
      </c>
      <c r="R384">
        <v>2</v>
      </c>
      <c r="S384">
        <v>10</v>
      </c>
      <c r="T384" t="s">
        <v>1001</v>
      </c>
      <c r="U384" t="s">
        <v>227</v>
      </c>
      <c r="V384" t="s">
        <v>1331</v>
      </c>
      <c r="W384" t="s">
        <v>1335</v>
      </c>
      <c r="X384" t="s">
        <v>366</v>
      </c>
      <c r="Y384" t="s">
        <v>367</v>
      </c>
      <c r="Z384" t="s">
        <v>492</v>
      </c>
      <c r="AA384" t="s">
        <v>36</v>
      </c>
      <c r="AB384" t="s">
        <v>37</v>
      </c>
      <c r="AC384" t="s">
        <v>38</v>
      </c>
      <c r="AD384" t="s">
        <v>39</v>
      </c>
      <c r="AE384" t="s">
        <v>75</v>
      </c>
      <c r="AF384">
        <v>96</v>
      </c>
      <c r="AG384" t="s">
        <v>40</v>
      </c>
      <c r="AH384" t="s">
        <v>50</v>
      </c>
      <c r="AI384" t="s">
        <v>46</v>
      </c>
      <c r="AJ384" t="s">
        <v>47</v>
      </c>
      <c r="AK384" t="s">
        <v>61</v>
      </c>
      <c r="AL384">
        <v>12</v>
      </c>
      <c r="AM384">
        <v>7.4</v>
      </c>
      <c r="AN384" t="s">
        <v>152</v>
      </c>
      <c r="AO384">
        <f t="shared" si="4"/>
        <v>8760</v>
      </c>
      <c r="AP384" t="s">
        <v>50</v>
      </c>
      <c r="AQ384">
        <v>44</v>
      </c>
      <c r="AR384" t="s">
        <v>50</v>
      </c>
      <c r="AS384" t="s">
        <v>46</v>
      </c>
      <c r="AT384" t="s">
        <v>63</v>
      </c>
      <c r="AU384" t="s">
        <v>46</v>
      </c>
      <c r="AV384">
        <v>1989</v>
      </c>
      <c r="AW384" t="s">
        <v>46</v>
      </c>
    </row>
    <row r="385" spans="1:49" x14ac:dyDescent="0.2">
      <c r="A385">
        <v>384</v>
      </c>
      <c r="B385" t="s">
        <v>1320</v>
      </c>
      <c r="C385" t="s">
        <v>1336</v>
      </c>
      <c r="D385">
        <v>2390</v>
      </c>
      <c r="E385" t="s">
        <v>42</v>
      </c>
      <c r="F385">
        <f>D385-2004</f>
        <v>386</v>
      </c>
      <c r="G385">
        <f>2851-D385</f>
        <v>461</v>
      </c>
      <c r="H385" t="s">
        <v>69</v>
      </c>
      <c r="I385">
        <v>4</v>
      </c>
      <c r="J385">
        <v>5</v>
      </c>
      <c r="K385" t="s">
        <v>756</v>
      </c>
      <c r="L385" t="s">
        <v>1337</v>
      </c>
      <c r="M385">
        <v>2460</v>
      </c>
      <c r="N385" t="s">
        <v>42</v>
      </c>
      <c r="O385">
        <f>M385-2051</f>
        <v>409</v>
      </c>
      <c r="P385">
        <f>2950-M385</f>
        <v>490</v>
      </c>
      <c r="Q385" t="s">
        <v>69</v>
      </c>
      <c r="R385">
        <v>4</v>
      </c>
      <c r="S385">
        <v>5</v>
      </c>
      <c r="T385" t="s">
        <v>756</v>
      </c>
      <c r="U385" t="s">
        <v>227</v>
      </c>
      <c r="V385" t="s">
        <v>1338</v>
      </c>
      <c r="W385" t="s">
        <v>1339</v>
      </c>
      <c r="X385" t="s">
        <v>350</v>
      </c>
      <c r="Y385" t="s">
        <v>351</v>
      </c>
      <c r="Z385" t="s">
        <v>492</v>
      </c>
      <c r="AA385" t="s">
        <v>36</v>
      </c>
      <c r="AB385" t="s">
        <v>37</v>
      </c>
      <c r="AC385" t="s">
        <v>38</v>
      </c>
      <c r="AD385" t="s">
        <v>39</v>
      </c>
      <c r="AE385" t="s">
        <v>75</v>
      </c>
      <c r="AF385">
        <v>96</v>
      </c>
      <c r="AG385" t="s">
        <v>40</v>
      </c>
      <c r="AH385" t="s">
        <v>50</v>
      </c>
      <c r="AI385" t="s">
        <v>46</v>
      </c>
      <c r="AJ385" t="s">
        <v>47</v>
      </c>
      <c r="AK385" t="s">
        <v>61</v>
      </c>
      <c r="AL385">
        <v>12</v>
      </c>
      <c r="AM385">
        <v>7.4</v>
      </c>
      <c r="AN385" t="s">
        <v>152</v>
      </c>
      <c r="AO385">
        <f t="shared" si="4"/>
        <v>8760</v>
      </c>
      <c r="AP385" t="s">
        <v>50</v>
      </c>
      <c r="AQ385">
        <v>44</v>
      </c>
      <c r="AR385" t="s">
        <v>50</v>
      </c>
      <c r="AS385" t="s">
        <v>1629</v>
      </c>
      <c r="AT385" t="s">
        <v>63</v>
      </c>
      <c r="AU385" t="s">
        <v>46</v>
      </c>
      <c r="AV385">
        <v>1989</v>
      </c>
      <c r="AW385" t="s">
        <v>46</v>
      </c>
    </row>
    <row r="386" spans="1:49" x14ac:dyDescent="0.2">
      <c r="A386">
        <v>385</v>
      </c>
      <c r="B386" t="s">
        <v>1320</v>
      </c>
      <c r="C386" t="s">
        <v>1336</v>
      </c>
      <c r="D386">
        <v>2390</v>
      </c>
      <c r="E386" t="s">
        <v>42</v>
      </c>
      <c r="F386">
        <f>D386-2004</f>
        <v>386</v>
      </c>
      <c r="G386">
        <f>2851-D386</f>
        <v>461</v>
      </c>
      <c r="H386" t="s">
        <v>69</v>
      </c>
      <c r="I386">
        <v>4</v>
      </c>
      <c r="J386">
        <v>5</v>
      </c>
      <c r="K386" t="s">
        <v>756</v>
      </c>
      <c r="L386" t="s">
        <v>1340</v>
      </c>
      <c r="M386">
        <v>385</v>
      </c>
      <c r="N386" t="s">
        <v>42</v>
      </c>
      <c r="O386">
        <f>M386-337</f>
        <v>48</v>
      </c>
      <c r="P386">
        <f>440-M386</f>
        <v>55</v>
      </c>
      <c r="Q386" t="s">
        <v>69</v>
      </c>
      <c r="R386">
        <v>4</v>
      </c>
      <c r="S386">
        <v>5</v>
      </c>
      <c r="T386" t="s">
        <v>756</v>
      </c>
      <c r="U386" t="s">
        <v>227</v>
      </c>
      <c r="V386" t="s">
        <v>1338</v>
      </c>
      <c r="W386" t="s">
        <v>1341</v>
      </c>
      <c r="X386" t="s">
        <v>350</v>
      </c>
      <c r="Y386" t="s">
        <v>351</v>
      </c>
      <c r="Z386" t="s">
        <v>492</v>
      </c>
      <c r="AA386" t="s">
        <v>36</v>
      </c>
      <c r="AB386" t="s">
        <v>37</v>
      </c>
      <c r="AC386" t="s">
        <v>38</v>
      </c>
      <c r="AD386" t="s">
        <v>39</v>
      </c>
      <c r="AE386" t="s">
        <v>75</v>
      </c>
      <c r="AF386">
        <v>96</v>
      </c>
      <c r="AG386" t="s">
        <v>40</v>
      </c>
      <c r="AH386" t="s">
        <v>50</v>
      </c>
      <c r="AI386" t="s">
        <v>46</v>
      </c>
      <c r="AJ386" t="s">
        <v>47</v>
      </c>
      <c r="AK386" t="s">
        <v>61</v>
      </c>
      <c r="AL386">
        <v>12</v>
      </c>
      <c r="AM386">
        <v>7.4</v>
      </c>
      <c r="AN386" t="s">
        <v>152</v>
      </c>
      <c r="AO386">
        <f t="shared" si="4"/>
        <v>8760</v>
      </c>
      <c r="AP386" t="s">
        <v>50</v>
      </c>
      <c r="AQ386">
        <v>44</v>
      </c>
      <c r="AR386" t="s">
        <v>50</v>
      </c>
      <c r="AS386" t="s">
        <v>1629</v>
      </c>
      <c r="AT386" t="s">
        <v>63</v>
      </c>
      <c r="AU386" t="s">
        <v>46</v>
      </c>
      <c r="AV386">
        <v>1989</v>
      </c>
      <c r="AW386" t="s">
        <v>46</v>
      </c>
    </row>
    <row r="387" spans="1:49" x14ac:dyDescent="0.2">
      <c r="A387">
        <v>386</v>
      </c>
      <c r="B387" t="s">
        <v>1320</v>
      </c>
      <c r="C387" t="s">
        <v>1336</v>
      </c>
      <c r="D387">
        <v>2390</v>
      </c>
      <c r="E387" t="s">
        <v>42</v>
      </c>
      <c r="F387">
        <f>D387-2004</f>
        <v>386</v>
      </c>
      <c r="G387">
        <f>2851-D387</f>
        <v>461</v>
      </c>
      <c r="H387" t="s">
        <v>69</v>
      </c>
      <c r="I387">
        <v>4</v>
      </c>
      <c r="J387">
        <v>5</v>
      </c>
      <c r="K387" t="s">
        <v>756</v>
      </c>
      <c r="L387" t="s">
        <v>1343</v>
      </c>
      <c r="M387">
        <v>675</v>
      </c>
      <c r="N387" t="s">
        <v>42</v>
      </c>
      <c r="O387">
        <f>M387-618</f>
        <v>57</v>
      </c>
      <c r="P387">
        <f>738-M387</f>
        <v>63</v>
      </c>
      <c r="Q387" t="s">
        <v>69</v>
      </c>
      <c r="R387">
        <v>4</v>
      </c>
      <c r="S387">
        <v>5</v>
      </c>
      <c r="T387" t="s">
        <v>756</v>
      </c>
      <c r="U387" t="s">
        <v>227</v>
      </c>
      <c r="V387" t="s">
        <v>1338</v>
      </c>
      <c r="W387" t="s">
        <v>1342</v>
      </c>
      <c r="X387" t="s">
        <v>350</v>
      </c>
      <c r="Y387" t="s">
        <v>351</v>
      </c>
      <c r="Z387" t="s">
        <v>492</v>
      </c>
      <c r="AA387" t="s">
        <v>36</v>
      </c>
      <c r="AB387" t="s">
        <v>37</v>
      </c>
      <c r="AC387" t="s">
        <v>38</v>
      </c>
      <c r="AD387" t="s">
        <v>39</v>
      </c>
      <c r="AE387" t="s">
        <v>75</v>
      </c>
      <c r="AF387">
        <v>96</v>
      </c>
      <c r="AG387" t="s">
        <v>40</v>
      </c>
      <c r="AH387" t="s">
        <v>50</v>
      </c>
      <c r="AI387" t="s">
        <v>46</v>
      </c>
      <c r="AJ387" t="s">
        <v>47</v>
      </c>
      <c r="AK387" t="s">
        <v>61</v>
      </c>
      <c r="AL387">
        <v>12</v>
      </c>
      <c r="AM387">
        <v>7.4</v>
      </c>
      <c r="AN387" t="s">
        <v>152</v>
      </c>
      <c r="AO387">
        <f t="shared" si="4"/>
        <v>8760</v>
      </c>
      <c r="AP387" t="s">
        <v>50</v>
      </c>
      <c r="AQ387">
        <v>44</v>
      </c>
      <c r="AR387" t="s">
        <v>50</v>
      </c>
      <c r="AS387" t="s">
        <v>1629</v>
      </c>
      <c r="AT387" t="s">
        <v>63</v>
      </c>
      <c r="AU387" t="s">
        <v>46</v>
      </c>
      <c r="AV387">
        <v>1989</v>
      </c>
      <c r="AW387" t="s">
        <v>46</v>
      </c>
    </row>
    <row r="388" spans="1:49" x14ac:dyDescent="0.2">
      <c r="A388">
        <v>387</v>
      </c>
      <c r="B388" t="s">
        <v>1320</v>
      </c>
      <c r="C388" t="s">
        <v>1336</v>
      </c>
      <c r="D388">
        <v>1210</v>
      </c>
      <c r="E388" t="s">
        <v>42</v>
      </c>
      <c r="F388">
        <f>D388-977</f>
        <v>233</v>
      </c>
      <c r="G388">
        <f>1499-D388</f>
        <v>289</v>
      </c>
      <c r="H388" t="s">
        <v>69</v>
      </c>
      <c r="I388">
        <v>2</v>
      </c>
      <c r="J388">
        <v>10</v>
      </c>
      <c r="K388" t="s">
        <v>1001</v>
      </c>
      <c r="L388" t="s">
        <v>1337</v>
      </c>
      <c r="M388">
        <v>1290</v>
      </c>
      <c r="N388" t="s">
        <v>42</v>
      </c>
      <c r="O388">
        <f>M388-902</f>
        <v>388</v>
      </c>
      <c r="P388">
        <f>1845-M388</f>
        <v>555</v>
      </c>
      <c r="Q388" t="s">
        <v>69</v>
      </c>
      <c r="R388">
        <v>2</v>
      </c>
      <c r="S388">
        <v>10</v>
      </c>
      <c r="T388" t="s">
        <v>1001</v>
      </c>
      <c r="U388" t="s">
        <v>227</v>
      </c>
      <c r="V388" t="s">
        <v>1344</v>
      </c>
      <c r="W388" t="s">
        <v>1345</v>
      </c>
      <c r="X388" t="s">
        <v>366</v>
      </c>
      <c r="Y388" t="s">
        <v>367</v>
      </c>
      <c r="Z388" t="s">
        <v>492</v>
      </c>
      <c r="AA388" t="s">
        <v>36</v>
      </c>
      <c r="AB388" t="s">
        <v>37</v>
      </c>
      <c r="AC388" t="s">
        <v>38</v>
      </c>
      <c r="AD388" t="s">
        <v>39</v>
      </c>
      <c r="AE388" t="s">
        <v>75</v>
      </c>
      <c r="AF388">
        <v>96</v>
      </c>
      <c r="AG388" t="s">
        <v>40</v>
      </c>
      <c r="AH388" t="s">
        <v>50</v>
      </c>
      <c r="AI388" t="s">
        <v>46</v>
      </c>
      <c r="AJ388" t="s">
        <v>47</v>
      </c>
      <c r="AK388" t="s">
        <v>61</v>
      </c>
      <c r="AL388">
        <v>12</v>
      </c>
      <c r="AM388">
        <v>7.4</v>
      </c>
      <c r="AN388" t="s">
        <v>152</v>
      </c>
      <c r="AO388">
        <f t="shared" si="4"/>
        <v>8760</v>
      </c>
      <c r="AP388" t="s">
        <v>50</v>
      </c>
      <c r="AQ388">
        <v>44</v>
      </c>
      <c r="AR388" t="s">
        <v>50</v>
      </c>
      <c r="AS388" t="s">
        <v>1629</v>
      </c>
      <c r="AT388" t="s">
        <v>63</v>
      </c>
      <c r="AU388" t="s">
        <v>46</v>
      </c>
      <c r="AV388">
        <v>1989</v>
      </c>
      <c r="AW388" t="s">
        <v>46</v>
      </c>
    </row>
    <row r="389" spans="1:49" x14ac:dyDescent="0.2">
      <c r="A389">
        <v>388</v>
      </c>
      <c r="B389" t="s">
        <v>1320</v>
      </c>
      <c r="C389" t="s">
        <v>1336</v>
      </c>
      <c r="D389">
        <v>1210</v>
      </c>
      <c r="E389" t="s">
        <v>42</v>
      </c>
      <c r="F389">
        <f>D389-977</f>
        <v>233</v>
      </c>
      <c r="G389">
        <f>1499-D389</f>
        <v>289</v>
      </c>
      <c r="H389" t="s">
        <v>69</v>
      </c>
      <c r="I389">
        <v>2</v>
      </c>
      <c r="J389">
        <v>10</v>
      </c>
      <c r="K389" t="s">
        <v>1001</v>
      </c>
      <c r="L389" t="s">
        <v>1340</v>
      </c>
      <c r="M389">
        <v>448</v>
      </c>
      <c r="N389" t="s">
        <v>42</v>
      </c>
      <c r="O389">
        <f>M389-377</f>
        <v>71</v>
      </c>
      <c r="P389">
        <f>532-M389</f>
        <v>84</v>
      </c>
      <c r="Q389" t="s">
        <v>69</v>
      </c>
      <c r="R389">
        <v>2</v>
      </c>
      <c r="S389">
        <v>10</v>
      </c>
      <c r="T389" t="s">
        <v>1001</v>
      </c>
      <c r="U389" t="s">
        <v>227</v>
      </c>
      <c r="V389" t="s">
        <v>1344</v>
      </c>
      <c r="W389" t="s">
        <v>1346</v>
      </c>
      <c r="X389" t="s">
        <v>366</v>
      </c>
      <c r="Y389" t="s">
        <v>367</v>
      </c>
      <c r="Z389" t="s">
        <v>492</v>
      </c>
      <c r="AA389" t="s">
        <v>36</v>
      </c>
      <c r="AB389" t="s">
        <v>37</v>
      </c>
      <c r="AC389" t="s">
        <v>38</v>
      </c>
      <c r="AD389" t="s">
        <v>39</v>
      </c>
      <c r="AE389" t="s">
        <v>75</v>
      </c>
      <c r="AF389">
        <v>96</v>
      </c>
      <c r="AG389" t="s">
        <v>40</v>
      </c>
      <c r="AH389" t="s">
        <v>50</v>
      </c>
      <c r="AI389" t="s">
        <v>46</v>
      </c>
      <c r="AJ389" t="s">
        <v>47</v>
      </c>
      <c r="AK389" t="s">
        <v>61</v>
      </c>
      <c r="AL389">
        <v>12</v>
      </c>
      <c r="AM389">
        <v>7.4</v>
      </c>
      <c r="AN389" t="s">
        <v>152</v>
      </c>
      <c r="AO389">
        <f t="shared" si="4"/>
        <v>8760</v>
      </c>
      <c r="AP389" t="s">
        <v>50</v>
      </c>
      <c r="AQ389">
        <v>44</v>
      </c>
      <c r="AR389" t="s">
        <v>50</v>
      </c>
      <c r="AS389" t="s">
        <v>1629</v>
      </c>
      <c r="AT389" t="s">
        <v>63</v>
      </c>
      <c r="AU389" t="s">
        <v>46</v>
      </c>
      <c r="AV389">
        <v>1989</v>
      </c>
      <c r="AW389" t="s">
        <v>46</v>
      </c>
    </row>
    <row r="390" spans="1:49" x14ac:dyDescent="0.2">
      <c r="A390">
        <v>389</v>
      </c>
      <c r="B390" t="s">
        <v>1320</v>
      </c>
      <c r="C390" t="s">
        <v>1336</v>
      </c>
      <c r="D390">
        <v>1210</v>
      </c>
      <c r="E390" t="s">
        <v>42</v>
      </c>
      <c r="F390">
        <f>D390-977</f>
        <v>233</v>
      </c>
      <c r="G390">
        <f>1499-D390</f>
        <v>289</v>
      </c>
      <c r="H390" t="s">
        <v>69</v>
      </c>
      <c r="I390">
        <v>2</v>
      </c>
      <c r="J390">
        <v>10</v>
      </c>
      <c r="K390" t="s">
        <v>1001</v>
      </c>
      <c r="L390" t="s">
        <v>1343</v>
      </c>
      <c r="M390">
        <v>550</v>
      </c>
      <c r="N390" t="s">
        <v>42</v>
      </c>
      <c r="O390">
        <f>M390-488</f>
        <v>62</v>
      </c>
      <c r="P390">
        <f>620-M390</f>
        <v>70</v>
      </c>
      <c r="Q390" t="s">
        <v>69</v>
      </c>
      <c r="R390">
        <v>2</v>
      </c>
      <c r="S390">
        <v>10</v>
      </c>
      <c r="T390" t="s">
        <v>1001</v>
      </c>
      <c r="U390" t="s">
        <v>227</v>
      </c>
      <c r="V390" t="s">
        <v>1344</v>
      </c>
      <c r="W390" t="s">
        <v>1347</v>
      </c>
      <c r="X390" t="s">
        <v>366</v>
      </c>
      <c r="Y390" t="s">
        <v>367</v>
      </c>
      <c r="Z390" t="s">
        <v>492</v>
      </c>
      <c r="AA390" t="s">
        <v>36</v>
      </c>
      <c r="AB390" t="s">
        <v>37</v>
      </c>
      <c r="AC390" t="s">
        <v>38</v>
      </c>
      <c r="AD390" t="s">
        <v>39</v>
      </c>
      <c r="AE390" t="s">
        <v>75</v>
      </c>
      <c r="AF390">
        <v>96</v>
      </c>
      <c r="AG390" t="s">
        <v>40</v>
      </c>
      <c r="AH390" t="s">
        <v>50</v>
      </c>
      <c r="AI390" t="s">
        <v>46</v>
      </c>
      <c r="AJ390" t="s">
        <v>47</v>
      </c>
      <c r="AK390" t="s">
        <v>61</v>
      </c>
      <c r="AL390">
        <v>12</v>
      </c>
      <c r="AM390">
        <v>7.4</v>
      </c>
      <c r="AN390" t="s">
        <v>152</v>
      </c>
      <c r="AO390">
        <f t="shared" si="4"/>
        <v>8760</v>
      </c>
      <c r="AP390" t="s">
        <v>50</v>
      </c>
      <c r="AQ390">
        <v>44</v>
      </c>
      <c r="AR390" t="s">
        <v>50</v>
      </c>
      <c r="AS390" t="s">
        <v>1629</v>
      </c>
      <c r="AT390" t="s">
        <v>63</v>
      </c>
      <c r="AU390" t="s">
        <v>46</v>
      </c>
      <c r="AV390">
        <v>1989</v>
      </c>
      <c r="AW390" t="s">
        <v>46</v>
      </c>
    </row>
    <row r="391" spans="1:49" x14ac:dyDescent="0.2">
      <c r="A391">
        <v>390</v>
      </c>
      <c r="B391" t="s">
        <v>1348</v>
      </c>
      <c r="C391" t="s">
        <v>1349</v>
      </c>
      <c r="D391">
        <v>1</v>
      </c>
      <c r="E391" t="s">
        <v>162</v>
      </c>
      <c r="F391">
        <f>D391-0.7</f>
        <v>0.30000000000000004</v>
      </c>
      <c r="G391">
        <f>1.3-D391</f>
        <v>0.30000000000000004</v>
      </c>
      <c r="H391" t="s">
        <v>69</v>
      </c>
      <c r="I391">
        <v>8</v>
      </c>
      <c r="J391">
        <v>1</v>
      </c>
      <c r="K391" t="s">
        <v>1352</v>
      </c>
      <c r="L391" t="s">
        <v>1350</v>
      </c>
      <c r="M391">
        <v>2.4</v>
      </c>
      <c r="N391" t="s">
        <v>162</v>
      </c>
      <c r="O391">
        <f>M391-1.2</f>
        <v>1.2</v>
      </c>
      <c r="P391">
        <f>4.6-M391</f>
        <v>2.1999999999999997</v>
      </c>
      <c r="Q391" t="s">
        <v>69</v>
      </c>
      <c r="R391">
        <v>10</v>
      </c>
      <c r="S391">
        <v>1</v>
      </c>
      <c r="T391" t="s">
        <v>1351</v>
      </c>
      <c r="U391" t="s">
        <v>156</v>
      </c>
      <c r="V391" t="s">
        <v>1377</v>
      </c>
      <c r="W391" t="s">
        <v>1378</v>
      </c>
      <c r="X391" t="s">
        <v>1403</v>
      </c>
      <c r="Y391" t="s">
        <v>1404</v>
      </c>
      <c r="Z391" t="s">
        <v>1405</v>
      </c>
      <c r="AA391" t="s">
        <v>710</v>
      </c>
      <c r="AB391" t="s">
        <v>37</v>
      </c>
      <c r="AC391" t="s">
        <v>38</v>
      </c>
      <c r="AD391" t="s">
        <v>169</v>
      </c>
      <c r="AE391" t="s">
        <v>75</v>
      </c>
      <c r="AF391">
        <f t="shared" ref="AF391:AF403" si="5">24*7</f>
        <v>168</v>
      </c>
      <c r="AG391" t="s">
        <v>77</v>
      </c>
      <c r="AH391" t="s">
        <v>50</v>
      </c>
      <c r="AI391" t="s">
        <v>1406</v>
      </c>
      <c r="AJ391" t="s">
        <v>1407</v>
      </c>
      <c r="AK391" t="s">
        <v>61</v>
      </c>
      <c r="AL391" t="s">
        <v>46</v>
      </c>
      <c r="AM391" t="s">
        <v>46</v>
      </c>
      <c r="AN391" t="s">
        <v>152</v>
      </c>
      <c r="AO391">
        <f t="shared" ref="AO391:AO403" si="6">18*24</f>
        <v>432</v>
      </c>
      <c r="AP391" t="s">
        <v>63</v>
      </c>
      <c r="AQ391" t="s">
        <v>46</v>
      </c>
      <c r="AR391" t="s">
        <v>50</v>
      </c>
      <c r="AS391" t="s">
        <v>1641</v>
      </c>
      <c r="AT391" t="s">
        <v>63</v>
      </c>
      <c r="AU391" t="s">
        <v>46</v>
      </c>
      <c r="AV391">
        <v>1984</v>
      </c>
      <c r="AW391" t="s">
        <v>46</v>
      </c>
    </row>
    <row r="392" spans="1:49" x14ac:dyDescent="0.2">
      <c r="A392">
        <v>391</v>
      </c>
      <c r="B392" t="s">
        <v>1348</v>
      </c>
      <c r="C392" t="s">
        <v>97</v>
      </c>
      <c r="D392">
        <v>32</v>
      </c>
      <c r="E392" t="s">
        <v>162</v>
      </c>
      <c r="F392">
        <f>D392-24</f>
        <v>8</v>
      </c>
      <c r="G392">
        <f>43-D392</f>
        <v>11</v>
      </c>
      <c r="H392" t="s">
        <v>69</v>
      </c>
      <c r="I392">
        <v>9</v>
      </c>
      <c r="J392">
        <v>1</v>
      </c>
      <c r="K392" t="s">
        <v>1353</v>
      </c>
      <c r="L392" t="s">
        <v>1354</v>
      </c>
      <c r="M392">
        <v>108</v>
      </c>
      <c r="N392" t="s">
        <v>162</v>
      </c>
      <c r="O392">
        <f>M392-80</f>
        <v>28</v>
      </c>
      <c r="P392">
        <f>145-M392</f>
        <v>37</v>
      </c>
      <c r="Q392" t="s">
        <v>69</v>
      </c>
      <c r="R392">
        <v>10</v>
      </c>
      <c r="S392">
        <v>1</v>
      </c>
      <c r="T392" t="s">
        <v>1351</v>
      </c>
      <c r="U392" t="s">
        <v>156</v>
      </c>
      <c r="V392" t="s">
        <v>1379</v>
      </c>
      <c r="W392" t="s">
        <v>1391</v>
      </c>
      <c r="X392" t="s">
        <v>1403</v>
      </c>
      <c r="Y392" t="s">
        <v>1404</v>
      </c>
      <c r="Z392" t="s">
        <v>1405</v>
      </c>
      <c r="AA392" t="s">
        <v>710</v>
      </c>
      <c r="AB392" t="s">
        <v>37</v>
      </c>
      <c r="AC392" t="s">
        <v>38</v>
      </c>
      <c r="AD392" t="s">
        <v>169</v>
      </c>
      <c r="AE392" t="s">
        <v>75</v>
      </c>
      <c r="AF392">
        <f t="shared" si="5"/>
        <v>168</v>
      </c>
      <c r="AG392" t="s">
        <v>77</v>
      </c>
      <c r="AH392" t="s">
        <v>50</v>
      </c>
      <c r="AI392" t="s">
        <v>1406</v>
      </c>
      <c r="AJ392" t="s">
        <v>1407</v>
      </c>
      <c r="AK392" t="s">
        <v>61</v>
      </c>
      <c r="AL392" t="s">
        <v>46</v>
      </c>
      <c r="AM392" t="s">
        <v>46</v>
      </c>
      <c r="AN392" t="s">
        <v>152</v>
      </c>
      <c r="AO392">
        <f t="shared" si="6"/>
        <v>432</v>
      </c>
      <c r="AP392" t="s">
        <v>63</v>
      </c>
      <c r="AQ392" t="s">
        <v>46</v>
      </c>
      <c r="AR392" t="s">
        <v>50</v>
      </c>
      <c r="AS392" t="s">
        <v>1641</v>
      </c>
      <c r="AT392" t="s">
        <v>63</v>
      </c>
      <c r="AU392" t="s">
        <v>46</v>
      </c>
      <c r="AV392">
        <v>1984</v>
      </c>
      <c r="AW392" t="s">
        <v>46</v>
      </c>
    </row>
    <row r="393" spans="1:49" x14ac:dyDescent="0.2">
      <c r="A393">
        <v>392</v>
      </c>
      <c r="B393" t="s">
        <v>1348</v>
      </c>
      <c r="C393" t="s">
        <v>949</v>
      </c>
      <c r="D393">
        <v>10</v>
      </c>
      <c r="E393" t="s">
        <v>162</v>
      </c>
      <c r="F393">
        <f>D393-7</f>
        <v>3</v>
      </c>
      <c r="G393">
        <f>13-D393</f>
        <v>3</v>
      </c>
      <c r="H393" t="s">
        <v>69</v>
      </c>
      <c r="I393">
        <v>10</v>
      </c>
      <c r="J393">
        <v>1</v>
      </c>
      <c r="K393" t="s">
        <v>1351</v>
      </c>
      <c r="L393" t="s">
        <v>1355</v>
      </c>
      <c r="M393">
        <v>8</v>
      </c>
      <c r="N393" t="s">
        <v>162</v>
      </c>
      <c r="O393">
        <f>M393-6</f>
        <v>2</v>
      </c>
      <c r="P393">
        <f>11-M393</f>
        <v>3</v>
      </c>
      <c r="Q393" t="s">
        <v>69</v>
      </c>
      <c r="R393">
        <v>10</v>
      </c>
      <c r="S393">
        <v>1</v>
      </c>
      <c r="T393" t="s">
        <v>1351</v>
      </c>
      <c r="U393" t="s">
        <v>156</v>
      </c>
      <c r="V393" t="s">
        <v>1380</v>
      </c>
      <c r="W393" t="s">
        <v>1392</v>
      </c>
      <c r="X393" t="s">
        <v>1403</v>
      </c>
      <c r="Y393" t="s">
        <v>1404</v>
      </c>
      <c r="Z393" t="s">
        <v>1405</v>
      </c>
      <c r="AA393" t="s">
        <v>710</v>
      </c>
      <c r="AB393" t="s">
        <v>37</v>
      </c>
      <c r="AC393" t="s">
        <v>38</v>
      </c>
      <c r="AD393" t="s">
        <v>169</v>
      </c>
      <c r="AE393" t="s">
        <v>75</v>
      </c>
      <c r="AF393">
        <f t="shared" si="5"/>
        <v>168</v>
      </c>
      <c r="AG393" t="s">
        <v>77</v>
      </c>
      <c r="AH393" t="s">
        <v>50</v>
      </c>
      <c r="AI393" t="s">
        <v>1406</v>
      </c>
      <c r="AJ393" t="s">
        <v>1407</v>
      </c>
      <c r="AK393" t="s">
        <v>61</v>
      </c>
      <c r="AL393" t="s">
        <v>46</v>
      </c>
      <c r="AM393" t="s">
        <v>46</v>
      </c>
      <c r="AN393" t="s">
        <v>152</v>
      </c>
      <c r="AO393">
        <f t="shared" si="6"/>
        <v>432</v>
      </c>
      <c r="AP393" t="s">
        <v>63</v>
      </c>
      <c r="AQ393" t="s">
        <v>46</v>
      </c>
      <c r="AR393" t="s">
        <v>50</v>
      </c>
      <c r="AS393" t="s">
        <v>1641</v>
      </c>
      <c r="AT393" t="s">
        <v>63</v>
      </c>
      <c r="AU393" t="s">
        <v>46</v>
      </c>
      <c r="AV393">
        <v>1984</v>
      </c>
      <c r="AW393" t="s">
        <v>46</v>
      </c>
    </row>
    <row r="394" spans="1:49" x14ac:dyDescent="0.2">
      <c r="A394">
        <v>393</v>
      </c>
      <c r="B394" t="s">
        <v>1348</v>
      </c>
      <c r="C394" t="s">
        <v>1356</v>
      </c>
      <c r="D394">
        <v>1.2</v>
      </c>
      <c r="E394" t="s">
        <v>162</v>
      </c>
      <c r="F394">
        <f>D394-1</f>
        <v>0.19999999999999996</v>
      </c>
      <c r="G394">
        <f>1.6-D394</f>
        <v>0.40000000000000013</v>
      </c>
      <c r="H394" t="s">
        <v>69</v>
      </c>
      <c r="I394">
        <v>10</v>
      </c>
      <c r="J394">
        <v>1</v>
      </c>
      <c r="K394" t="s">
        <v>1351</v>
      </c>
      <c r="L394" t="s">
        <v>1357</v>
      </c>
      <c r="M394">
        <v>2.4</v>
      </c>
      <c r="N394" t="s">
        <v>162</v>
      </c>
      <c r="O394">
        <f>M394-2</f>
        <v>0.39999999999999991</v>
      </c>
      <c r="P394">
        <f>2.9-M394</f>
        <v>0.5</v>
      </c>
      <c r="Q394" t="s">
        <v>69</v>
      </c>
      <c r="R394">
        <v>10</v>
      </c>
      <c r="S394">
        <v>1</v>
      </c>
      <c r="T394" t="s">
        <v>1351</v>
      </c>
      <c r="U394" t="s">
        <v>156</v>
      </c>
      <c r="V394" t="s">
        <v>1381</v>
      </c>
      <c r="W394" t="s">
        <v>1393</v>
      </c>
      <c r="X394" t="s">
        <v>1403</v>
      </c>
      <c r="Y394" t="s">
        <v>1404</v>
      </c>
      <c r="Z394" t="s">
        <v>1405</v>
      </c>
      <c r="AA394" t="s">
        <v>710</v>
      </c>
      <c r="AB394" t="s">
        <v>37</v>
      </c>
      <c r="AC394" t="s">
        <v>38</v>
      </c>
      <c r="AD394" t="s">
        <v>169</v>
      </c>
      <c r="AE394" t="s">
        <v>75</v>
      </c>
      <c r="AF394">
        <f t="shared" si="5"/>
        <v>168</v>
      </c>
      <c r="AG394" t="s">
        <v>77</v>
      </c>
      <c r="AH394" t="s">
        <v>50</v>
      </c>
      <c r="AI394" t="s">
        <v>1406</v>
      </c>
      <c r="AJ394" t="s">
        <v>1407</v>
      </c>
      <c r="AK394" t="s">
        <v>61</v>
      </c>
      <c r="AL394" t="s">
        <v>46</v>
      </c>
      <c r="AM394" t="s">
        <v>46</v>
      </c>
      <c r="AN394" t="s">
        <v>152</v>
      </c>
      <c r="AO394">
        <f t="shared" si="6"/>
        <v>432</v>
      </c>
      <c r="AP394" t="s">
        <v>63</v>
      </c>
      <c r="AQ394" t="s">
        <v>46</v>
      </c>
      <c r="AR394" t="s">
        <v>50</v>
      </c>
      <c r="AS394" t="s">
        <v>1641</v>
      </c>
      <c r="AT394" t="s">
        <v>63</v>
      </c>
      <c r="AU394" t="s">
        <v>46</v>
      </c>
      <c r="AV394">
        <v>1984</v>
      </c>
      <c r="AW394" t="s">
        <v>46</v>
      </c>
    </row>
    <row r="395" spans="1:49" x14ac:dyDescent="0.2">
      <c r="A395">
        <v>394</v>
      </c>
      <c r="B395" t="s">
        <v>1348</v>
      </c>
      <c r="C395" t="s">
        <v>1358</v>
      </c>
      <c r="D395">
        <v>13</v>
      </c>
      <c r="E395" t="s">
        <v>162</v>
      </c>
      <c r="F395">
        <f>D395-10</f>
        <v>3</v>
      </c>
      <c r="G395">
        <f>16-D395</f>
        <v>3</v>
      </c>
      <c r="H395" t="s">
        <v>69</v>
      </c>
      <c r="I395">
        <v>8</v>
      </c>
      <c r="J395">
        <v>1</v>
      </c>
      <c r="K395" t="s">
        <v>1352</v>
      </c>
      <c r="L395" t="s">
        <v>1359</v>
      </c>
      <c r="M395">
        <v>19</v>
      </c>
      <c r="N395" t="s">
        <v>162</v>
      </c>
      <c r="O395">
        <f>M395-15</f>
        <v>4</v>
      </c>
      <c r="P395">
        <f>23-M395</f>
        <v>4</v>
      </c>
      <c r="Q395" t="s">
        <v>69</v>
      </c>
      <c r="R395">
        <v>10</v>
      </c>
      <c r="S395">
        <v>1</v>
      </c>
      <c r="T395" t="s">
        <v>1351</v>
      </c>
      <c r="U395" t="s">
        <v>156</v>
      </c>
      <c r="V395" t="s">
        <v>1382</v>
      </c>
      <c r="W395" t="s">
        <v>1394</v>
      </c>
      <c r="X395" t="s">
        <v>1403</v>
      </c>
      <c r="Y395" t="s">
        <v>1404</v>
      </c>
      <c r="Z395" t="s">
        <v>1405</v>
      </c>
      <c r="AA395" t="s">
        <v>710</v>
      </c>
      <c r="AB395" t="s">
        <v>37</v>
      </c>
      <c r="AC395" t="s">
        <v>38</v>
      </c>
      <c r="AD395" t="s">
        <v>169</v>
      </c>
      <c r="AE395" t="s">
        <v>75</v>
      </c>
      <c r="AF395">
        <f t="shared" si="5"/>
        <v>168</v>
      </c>
      <c r="AG395" t="s">
        <v>77</v>
      </c>
      <c r="AH395" t="s">
        <v>50</v>
      </c>
      <c r="AI395" t="s">
        <v>1406</v>
      </c>
      <c r="AJ395" t="s">
        <v>1407</v>
      </c>
      <c r="AK395" t="s">
        <v>61</v>
      </c>
      <c r="AL395" t="s">
        <v>46</v>
      </c>
      <c r="AM395" t="s">
        <v>46</v>
      </c>
      <c r="AN395" t="s">
        <v>152</v>
      </c>
      <c r="AO395">
        <f t="shared" si="6"/>
        <v>432</v>
      </c>
      <c r="AP395" t="s">
        <v>63</v>
      </c>
      <c r="AQ395" t="s">
        <v>46</v>
      </c>
      <c r="AR395" t="s">
        <v>50</v>
      </c>
      <c r="AS395" t="s">
        <v>1641</v>
      </c>
      <c r="AT395" t="s">
        <v>63</v>
      </c>
      <c r="AU395" t="s">
        <v>46</v>
      </c>
      <c r="AV395">
        <v>1984</v>
      </c>
      <c r="AW395" t="s">
        <v>46</v>
      </c>
    </row>
    <row r="396" spans="1:49" x14ac:dyDescent="0.2">
      <c r="A396">
        <v>395</v>
      </c>
      <c r="B396" t="s">
        <v>1348</v>
      </c>
      <c r="C396" t="s">
        <v>1360</v>
      </c>
      <c r="D396">
        <v>6</v>
      </c>
      <c r="E396" t="s">
        <v>162</v>
      </c>
      <c r="F396">
        <f>D396-4</f>
        <v>2</v>
      </c>
      <c r="G396">
        <f>9-D396</f>
        <v>3</v>
      </c>
      <c r="H396" t="s">
        <v>69</v>
      </c>
      <c r="I396">
        <v>10</v>
      </c>
      <c r="J396">
        <v>1</v>
      </c>
      <c r="K396" t="s">
        <v>1351</v>
      </c>
      <c r="L396" t="s">
        <v>1361</v>
      </c>
      <c r="M396">
        <v>13</v>
      </c>
      <c r="N396" t="s">
        <v>162</v>
      </c>
      <c r="O396">
        <f>M396-8</f>
        <v>5</v>
      </c>
      <c r="P396">
        <f>21-M396</f>
        <v>8</v>
      </c>
      <c r="Q396" t="s">
        <v>69</v>
      </c>
      <c r="R396">
        <v>10</v>
      </c>
      <c r="S396">
        <v>1</v>
      </c>
      <c r="T396" t="s">
        <v>1351</v>
      </c>
      <c r="U396" t="s">
        <v>156</v>
      </c>
      <c r="V396" t="s">
        <v>1383</v>
      </c>
      <c r="W396" t="s">
        <v>1395</v>
      </c>
      <c r="X396" t="s">
        <v>1403</v>
      </c>
      <c r="Y396" t="s">
        <v>1404</v>
      </c>
      <c r="Z396" t="s">
        <v>1405</v>
      </c>
      <c r="AA396" t="s">
        <v>710</v>
      </c>
      <c r="AB396" t="s">
        <v>37</v>
      </c>
      <c r="AC396" t="s">
        <v>38</v>
      </c>
      <c r="AD396" t="s">
        <v>169</v>
      </c>
      <c r="AE396" t="s">
        <v>75</v>
      </c>
      <c r="AF396">
        <f t="shared" si="5"/>
        <v>168</v>
      </c>
      <c r="AG396" t="s">
        <v>77</v>
      </c>
      <c r="AH396" t="s">
        <v>50</v>
      </c>
      <c r="AI396" t="s">
        <v>1406</v>
      </c>
      <c r="AJ396" t="s">
        <v>1407</v>
      </c>
      <c r="AK396" t="s">
        <v>61</v>
      </c>
      <c r="AL396" t="s">
        <v>46</v>
      </c>
      <c r="AM396" t="s">
        <v>46</v>
      </c>
      <c r="AN396" t="s">
        <v>152</v>
      </c>
      <c r="AO396">
        <f t="shared" si="6"/>
        <v>432</v>
      </c>
      <c r="AP396" t="s">
        <v>63</v>
      </c>
      <c r="AQ396" t="s">
        <v>46</v>
      </c>
      <c r="AR396" t="s">
        <v>50</v>
      </c>
      <c r="AS396" t="s">
        <v>1641</v>
      </c>
      <c r="AT396" t="s">
        <v>63</v>
      </c>
      <c r="AU396" t="s">
        <v>46</v>
      </c>
      <c r="AV396">
        <v>1984</v>
      </c>
      <c r="AW396" t="s">
        <v>46</v>
      </c>
    </row>
    <row r="397" spans="1:49" x14ac:dyDescent="0.2">
      <c r="A397">
        <v>396</v>
      </c>
      <c r="B397" t="s">
        <v>1348</v>
      </c>
      <c r="C397" t="s">
        <v>1362</v>
      </c>
      <c r="D397">
        <v>12</v>
      </c>
      <c r="E397" t="s">
        <v>162</v>
      </c>
      <c r="F397">
        <f>D397-7</f>
        <v>5</v>
      </c>
      <c r="G397">
        <f>19-D397</f>
        <v>7</v>
      </c>
      <c r="H397" t="s">
        <v>69</v>
      </c>
      <c r="I397">
        <v>10</v>
      </c>
      <c r="J397">
        <v>1</v>
      </c>
      <c r="K397" t="s">
        <v>1351</v>
      </c>
      <c r="L397" t="s">
        <v>1363</v>
      </c>
      <c r="M397">
        <v>29</v>
      </c>
      <c r="N397" t="s">
        <v>162</v>
      </c>
      <c r="O397">
        <f>M397-24</f>
        <v>5</v>
      </c>
      <c r="P397">
        <f>34-M397</f>
        <v>5</v>
      </c>
      <c r="Q397" t="s">
        <v>69</v>
      </c>
      <c r="R397">
        <v>10</v>
      </c>
      <c r="S397">
        <v>1</v>
      </c>
      <c r="T397" t="s">
        <v>1351</v>
      </c>
      <c r="U397" t="s">
        <v>156</v>
      </c>
      <c r="V397" t="s">
        <v>1384</v>
      </c>
      <c r="W397" t="s">
        <v>1396</v>
      </c>
      <c r="X397" t="s">
        <v>1403</v>
      </c>
      <c r="Y397" t="s">
        <v>1404</v>
      </c>
      <c r="Z397" t="s">
        <v>1405</v>
      </c>
      <c r="AA397" t="s">
        <v>710</v>
      </c>
      <c r="AB397" t="s">
        <v>37</v>
      </c>
      <c r="AC397" t="s">
        <v>38</v>
      </c>
      <c r="AD397" t="s">
        <v>169</v>
      </c>
      <c r="AE397" t="s">
        <v>75</v>
      </c>
      <c r="AF397">
        <f t="shared" si="5"/>
        <v>168</v>
      </c>
      <c r="AG397" t="s">
        <v>77</v>
      </c>
      <c r="AH397" t="s">
        <v>50</v>
      </c>
      <c r="AI397" t="s">
        <v>1406</v>
      </c>
      <c r="AJ397" t="s">
        <v>1407</v>
      </c>
      <c r="AK397" t="s">
        <v>61</v>
      </c>
      <c r="AL397" t="s">
        <v>46</v>
      </c>
      <c r="AM397" t="s">
        <v>46</v>
      </c>
      <c r="AN397" t="s">
        <v>152</v>
      </c>
      <c r="AO397">
        <f t="shared" si="6"/>
        <v>432</v>
      </c>
      <c r="AP397" t="s">
        <v>63</v>
      </c>
      <c r="AQ397" t="s">
        <v>46</v>
      </c>
      <c r="AR397" t="s">
        <v>50</v>
      </c>
      <c r="AS397" t="s">
        <v>1641</v>
      </c>
      <c r="AT397" t="s">
        <v>63</v>
      </c>
      <c r="AU397" t="s">
        <v>46</v>
      </c>
      <c r="AV397">
        <v>1984</v>
      </c>
      <c r="AW397" t="s">
        <v>46</v>
      </c>
    </row>
    <row r="398" spans="1:49" x14ac:dyDescent="0.2">
      <c r="A398">
        <v>397</v>
      </c>
      <c r="B398" t="s">
        <v>1348</v>
      </c>
      <c r="C398" t="s">
        <v>1364</v>
      </c>
      <c r="D398">
        <v>12</v>
      </c>
      <c r="E398" t="s">
        <v>162</v>
      </c>
      <c r="F398">
        <f>D398-10</f>
        <v>2</v>
      </c>
      <c r="G398">
        <f>14-D398</f>
        <v>2</v>
      </c>
      <c r="H398" t="s">
        <v>69</v>
      </c>
      <c r="I398">
        <v>10</v>
      </c>
      <c r="J398">
        <v>1</v>
      </c>
      <c r="K398" t="s">
        <v>1351</v>
      </c>
      <c r="L398" t="s">
        <v>1365</v>
      </c>
      <c r="M398">
        <v>14</v>
      </c>
      <c r="N398" t="s">
        <v>162</v>
      </c>
      <c r="O398">
        <f>M398-12</f>
        <v>2</v>
      </c>
      <c r="P398">
        <f>17-M398</f>
        <v>3</v>
      </c>
      <c r="Q398" t="s">
        <v>69</v>
      </c>
      <c r="R398">
        <v>10</v>
      </c>
      <c r="S398">
        <v>1</v>
      </c>
      <c r="T398" t="s">
        <v>1351</v>
      </c>
      <c r="U398" t="s">
        <v>156</v>
      </c>
      <c r="V398" t="s">
        <v>1385</v>
      </c>
      <c r="W398" t="s">
        <v>1397</v>
      </c>
      <c r="X398" t="s">
        <v>1403</v>
      </c>
      <c r="Y398" t="s">
        <v>1404</v>
      </c>
      <c r="Z398" t="s">
        <v>1405</v>
      </c>
      <c r="AA398" t="s">
        <v>710</v>
      </c>
      <c r="AB398" t="s">
        <v>37</v>
      </c>
      <c r="AC398" t="s">
        <v>38</v>
      </c>
      <c r="AD398" t="s">
        <v>169</v>
      </c>
      <c r="AE398" t="s">
        <v>75</v>
      </c>
      <c r="AF398">
        <f t="shared" si="5"/>
        <v>168</v>
      </c>
      <c r="AG398" t="s">
        <v>77</v>
      </c>
      <c r="AH398" t="s">
        <v>50</v>
      </c>
      <c r="AI398" t="s">
        <v>1406</v>
      </c>
      <c r="AJ398" t="s">
        <v>1407</v>
      </c>
      <c r="AK398" t="s">
        <v>61</v>
      </c>
      <c r="AL398" t="s">
        <v>46</v>
      </c>
      <c r="AM398" t="s">
        <v>46</v>
      </c>
      <c r="AN398" t="s">
        <v>152</v>
      </c>
      <c r="AO398">
        <f t="shared" si="6"/>
        <v>432</v>
      </c>
      <c r="AP398" t="s">
        <v>63</v>
      </c>
      <c r="AQ398" t="s">
        <v>46</v>
      </c>
      <c r="AR398" t="s">
        <v>50</v>
      </c>
      <c r="AS398" t="s">
        <v>1641</v>
      </c>
      <c r="AT398" t="s">
        <v>63</v>
      </c>
      <c r="AU398" t="s">
        <v>46</v>
      </c>
      <c r="AV398">
        <v>1984</v>
      </c>
      <c r="AW398" t="s">
        <v>46</v>
      </c>
    </row>
    <row r="399" spans="1:49" x14ac:dyDescent="0.2">
      <c r="A399">
        <v>398</v>
      </c>
      <c r="B399" t="s">
        <v>1348</v>
      </c>
      <c r="C399" t="s">
        <v>1366</v>
      </c>
      <c r="D399">
        <v>7</v>
      </c>
      <c r="E399" t="s">
        <v>162</v>
      </c>
      <c r="F399">
        <f>D399-4</f>
        <v>3</v>
      </c>
      <c r="G399">
        <f>11-D399</f>
        <v>4</v>
      </c>
      <c r="H399" t="s">
        <v>69</v>
      </c>
      <c r="I399">
        <v>9</v>
      </c>
      <c r="J399">
        <v>1</v>
      </c>
      <c r="K399" t="s">
        <v>1353</v>
      </c>
      <c r="L399" t="s">
        <v>1367</v>
      </c>
      <c r="M399">
        <v>21</v>
      </c>
      <c r="N399" t="s">
        <v>162</v>
      </c>
      <c r="O399">
        <f>M399-14</f>
        <v>7</v>
      </c>
      <c r="P399">
        <f>31-M399</f>
        <v>10</v>
      </c>
      <c r="Q399" t="s">
        <v>69</v>
      </c>
      <c r="R399">
        <v>10</v>
      </c>
      <c r="S399">
        <v>1</v>
      </c>
      <c r="T399" t="s">
        <v>1351</v>
      </c>
      <c r="U399" t="s">
        <v>156</v>
      </c>
      <c r="V399" t="s">
        <v>1386</v>
      </c>
      <c r="W399" t="s">
        <v>1398</v>
      </c>
      <c r="X399" t="s">
        <v>1403</v>
      </c>
      <c r="Y399" t="s">
        <v>1404</v>
      </c>
      <c r="Z399" t="s">
        <v>1405</v>
      </c>
      <c r="AA399" t="s">
        <v>710</v>
      </c>
      <c r="AB399" t="s">
        <v>37</v>
      </c>
      <c r="AC399" t="s">
        <v>38</v>
      </c>
      <c r="AD399" t="s">
        <v>169</v>
      </c>
      <c r="AE399" t="s">
        <v>75</v>
      </c>
      <c r="AF399">
        <f t="shared" si="5"/>
        <v>168</v>
      </c>
      <c r="AG399" t="s">
        <v>77</v>
      </c>
      <c r="AH399" t="s">
        <v>50</v>
      </c>
      <c r="AI399" t="s">
        <v>1406</v>
      </c>
      <c r="AJ399" t="s">
        <v>1407</v>
      </c>
      <c r="AK399" t="s">
        <v>61</v>
      </c>
      <c r="AL399" t="s">
        <v>46</v>
      </c>
      <c r="AM399" t="s">
        <v>46</v>
      </c>
      <c r="AN399" t="s">
        <v>152</v>
      </c>
      <c r="AO399">
        <f t="shared" si="6"/>
        <v>432</v>
      </c>
      <c r="AP399" t="s">
        <v>63</v>
      </c>
      <c r="AQ399" t="s">
        <v>46</v>
      </c>
      <c r="AR399" t="s">
        <v>50</v>
      </c>
      <c r="AS399" t="s">
        <v>1641</v>
      </c>
      <c r="AT399" t="s">
        <v>63</v>
      </c>
      <c r="AU399" t="s">
        <v>46</v>
      </c>
      <c r="AV399">
        <v>1984</v>
      </c>
      <c r="AW399" t="s">
        <v>46</v>
      </c>
    </row>
    <row r="400" spans="1:49" x14ac:dyDescent="0.2">
      <c r="A400">
        <v>399</v>
      </c>
      <c r="B400" t="s">
        <v>1348</v>
      </c>
      <c r="C400" t="s">
        <v>1368</v>
      </c>
      <c r="D400">
        <v>15</v>
      </c>
      <c r="E400" t="s">
        <v>162</v>
      </c>
      <c r="F400">
        <f>D400-12</f>
        <v>3</v>
      </c>
      <c r="G400">
        <f>19-D400</f>
        <v>4</v>
      </c>
      <c r="H400" t="s">
        <v>69</v>
      </c>
      <c r="I400">
        <v>10</v>
      </c>
      <c r="J400">
        <v>1</v>
      </c>
      <c r="K400" t="s">
        <v>1351</v>
      </c>
      <c r="L400" t="s">
        <v>1369</v>
      </c>
      <c r="M400">
        <v>26</v>
      </c>
      <c r="N400" t="s">
        <v>162</v>
      </c>
      <c r="O400">
        <f>M400-20</f>
        <v>6</v>
      </c>
      <c r="P400">
        <f>34-M400</f>
        <v>8</v>
      </c>
      <c r="Q400" t="s">
        <v>69</v>
      </c>
      <c r="R400">
        <v>10</v>
      </c>
      <c r="S400">
        <v>1</v>
      </c>
      <c r="T400" t="s">
        <v>1351</v>
      </c>
      <c r="U400" t="s">
        <v>156</v>
      </c>
      <c r="V400" t="s">
        <v>1387</v>
      </c>
      <c r="W400" t="s">
        <v>1399</v>
      </c>
      <c r="X400" t="s">
        <v>1403</v>
      </c>
      <c r="Y400" t="s">
        <v>1404</v>
      </c>
      <c r="Z400" t="s">
        <v>1405</v>
      </c>
      <c r="AA400" t="s">
        <v>710</v>
      </c>
      <c r="AB400" t="s">
        <v>37</v>
      </c>
      <c r="AC400" t="s">
        <v>38</v>
      </c>
      <c r="AD400" t="s">
        <v>169</v>
      </c>
      <c r="AE400" t="s">
        <v>75</v>
      </c>
      <c r="AF400">
        <f t="shared" si="5"/>
        <v>168</v>
      </c>
      <c r="AG400" t="s">
        <v>77</v>
      </c>
      <c r="AH400" t="s">
        <v>50</v>
      </c>
      <c r="AI400" t="s">
        <v>1406</v>
      </c>
      <c r="AJ400" t="s">
        <v>1407</v>
      </c>
      <c r="AK400" t="s">
        <v>61</v>
      </c>
      <c r="AL400" t="s">
        <v>46</v>
      </c>
      <c r="AM400" t="s">
        <v>46</v>
      </c>
      <c r="AN400" t="s">
        <v>152</v>
      </c>
      <c r="AO400">
        <f t="shared" si="6"/>
        <v>432</v>
      </c>
      <c r="AP400" t="s">
        <v>63</v>
      </c>
      <c r="AQ400" t="s">
        <v>46</v>
      </c>
      <c r="AR400" t="s">
        <v>50</v>
      </c>
      <c r="AS400" t="s">
        <v>1641</v>
      </c>
      <c r="AT400" t="s">
        <v>63</v>
      </c>
      <c r="AU400" t="s">
        <v>46</v>
      </c>
      <c r="AV400">
        <v>1984</v>
      </c>
      <c r="AW400" t="s">
        <v>46</v>
      </c>
    </row>
    <row r="401" spans="1:49" x14ac:dyDescent="0.2">
      <c r="A401">
        <v>400</v>
      </c>
      <c r="B401" t="s">
        <v>1348</v>
      </c>
      <c r="C401" t="s">
        <v>1370</v>
      </c>
      <c r="D401">
        <v>21</v>
      </c>
      <c r="E401" t="s">
        <v>162</v>
      </c>
      <c r="F401">
        <f>D401-17</f>
        <v>4</v>
      </c>
      <c r="G401">
        <f>26-D401</f>
        <v>5</v>
      </c>
      <c r="H401" t="s">
        <v>69</v>
      </c>
      <c r="I401">
        <v>8</v>
      </c>
      <c r="J401">
        <v>1</v>
      </c>
      <c r="K401" t="s">
        <v>1352</v>
      </c>
      <c r="L401" t="s">
        <v>1371</v>
      </c>
      <c r="M401">
        <v>33</v>
      </c>
      <c r="N401" t="s">
        <v>162</v>
      </c>
      <c r="O401">
        <f>M401-24</f>
        <v>9</v>
      </c>
      <c r="P401">
        <f>44-M401</f>
        <v>11</v>
      </c>
      <c r="Q401" t="s">
        <v>69</v>
      </c>
      <c r="R401">
        <v>10</v>
      </c>
      <c r="S401">
        <v>1</v>
      </c>
      <c r="T401" t="s">
        <v>1351</v>
      </c>
      <c r="U401" t="s">
        <v>156</v>
      </c>
      <c r="V401" t="s">
        <v>1388</v>
      </c>
      <c r="W401" t="s">
        <v>1400</v>
      </c>
      <c r="X401" t="s">
        <v>1403</v>
      </c>
      <c r="Y401" t="s">
        <v>1404</v>
      </c>
      <c r="Z401" t="s">
        <v>1405</v>
      </c>
      <c r="AA401" t="s">
        <v>710</v>
      </c>
      <c r="AB401" t="s">
        <v>37</v>
      </c>
      <c r="AC401" t="s">
        <v>38</v>
      </c>
      <c r="AD401" t="s">
        <v>169</v>
      </c>
      <c r="AE401" t="s">
        <v>75</v>
      </c>
      <c r="AF401">
        <f t="shared" si="5"/>
        <v>168</v>
      </c>
      <c r="AG401" t="s">
        <v>77</v>
      </c>
      <c r="AH401" t="s">
        <v>50</v>
      </c>
      <c r="AI401" t="s">
        <v>1406</v>
      </c>
      <c r="AJ401" t="s">
        <v>1407</v>
      </c>
      <c r="AK401" t="s">
        <v>61</v>
      </c>
      <c r="AL401" t="s">
        <v>46</v>
      </c>
      <c r="AM401" t="s">
        <v>46</v>
      </c>
      <c r="AN401" t="s">
        <v>152</v>
      </c>
      <c r="AO401">
        <f t="shared" si="6"/>
        <v>432</v>
      </c>
      <c r="AP401" t="s">
        <v>63</v>
      </c>
      <c r="AQ401" t="s">
        <v>46</v>
      </c>
      <c r="AR401" t="s">
        <v>50</v>
      </c>
      <c r="AS401" t="s">
        <v>1641</v>
      </c>
      <c r="AT401" t="s">
        <v>63</v>
      </c>
      <c r="AU401" t="s">
        <v>46</v>
      </c>
      <c r="AV401">
        <v>1984</v>
      </c>
      <c r="AW401" t="s">
        <v>46</v>
      </c>
    </row>
    <row r="402" spans="1:49" x14ac:dyDescent="0.2">
      <c r="A402">
        <v>401</v>
      </c>
      <c r="B402" t="s">
        <v>1348</v>
      </c>
      <c r="C402" t="s">
        <v>1372</v>
      </c>
      <c r="D402">
        <v>12</v>
      </c>
      <c r="E402" t="s">
        <v>162</v>
      </c>
      <c r="F402">
        <f>D402-7</f>
        <v>5</v>
      </c>
      <c r="G402">
        <f>19-D402</f>
        <v>7</v>
      </c>
      <c r="H402" t="s">
        <v>69</v>
      </c>
      <c r="I402">
        <v>12</v>
      </c>
      <c r="J402">
        <v>1</v>
      </c>
      <c r="K402" t="s">
        <v>1373</v>
      </c>
      <c r="L402" t="s">
        <v>1374</v>
      </c>
      <c r="M402">
        <v>12</v>
      </c>
      <c r="N402" t="s">
        <v>162</v>
      </c>
      <c r="O402">
        <f>M402-9</f>
        <v>3</v>
      </c>
      <c r="P402">
        <f>16-M402</f>
        <v>4</v>
      </c>
      <c r="Q402" t="s">
        <v>69</v>
      </c>
      <c r="R402">
        <v>12</v>
      </c>
      <c r="S402">
        <v>1</v>
      </c>
      <c r="T402" t="s">
        <v>1373</v>
      </c>
      <c r="U402" t="s">
        <v>156</v>
      </c>
      <c r="V402" t="s">
        <v>1389</v>
      </c>
      <c r="W402" t="s">
        <v>1401</v>
      </c>
      <c r="X402" t="s">
        <v>1403</v>
      </c>
      <c r="Y402" t="s">
        <v>1404</v>
      </c>
      <c r="Z402" t="s">
        <v>1405</v>
      </c>
      <c r="AA402" t="s">
        <v>710</v>
      </c>
      <c r="AB402" t="s">
        <v>37</v>
      </c>
      <c r="AC402" t="s">
        <v>38</v>
      </c>
      <c r="AD402" t="s">
        <v>169</v>
      </c>
      <c r="AE402" t="s">
        <v>75</v>
      </c>
      <c r="AF402">
        <f t="shared" si="5"/>
        <v>168</v>
      </c>
      <c r="AG402" t="s">
        <v>77</v>
      </c>
      <c r="AH402" t="s">
        <v>50</v>
      </c>
      <c r="AI402" t="s">
        <v>1406</v>
      </c>
      <c r="AJ402" t="s">
        <v>1407</v>
      </c>
      <c r="AK402" t="s">
        <v>61</v>
      </c>
      <c r="AL402" t="s">
        <v>46</v>
      </c>
      <c r="AM402" t="s">
        <v>46</v>
      </c>
      <c r="AN402" t="s">
        <v>152</v>
      </c>
      <c r="AO402">
        <f t="shared" si="6"/>
        <v>432</v>
      </c>
      <c r="AP402" t="s">
        <v>63</v>
      </c>
      <c r="AQ402" t="s">
        <v>46</v>
      </c>
      <c r="AR402" t="s">
        <v>50</v>
      </c>
      <c r="AS402" t="s">
        <v>1641</v>
      </c>
      <c r="AT402" t="s">
        <v>63</v>
      </c>
      <c r="AU402" t="s">
        <v>46</v>
      </c>
      <c r="AV402">
        <v>1984</v>
      </c>
      <c r="AW402" t="s">
        <v>46</v>
      </c>
    </row>
    <row r="403" spans="1:49" x14ac:dyDescent="0.2">
      <c r="A403">
        <v>402</v>
      </c>
      <c r="B403" t="s">
        <v>1348</v>
      </c>
      <c r="C403" t="s">
        <v>1375</v>
      </c>
      <c r="D403">
        <v>2</v>
      </c>
      <c r="E403" t="s">
        <v>162</v>
      </c>
      <c r="F403">
        <f>D403-1.4</f>
        <v>0.60000000000000009</v>
      </c>
      <c r="G403">
        <f>2.9-D403</f>
        <v>0.89999999999999991</v>
      </c>
      <c r="H403" t="s">
        <v>69</v>
      </c>
      <c r="I403">
        <v>8</v>
      </c>
      <c r="J403">
        <v>1</v>
      </c>
      <c r="K403" t="s">
        <v>1352</v>
      </c>
      <c r="L403" t="s">
        <v>1376</v>
      </c>
      <c r="M403">
        <v>2.5</v>
      </c>
      <c r="N403" t="s">
        <v>162</v>
      </c>
      <c r="O403">
        <f>M403-1.6</f>
        <v>0.89999999999999991</v>
      </c>
      <c r="P403">
        <f>4-M403</f>
        <v>1.5</v>
      </c>
      <c r="Q403" t="s">
        <v>69</v>
      </c>
      <c r="R403">
        <v>10</v>
      </c>
      <c r="S403">
        <v>1</v>
      </c>
      <c r="T403" t="s">
        <v>1351</v>
      </c>
      <c r="U403" t="s">
        <v>156</v>
      </c>
      <c r="V403" t="s">
        <v>1390</v>
      </c>
      <c r="W403" t="s">
        <v>1402</v>
      </c>
      <c r="X403" t="s">
        <v>1403</v>
      </c>
      <c r="Y403" t="s">
        <v>1404</v>
      </c>
      <c r="Z403" t="s">
        <v>1405</v>
      </c>
      <c r="AA403" t="s">
        <v>710</v>
      </c>
      <c r="AB403" t="s">
        <v>37</v>
      </c>
      <c r="AC403" t="s">
        <v>38</v>
      </c>
      <c r="AD403" t="s">
        <v>169</v>
      </c>
      <c r="AE403" t="s">
        <v>75</v>
      </c>
      <c r="AF403">
        <f t="shared" si="5"/>
        <v>168</v>
      </c>
      <c r="AG403" t="s">
        <v>77</v>
      </c>
      <c r="AH403" t="s">
        <v>50</v>
      </c>
      <c r="AI403" t="s">
        <v>1406</v>
      </c>
      <c r="AJ403" t="s">
        <v>1407</v>
      </c>
      <c r="AK403" t="s">
        <v>61</v>
      </c>
      <c r="AL403" t="s">
        <v>46</v>
      </c>
      <c r="AM403" t="s">
        <v>46</v>
      </c>
      <c r="AN403" t="s">
        <v>152</v>
      </c>
      <c r="AO403">
        <f t="shared" si="6"/>
        <v>432</v>
      </c>
      <c r="AP403" t="s">
        <v>63</v>
      </c>
      <c r="AQ403" t="s">
        <v>46</v>
      </c>
      <c r="AR403" t="s">
        <v>50</v>
      </c>
      <c r="AS403" t="s">
        <v>1641</v>
      </c>
      <c r="AT403" t="s">
        <v>63</v>
      </c>
      <c r="AU403" t="s">
        <v>46</v>
      </c>
      <c r="AV403">
        <v>1984</v>
      </c>
      <c r="AW403" t="s">
        <v>46</v>
      </c>
    </row>
    <row r="404" spans="1:49" x14ac:dyDescent="0.2">
      <c r="A404">
        <v>403</v>
      </c>
      <c r="B404" t="s">
        <v>1408</v>
      </c>
      <c r="C404" t="s">
        <v>1409</v>
      </c>
      <c r="D404">
        <v>6</v>
      </c>
      <c r="E404" t="s">
        <v>42</v>
      </c>
      <c r="F404">
        <f>D404-3.7</f>
        <v>2.2999999999999998</v>
      </c>
      <c r="G404">
        <f>9-D404</f>
        <v>3</v>
      </c>
      <c r="H404" t="s">
        <v>69</v>
      </c>
      <c r="I404">
        <v>12</v>
      </c>
      <c r="J404">
        <v>10</v>
      </c>
      <c r="K404" t="s">
        <v>1410</v>
      </c>
      <c r="L404" t="s">
        <v>1411</v>
      </c>
      <c r="M404">
        <v>8.5</v>
      </c>
      <c r="N404" t="s">
        <v>42</v>
      </c>
      <c r="O404">
        <f>M404-6.6</f>
        <v>1.9000000000000004</v>
      </c>
      <c r="P404">
        <f>11.5-M404</f>
        <v>3</v>
      </c>
      <c r="Q404" t="s">
        <v>69</v>
      </c>
      <c r="R404">
        <v>12</v>
      </c>
      <c r="S404">
        <v>10</v>
      </c>
      <c r="T404" t="s">
        <v>1410</v>
      </c>
      <c r="U404" t="s">
        <v>156</v>
      </c>
      <c r="V404" t="s">
        <v>1412</v>
      </c>
      <c r="W404" s="3" t="s">
        <v>1413</v>
      </c>
      <c r="X404" t="s">
        <v>449</v>
      </c>
      <c r="Y404" t="s">
        <v>46</v>
      </c>
      <c r="Z404" t="s">
        <v>1414</v>
      </c>
      <c r="AA404" t="s">
        <v>73</v>
      </c>
      <c r="AB404" t="s">
        <v>74</v>
      </c>
      <c r="AC404" t="s">
        <v>38</v>
      </c>
      <c r="AD404" t="s">
        <v>39</v>
      </c>
      <c r="AE404" t="s">
        <v>465</v>
      </c>
      <c r="AF404">
        <v>48</v>
      </c>
      <c r="AG404" t="s">
        <v>77</v>
      </c>
      <c r="AH404" t="s">
        <v>50</v>
      </c>
      <c r="AI404" t="s">
        <v>46</v>
      </c>
      <c r="AJ404" t="s">
        <v>47</v>
      </c>
      <c r="AK404" t="s">
        <v>61</v>
      </c>
      <c r="AL404">
        <v>25</v>
      </c>
      <c r="AM404">
        <v>7.6</v>
      </c>
      <c r="AN404" t="s">
        <v>76</v>
      </c>
      <c r="AO404">
        <v>24</v>
      </c>
      <c r="AP404" t="s">
        <v>50</v>
      </c>
      <c r="AQ404">
        <v>90</v>
      </c>
      <c r="AR404" t="s">
        <v>50</v>
      </c>
      <c r="AS404" t="s">
        <v>1636</v>
      </c>
      <c r="AT404" t="s">
        <v>63</v>
      </c>
      <c r="AU404" t="s">
        <v>46</v>
      </c>
      <c r="AV404">
        <v>2022</v>
      </c>
      <c r="AW404" t="s">
        <v>46</v>
      </c>
    </row>
    <row r="405" spans="1:49" x14ac:dyDescent="0.2">
      <c r="A405">
        <v>404</v>
      </c>
      <c r="B405" t="s">
        <v>1415</v>
      </c>
      <c r="C405" t="s">
        <v>97</v>
      </c>
      <c r="D405">
        <v>122</v>
      </c>
      <c r="E405" t="s">
        <v>42</v>
      </c>
      <c r="F405">
        <f>D405-104</f>
        <v>18</v>
      </c>
      <c r="G405">
        <f>145-D405</f>
        <v>23</v>
      </c>
      <c r="H405" t="s">
        <v>69</v>
      </c>
      <c r="I405">
        <v>4</v>
      </c>
      <c r="J405">
        <v>10</v>
      </c>
      <c r="K405" t="s">
        <v>990</v>
      </c>
      <c r="L405" t="s">
        <v>1417</v>
      </c>
      <c r="M405">
        <v>100</v>
      </c>
      <c r="N405" t="s">
        <v>42</v>
      </c>
      <c r="O405">
        <f>M405-84</f>
        <v>16</v>
      </c>
      <c r="P405">
        <f>120-M405</f>
        <v>20</v>
      </c>
      <c r="Q405" t="s">
        <v>69</v>
      </c>
      <c r="R405">
        <v>4</v>
      </c>
      <c r="S405">
        <v>10</v>
      </c>
      <c r="T405" t="s">
        <v>990</v>
      </c>
      <c r="U405" t="s">
        <v>1165</v>
      </c>
      <c r="V405" t="s">
        <v>1419</v>
      </c>
      <c r="W405" s="3" t="s">
        <v>1420</v>
      </c>
      <c r="X405" t="s">
        <v>1425</v>
      </c>
      <c r="Y405" t="s">
        <v>46</v>
      </c>
      <c r="Z405" t="s">
        <v>1426</v>
      </c>
      <c r="AA405" t="s">
        <v>996</v>
      </c>
      <c r="AB405" t="s">
        <v>997</v>
      </c>
      <c r="AC405" t="s">
        <v>38</v>
      </c>
      <c r="AD405" t="s">
        <v>169</v>
      </c>
      <c r="AE405" t="s">
        <v>75</v>
      </c>
      <c r="AF405">
        <f>28*24</f>
        <v>672</v>
      </c>
      <c r="AG405" t="s">
        <v>77</v>
      </c>
      <c r="AH405" t="s">
        <v>50</v>
      </c>
      <c r="AI405" t="s">
        <v>46</v>
      </c>
      <c r="AJ405" t="s">
        <v>47</v>
      </c>
      <c r="AK405" t="s">
        <v>48</v>
      </c>
      <c r="AL405">
        <v>26</v>
      </c>
      <c r="AM405">
        <v>6.65</v>
      </c>
      <c r="AN405" t="s">
        <v>76</v>
      </c>
      <c r="AO405" t="s">
        <v>46</v>
      </c>
      <c r="AP405" t="s">
        <v>63</v>
      </c>
      <c r="AQ405" t="s">
        <v>46</v>
      </c>
      <c r="AR405" t="s">
        <v>50</v>
      </c>
      <c r="AS405" t="s">
        <v>1631</v>
      </c>
      <c r="AT405" t="s">
        <v>63</v>
      </c>
      <c r="AU405" t="s">
        <v>46</v>
      </c>
      <c r="AV405">
        <v>2010</v>
      </c>
      <c r="AW405" t="s">
        <v>46</v>
      </c>
    </row>
    <row r="406" spans="1:49" x14ac:dyDescent="0.2">
      <c r="A406">
        <v>405</v>
      </c>
      <c r="B406" t="s">
        <v>1415</v>
      </c>
      <c r="C406" t="s">
        <v>1372</v>
      </c>
      <c r="D406">
        <v>9</v>
      </c>
      <c r="E406" t="s">
        <v>42</v>
      </c>
      <c r="F406">
        <f>D406-8</f>
        <v>1</v>
      </c>
      <c r="G406">
        <f>10-D406</f>
        <v>1</v>
      </c>
      <c r="H406" t="s">
        <v>69</v>
      </c>
      <c r="I406">
        <v>4</v>
      </c>
      <c r="J406">
        <v>10</v>
      </c>
      <c r="K406" t="s">
        <v>990</v>
      </c>
      <c r="L406" t="s">
        <v>1684</v>
      </c>
      <c r="M406">
        <v>8</v>
      </c>
      <c r="N406" t="s">
        <v>42</v>
      </c>
      <c r="O406">
        <f>M406-7</f>
        <v>1</v>
      </c>
      <c r="P406">
        <f>9-M406</f>
        <v>1</v>
      </c>
      <c r="Q406" t="s">
        <v>69</v>
      </c>
      <c r="R406">
        <v>4</v>
      </c>
      <c r="S406">
        <v>10</v>
      </c>
      <c r="T406" t="s">
        <v>990</v>
      </c>
      <c r="U406" t="s">
        <v>1165</v>
      </c>
      <c r="V406" t="s">
        <v>1421</v>
      </c>
      <c r="W406" t="s">
        <v>1423</v>
      </c>
      <c r="X406" t="s">
        <v>1425</v>
      </c>
      <c r="Y406" t="s">
        <v>46</v>
      </c>
      <c r="Z406" t="s">
        <v>1426</v>
      </c>
      <c r="AA406" t="s">
        <v>996</v>
      </c>
      <c r="AB406" t="s">
        <v>997</v>
      </c>
      <c r="AC406" t="s">
        <v>38</v>
      </c>
      <c r="AD406" t="s">
        <v>169</v>
      </c>
      <c r="AE406" t="s">
        <v>75</v>
      </c>
      <c r="AF406">
        <f>28*24</f>
        <v>672</v>
      </c>
      <c r="AG406" t="s">
        <v>77</v>
      </c>
      <c r="AH406" t="s">
        <v>50</v>
      </c>
      <c r="AI406" t="s">
        <v>46</v>
      </c>
      <c r="AJ406" t="s">
        <v>47</v>
      </c>
      <c r="AK406" t="s">
        <v>48</v>
      </c>
      <c r="AL406">
        <v>26</v>
      </c>
      <c r="AM406">
        <v>6.65</v>
      </c>
      <c r="AN406" t="s">
        <v>76</v>
      </c>
      <c r="AO406" t="s">
        <v>46</v>
      </c>
      <c r="AP406" t="s">
        <v>63</v>
      </c>
      <c r="AQ406" t="s">
        <v>46</v>
      </c>
      <c r="AR406" t="s">
        <v>50</v>
      </c>
      <c r="AS406" t="s">
        <v>1641</v>
      </c>
      <c r="AT406" t="s">
        <v>63</v>
      </c>
      <c r="AU406" t="s">
        <v>46</v>
      </c>
      <c r="AV406">
        <v>2010</v>
      </c>
      <c r="AW406" t="s">
        <v>46</v>
      </c>
    </row>
    <row r="407" spans="1:49" x14ac:dyDescent="0.2">
      <c r="A407">
        <v>406</v>
      </c>
      <c r="B407" t="s">
        <v>1415</v>
      </c>
      <c r="C407" t="s">
        <v>1416</v>
      </c>
      <c r="D407">
        <v>541</v>
      </c>
      <c r="E407" t="s">
        <v>42</v>
      </c>
      <c r="F407">
        <f>D407-497</f>
        <v>44</v>
      </c>
      <c r="G407">
        <f>590-D407</f>
        <v>49</v>
      </c>
      <c r="H407" t="s">
        <v>69</v>
      </c>
      <c r="I407">
        <v>4</v>
      </c>
      <c r="J407">
        <v>10</v>
      </c>
      <c r="K407" t="s">
        <v>990</v>
      </c>
      <c r="L407" t="s">
        <v>1418</v>
      </c>
      <c r="M407">
        <v>500</v>
      </c>
      <c r="N407" t="s">
        <v>42</v>
      </c>
      <c r="O407">
        <f>M407-460</f>
        <v>40</v>
      </c>
      <c r="P407">
        <f>544-M407</f>
        <v>44</v>
      </c>
      <c r="Q407" t="s">
        <v>69</v>
      </c>
      <c r="R407">
        <v>4</v>
      </c>
      <c r="S407">
        <v>10</v>
      </c>
      <c r="T407" t="s">
        <v>990</v>
      </c>
      <c r="U407" t="s">
        <v>1165</v>
      </c>
      <c r="V407" t="s">
        <v>1422</v>
      </c>
      <c r="W407" t="s">
        <v>1424</v>
      </c>
      <c r="X407" t="s">
        <v>1425</v>
      </c>
      <c r="Y407" t="s">
        <v>46</v>
      </c>
      <c r="Z407" t="s">
        <v>1426</v>
      </c>
      <c r="AA407" t="s">
        <v>996</v>
      </c>
      <c r="AB407" t="s">
        <v>997</v>
      </c>
      <c r="AC407" t="s">
        <v>38</v>
      </c>
      <c r="AD407" t="s">
        <v>169</v>
      </c>
      <c r="AE407" t="s">
        <v>75</v>
      </c>
      <c r="AF407">
        <f>28*24</f>
        <v>672</v>
      </c>
      <c r="AG407" t="s">
        <v>826</v>
      </c>
      <c r="AH407" t="s">
        <v>50</v>
      </c>
      <c r="AI407" t="s">
        <v>46</v>
      </c>
      <c r="AJ407" t="s">
        <v>47</v>
      </c>
      <c r="AK407" t="s">
        <v>48</v>
      </c>
      <c r="AL407">
        <v>26</v>
      </c>
      <c r="AM407">
        <v>6.65</v>
      </c>
      <c r="AN407" t="s">
        <v>76</v>
      </c>
      <c r="AO407" t="s">
        <v>46</v>
      </c>
      <c r="AP407" t="s">
        <v>63</v>
      </c>
      <c r="AQ407" t="s">
        <v>46</v>
      </c>
      <c r="AR407" t="s">
        <v>50</v>
      </c>
      <c r="AS407" t="s">
        <v>1633</v>
      </c>
      <c r="AT407" t="s">
        <v>63</v>
      </c>
      <c r="AU407" t="s">
        <v>46</v>
      </c>
      <c r="AV407">
        <v>2010</v>
      </c>
      <c r="AW407" t="s">
        <v>46</v>
      </c>
    </row>
    <row r="408" spans="1:49" x14ac:dyDescent="0.2">
      <c r="A408">
        <v>407</v>
      </c>
      <c r="B408" t="s">
        <v>1427</v>
      </c>
      <c r="C408" t="s">
        <v>883</v>
      </c>
      <c r="D408">
        <v>61.4</v>
      </c>
      <c r="E408" t="s">
        <v>42</v>
      </c>
      <c r="F408">
        <f>D408-52.6</f>
        <v>8.7999999999999972</v>
      </c>
      <c r="G408">
        <f>71.6-D408</f>
        <v>10.199999999999996</v>
      </c>
      <c r="H408" t="s">
        <v>69</v>
      </c>
      <c r="I408">
        <v>6</v>
      </c>
      <c r="J408">
        <v>20</v>
      </c>
      <c r="K408" t="s">
        <v>1428</v>
      </c>
      <c r="L408" t="s">
        <v>1429</v>
      </c>
      <c r="M408">
        <v>9.6</v>
      </c>
      <c r="N408" t="s">
        <v>42</v>
      </c>
      <c r="O408">
        <f>M408-9.5</f>
        <v>9.9999999999999645E-2</v>
      </c>
      <c r="P408">
        <f>9.8-M408</f>
        <v>0.20000000000000107</v>
      </c>
      <c r="Q408" t="s">
        <v>69</v>
      </c>
      <c r="R408">
        <v>6</v>
      </c>
      <c r="S408">
        <v>20</v>
      </c>
      <c r="T408" t="s">
        <v>1428</v>
      </c>
      <c r="U408" t="s">
        <v>1430</v>
      </c>
      <c r="V408" t="s">
        <v>1431</v>
      </c>
      <c r="W408" t="s">
        <v>1432</v>
      </c>
      <c r="X408" t="s">
        <v>34</v>
      </c>
      <c r="Y408" t="s">
        <v>35</v>
      </c>
      <c r="Z408" t="s">
        <v>1435</v>
      </c>
      <c r="AA408" t="s">
        <v>36</v>
      </c>
      <c r="AB408" t="s">
        <v>37</v>
      </c>
      <c r="AC408" t="s">
        <v>38</v>
      </c>
      <c r="AD408" t="s">
        <v>39</v>
      </c>
      <c r="AE408" t="s">
        <v>45</v>
      </c>
      <c r="AF408">
        <v>117</v>
      </c>
      <c r="AG408" t="s">
        <v>40</v>
      </c>
      <c r="AH408" t="s">
        <v>50</v>
      </c>
      <c r="AI408" t="s">
        <v>46</v>
      </c>
      <c r="AJ408" t="s">
        <v>47</v>
      </c>
      <c r="AK408" t="s">
        <v>61</v>
      </c>
      <c r="AL408">
        <v>26</v>
      </c>
      <c r="AM408">
        <v>7.1</v>
      </c>
      <c r="AN408" t="s">
        <v>46</v>
      </c>
      <c r="AO408">
        <v>3</v>
      </c>
      <c r="AP408" t="s">
        <v>63</v>
      </c>
      <c r="AQ408">
        <v>140</v>
      </c>
      <c r="AR408" t="s">
        <v>50</v>
      </c>
      <c r="AS408" t="s">
        <v>1631</v>
      </c>
      <c r="AT408" t="s">
        <v>63</v>
      </c>
      <c r="AU408" t="s">
        <v>46</v>
      </c>
      <c r="AV408">
        <v>2017</v>
      </c>
      <c r="AW408" t="s">
        <v>46</v>
      </c>
    </row>
    <row r="409" spans="1:49" x14ac:dyDescent="0.2">
      <c r="A409">
        <v>408</v>
      </c>
      <c r="B409" t="s">
        <v>1427</v>
      </c>
      <c r="C409" t="s">
        <v>883</v>
      </c>
      <c r="D409">
        <v>61.4</v>
      </c>
      <c r="E409" t="s">
        <v>42</v>
      </c>
      <c r="F409">
        <f>D409-52.6</f>
        <v>8.7999999999999972</v>
      </c>
      <c r="G409">
        <f>71.6-D409</f>
        <v>10.199999999999996</v>
      </c>
      <c r="H409" t="s">
        <v>69</v>
      </c>
      <c r="I409">
        <v>6</v>
      </c>
      <c r="J409">
        <v>20</v>
      </c>
      <c r="K409" t="s">
        <v>1428</v>
      </c>
      <c r="L409" t="s">
        <v>1434</v>
      </c>
      <c r="M409">
        <v>92.5</v>
      </c>
      <c r="N409" t="s">
        <v>42</v>
      </c>
      <c r="O409">
        <f>M409-89.8</f>
        <v>2.7000000000000028</v>
      </c>
      <c r="P409">
        <f>97.4-M409</f>
        <v>4.9000000000000057</v>
      </c>
      <c r="Q409" t="s">
        <v>69</v>
      </c>
      <c r="R409">
        <v>6</v>
      </c>
      <c r="S409">
        <v>20</v>
      </c>
      <c r="T409" t="s">
        <v>1428</v>
      </c>
      <c r="U409" t="s">
        <v>1430</v>
      </c>
      <c r="V409" t="s">
        <v>1431</v>
      </c>
      <c r="W409" t="s">
        <v>1433</v>
      </c>
      <c r="X409" t="s">
        <v>34</v>
      </c>
      <c r="Y409" t="s">
        <v>35</v>
      </c>
      <c r="Z409" t="s">
        <v>1435</v>
      </c>
      <c r="AA409" t="s">
        <v>36</v>
      </c>
      <c r="AB409" t="s">
        <v>37</v>
      </c>
      <c r="AC409" t="s">
        <v>38</v>
      </c>
      <c r="AD409" t="s">
        <v>39</v>
      </c>
      <c r="AE409" t="s">
        <v>45</v>
      </c>
      <c r="AF409">
        <v>117</v>
      </c>
      <c r="AG409" t="s">
        <v>40</v>
      </c>
      <c r="AH409" t="s">
        <v>50</v>
      </c>
      <c r="AI409" t="s">
        <v>46</v>
      </c>
      <c r="AJ409" t="s">
        <v>47</v>
      </c>
      <c r="AK409" t="s">
        <v>61</v>
      </c>
      <c r="AL409">
        <v>26</v>
      </c>
      <c r="AM409">
        <v>7.1</v>
      </c>
      <c r="AN409" t="s">
        <v>46</v>
      </c>
      <c r="AO409">
        <v>3</v>
      </c>
      <c r="AP409" t="s">
        <v>63</v>
      </c>
      <c r="AQ409">
        <v>140</v>
      </c>
      <c r="AR409" t="s">
        <v>50</v>
      </c>
      <c r="AS409" t="s">
        <v>1648</v>
      </c>
      <c r="AT409" t="s">
        <v>63</v>
      </c>
      <c r="AU409" t="s">
        <v>46</v>
      </c>
      <c r="AV409">
        <v>2017</v>
      </c>
      <c r="AW409" t="s">
        <v>46</v>
      </c>
    </row>
    <row r="410" spans="1:49" x14ac:dyDescent="0.2">
      <c r="A410">
        <v>409</v>
      </c>
      <c r="B410" t="s">
        <v>1436</v>
      </c>
      <c r="C410" t="s">
        <v>1437</v>
      </c>
      <c r="D410">
        <v>4900</v>
      </c>
      <c r="E410" t="s">
        <v>68</v>
      </c>
      <c r="F410">
        <v>460</v>
      </c>
      <c r="G410">
        <v>460</v>
      </c>
      <c r="H410" t="s">
        <v>43</v>
      </c>
      <c r="I410">
        <v>3</v>
      </c>
      <c r="J410">
        <v>3</v>
      </c>
      <c r="K410" t="s">
        <v>1438</v>
      </c>
      <c r="L410" t="s">
        <v>1439</v>
      </c>
      <c r="M410">
        <v>4.47</v>
      </c>
      <c r="N410" t="s">
        <v>68</v>
      </c>
      <c r="O410">
        <v>0.4</v>
      </c>
      <c r="P410">
        <v>0.4</v>
      </c>
      <c r="Q410" t="s">
        <v>43</v>
      </c>
      <c r="R410">
        <v>3</v>
      </c>
      <c r="S410">
        <v>3</v>
      </c>
      <c r="T410" t="s">
        <v>1438</v>
      </c>
      <c r="U410" t="s">
        <v>1440</v>
      </c>
      <c r="V410" t="s">
        <v>1441</v>
      </c>
      <c r="W410" s="3" t="s">
        <v>1442</v>
      </c>
      <c r="X410" t="s">
        <v>1443</v>
      </c>
      <c r="Y410" t="s">
        <v>46</v>
      </c>
      <c r="Z410" t="s">
        <v>1447</v>
      </c>
      <c r="AA410" t="s">
        <v>1444</v>
      </c>
      <c r="AB410" t="s">
        <v>1445</v>
      </c>
      <c r="AC410" t="s">
        <v>1446</v>
      </c>
      <c r="AD410" t="s">
        <v>39</v>
      </c>
      <c r="AE410" t="s">
        <v>46</v>
      </c>
      <c r="AF410">
        <v>72</v>
      </c>
      <c r="AG410" t="s">
        <v>826</v>
      </c>
      <c r="AH410" t="s">
        <v>50</v>
      </c>
      <c r="AI410" t="s">
        <v>46</v>
      </c>
      <c r="AJ410" t="s">
        <v>47</v>
      </c>
      <c r="AK410" t="s">
        <v>61</v>
      </c>
      <c r="AL410">
        <v>20</v>
      </c>
      <c r="AM410" t="s">
        <v>46</v>
      </c>
      <c r="AN410" t="s">
        <v>1448</v>
      </c>
      <c r="AO410" t="s">
        <v>46</v>
      </c>
      <c r="AP410" t="s">
        <v>63</v>
      </c>
      <c r="AQ410" t="s">
        <v>46</v>
      </c>
      <c r="AR410" t="s">
        <v>50</v>
      </c>
      <c r="AS410" t="s">
        <v>1649</v>
      </c>
      <c r="AT410" t="s">
        <v>63</v>
      </c>
      <c r="AU410" t="s">
        <v>46</v>
      </c>
      <c r="AV410">
        <v>2013</v>
      </c>
      <c r="AW410" t="s">
        <v>46</v>
      </c>
    </row>
    <row r="411" spans="1:49" x14ac:dyDescent="0.2">
      <c r="A411">
        <v>410</v>
      </c>
      <c r="B411" t="s">
        <v>1436</v>
      </c>
      <c r="C411" t="s">
        <v>1437</v>
      </c>
      <c r="D411">
        <v>2310</v>
      </c>
      <c r="E411" t="s">
        <v>68</v>
      </c>
      <c r="F411">
        <v>180</v>
      </c>
      <c r="G411">
        <v>180</v>
      </c>
      <c r="H411" t="s">
        <v>43</v>
      </c>
      <c r="I411">
        <v>3</v>
      </c>
      <c r="J411">
        <v>3</v>
      </c>
      <c r="K411" t="s">
        <v>1438</v>
      </c>
      <c r="L411" t="s">
        <v>1439</v>
      </c>
      <c r="M411">
        <v>2.9</v>
      </c>
      <c r="N411" t="s">
        <v>68</v>
      </c>
      <c r="O411">
        <v>0.24</v>
      </c>
      <c r="P411">
        <v>0.24</v>
      </c>
      <c r="Q411" t="s">
        <v>43</v>
      </c>
      <c r="R411">
        <v>3</v>
      </c>
      <c r="S411">
        <v>3</v>
      </c>
      <c r="T411" t="s">
        <v>1438</v>
      </c>
      <c r="U411" t="s">
        <v>1440</v>
      </c>
      <c r="V411" t="s">
        <v>1449</v>
      </c>
      <c r="W411" t="s">
        <v>1450</v>
      </c>
      <c r="X411" t="s">
        <v>1443</v>
      </c>
      <c r="Y411" t="s">
        <v>46</v>
      </c>
      <c r="Z411" t="s">
        <v>1447</v>
      </c>
      <c r="AA411" t="s">
        <v>1444</v>
      </c>
      <c r="AB411" t="s">
        <v>1445</v>
      </c>
      <c r="AC411" t="s">
        <v>1446</v>
      </c>
      <c r="AD411" t="s">
        <v>39</v>
      </c>
      <c r="AE411" t="s">
        <v>46</v>
      </c>
      <c r="AF411">
        <v>72</v>
      </c>
      <c r="AG411" t="s">
        <v>826</v>
      </c>
      <c r="AH411" t="s">
        <v>50</v>
      </c>
      <c r="AI411" t="s">
        <v>46</v>
      </c>
      <c r="AJ411" t="s">
        <v>47</v>
      </c>
      <c r="AK411" t="s">
        <v>61</v>
      </c>
      <c r="AL411">
        <v>20</v>
      </c>
      <c r="AM411" t="s">
        <v>46</v>
      </c>
      <c r="AN411" t="s">
        <v>1451</v>
      </c>
      <c r="AO411" t="s">
        <v>46</v>
      </c>
      <c r="AP411" t="s">
        <v>63</v>
      </c>
      <c r="AQ411" t="s">
        <v>46</v>
      </c>
      <c r="AR411" t="s">
        <v>50</v>
      </c>
      <c r="AS411" t="s">
        <v>1649</v>
      </c>
      <c r="AT411" t="s">
        <v>63</v>
      </c>
      <c r="AU411" t="s">
        <v>46</v>
      </c>
      <c r="AV411">
        <v>2013</v>
      </c>
      <c r="AW411" t="s">
        <v>46</v>
      </c>
    </row>
    <row r="412" spans="1:49" x14ac:dyDescent="0.2">
      <c r="A412">
        <v>411</v>
      </c>
      <c r="B412" t="s">
        <v>1452</v>
      </c>
      <c r="C412" t="s">
        <v>1453</v>
      </c>
      <c r="D412">
        <v>20.54</v>
      </c>
      <c r="E412" t="s">
        <v>42</v>
      </c>
      <c r="F412">
        <f>D412-19.76</f>
        <v>0.77999999999999758</v>
      </c>
      <c r="G412">
        <f>21.32-D412</f>
        <v>0.78000000000000114</v>
      </c>
      <c r="H412" t="s">
        <v>69</v>
      </c>
      <c r="I412">
        <v>3</v>
      </c>
      <c r="J412">
        <v>10</v>
      </c>
      <c r="K412" t="s">
        <v>952</v>
      </c>
      <c r="L412" t="s">
        <v>1454</v>
      </c>
      <c r="M412">
        <v>18.440000000000001</v>
      </c>
      <c r="N412" t="s">
        <v>42</v>
      </c>
      <c r="O412">
        <f>M412-16.62</f>
        <v>1.8200000000000003</v>
      </c>
      <c r="P412">
        <f>20.26-M412</f>
        <v>1.8200000000000003</v>
      </c>
      <c r="Q412" t="s">
        <v>69</v>
      </c>
      <c r="R412">
        <v>3</v>
      </c>
      <c r="S412">
        <v>10</v>
      </c>
      <c r="T412" t="s">
        <v>952</v>
      </c>
      <c r="U412" t="s">
        <v>158</v>
      </c>
      <c r="V412" t="s">
        <v>1455</v>
      </c>
      <c r="W412" s="3" t="s">
        <v>1456</v>
      </c>
      <c r="X412" t="s">
        <v>1457</v>
      </c>
      <c r="Y412" t="s">
        <v>46</v>
      </c>
      <c r="Z412" t="s">
        <v>1458</v>
      </c>
      <c r="AA412" t="s">
        <v>996</v>
      </c>
      <c r="AB412" t="s">
        <v>997</v>
      </c>
      <c r="AC412" t="s">
        <v>38</v>
      </c>
      <c r="AD412" t="s">
        <v>169</v>
      </c>
      <c r="AE412" t="s">
        <v>75</v>
      </c>
      <c r="AF412">
        <v>24</v>
      </c>
      <c r="AG412" t="s">
        <v>826</v>
      </c>
      <c r="AH412" t="s">
        <v>50</v>
      </c>
      <c r="AI412" t="s">
        <v>46</v>
      </c>
      <c r="AJ412" t="s">
        <v>47</v>
      </c>
      <c r="AK412" t="s">
        <v>61</v>
      </c>
      <c r="AL412">
        <v>20</v>
      </c>
      <c r="AM412">
        <v>6</v>
      </c>
      <c r="AN412" t="s">
        <v>46</v>
      </c>
      <c r="AO412" t="s">
        <v>46</v>
      </c>
      <c r="AP412" t="s">
        <v>63</v>
      </c>
      <c r="AQ412" t="s">
        <v>46</v>
      </c>
      <c r="AR412" t="s">
        <v>50</v>
      </c>
      <c r="AS412" t="s">
        <v>1649</v>
      </c>
      <c r="AT412" t="s">
        <v>63</v>
      </c>
      <c r="AU412" t="s">
        <v>46</v>
      </c>
      <c r="AV412">
        <v>2022</v>
      </c>
      <c r="AW412" t="s">
        <v>46</v>
      </c>
    </row>
    <row r="413" spans="1:49" x14ac:dyDescent="0.2">
      <c r="A413">
        <v>412</v>
      </c>
      <c r="B413" t="s">
        <v>1452</v>
      </c>
      <c r="C413" t="s">
        <v>1453</v>
      </c>
      <c r="D413">
        <v>18.760000000000002</v>
      </c>
      <c r="E413" t="s">
        <v>42</v>
      </c>
      <c r="F413">
        <f>D413-18.19</f>
        <v>0.57000000000000028</v>
      </c>
      <c r="G413">
        <f>19.33-D413</f>
        <v>0.56999999999999673</v>
      </c>
      <c r="H413" t="s">
        <v>69</v>
      </c>
      <c r="I413">
        <v>3</v>
      </c>
      <c r="J413">
        <v>10</v>
      </c>
      <c r="K413" t="s">
        <v>952</v>
      </c>
      <c r="L413" t="s">
        <v>1454</v>
      </c>
      <c r="M413">
        <v>18.12</v>
      </c>
      <c r="N413" t="s">
        <v>42</v>
      </c>
      <c r="O413">
        <f>M413-17.47</f>
        <v>0.65000000000000213</v>
      </c>
      <c r="P413" s="1">
        <f>17.76-M413</f>
        <v>-0.35999999999999943</v>
      </c>
      <c r="Q413" t="s">
        <v>69</v>
      </c>
      <c r="R413">
        <v>3</v>
      </c>
      <c r="S413">
        <v>10</v>
      </c>
      <c r="T413" t="s">
        <v>952</v>
      </c>
      <c r="U413" t="s">
        <v>158</v>
      </c>
      <c r="V413" t="s">
        <v>1459</v>
      </c>
      <c r="W413" t="s">
        <v>1456</v>
      </c>
      <c r="X413" t="s">
        <v>1457</v>
      </c>
      <c r="Y413" t="s">
        <v>46</v>
      </c>
      <c r="Z413" t="s">
        <v>1458</v>
      </c>
      <c r="AA413" t="s">
        <v>996</v>
      </c>
      <c r="AB413" t="s">
        <v>997</v>
      </c>
      <c r="AC413" t="s">
        <v>38</v>
      </c>
      <c r="AD413" t="s">
        <v>169</v>
      </c>
      <c r="AE413" t="s">
        <v>75</v>
      </c>
      <c r="AF413">
        <v>48</v>
      </c>
      <c r="AG413" t="s">
        <v>826</v>
      </c>
      <c r="AH413" t="s">
        <v>50</v>
      </c>
      <c r="AI413" t="s">
        <v>46</v>
      </c>
      <c r="AJ413" t="s">
        <v>47</v>
      </c>
      <c r="AK413" t="s">
        <v>61</v>
      </c>
      <c r="AL413">
        <v>20</v>
      </c>
      <c r="AM413">
        <v>6</v>
      </c>
      <c r="AN413" t="s">
        <v>46</v>
      </c>
      <c r="AO413" t="s">
        <v>46</v>
      </c>
      <c r="AP413" t="s">
        <v>63</v>
      </c>
      <c r="AQ413" t="s">
        <v>46</v>
      </c>
      <c r="AR413" t="s">
        <v>50</v>
      </c>
      <c r="AS413" t="s">
        <v>1649</v>
      </c>
      <c r="AT413" t="s">
        <v>63</v>
      </c>
      <c r="AU413" t="s">
        <v>46</v>
      </c>
      <c r="AV413">
        <v>2022</v>
      </c>
      <c r="AW413" t="s">
        <v>1461</v>
      </c>
    </row>
    <row r="414" spans="1:49" x14ac:dyDescent="0.2">
      <c r="A414">
        <v>413</v>
      </c>
      <c r="B414" t="s">
        <v>1452</v>
      </c>
      <c r="C414" t="s">
        <v>1453</v>
      </c>
      <c r="D414">
        <v>17.649999999999999</v>
      </c>
      <c r="E414" t="s">
        <v>42</v>
      </c>
      <c r="F414">
        <f>D414-17.3</f>
        <v>0.34999999999999787</v>
      </c>
      <c r="G414">
        <f>17.99-D414</f>
        <v>0.33999999999999986</v>
      </c>
      <c r="H414" t="s">
        <v>69</v>
      </c>
      <c r="I414">
        <v>3</v>
      </c>
      <c r="J414">
        <v>10</v>
      </c>
      <c r="K414" t="s">
        <v>952</v>
      </c>
      <c r="L414" t="s">
        <v>1454</v>
      </c>
      <c r="M414">
        <v>16.98</v>
      </c>
      <c r="N414" t="s">
        <v>42</v>
      </c>
      <c r="O414">
        <f>M414-16.47</f>
        <v>0.51000000000000156</v>
      </c>
      <c r="P414">
        <f>17.5-M414</f>
        <v>0.51999999999999957</v>
      </c>
      <c r="Q414" t="s">
        <v>69</v>
      </c>
      <c r="R414">
        <v>3</v>
      </c>
      <c r="S414">
        <v>10</v>
      </c>
      <c r="T414" t="s">
        <v>952</v>
      </c>
      <c r="U414" t="s">
        <v>158</v>
      </c>
      <c r="V414" t="s">
        <v>1460</v>
      </c>
      <c r="W414" t="s">
        <v>1456</v>
      </c>
      <c r="X414" t="s">
        <v>1457</v>
      </c>
      <c r="Y414" t="s">
        <v>46</v>
      </c>
      <c r="Z414" t="s">
        <v>1458</v>
      </c>
      <c r="AA414" t="s">
        <v>996</v>
      </c>
      <c r="AB414" t="s">
        <v>997</v>
      </c>
      <c r="AC414" t="s">
        <v>38</v>
      </c>
      <c r="AD414" t="s">
        <v>169</v>
      </c>
      <c r="AE414" t="s">
        <v>75</v>
      </c>
      <c r="AF414">
        <v>72</v>
      </c>
      <c r="AG414" t="s">
        <v>826</v>
      </c>
      <c r="AH414" t="s">
        <v>50</v>
      </c>
      <c r="AI414" t="s">
        <v>46</v>
      </c>
      <c r="AJ414" t="s">
        <v>47</v>
      </c>
      <c r="AK414" t="s">
        <v>61</v>
      </c>
      <c r="AL414">
        <v>20</v>
      </c>
      <c r="AM414">
        <v>6</v>
      </c>
      <c r="AN414" t="s">
        <v>46</v>
      </c>
      <c r="AO414" t="s">
        <v>46</v>
      </c>
      <c r="AP414" t="s">
        <v>63</v>
      </c>
      <c r="AQ414" t="s">
        <v>46</v>
      </c>
      <c r="AR414" t="s">
        <v>50</v>
      </c>
      <c r="AS414" t="s">
        <v>1649</v>
      </c>
      <c r="AT414" t="s">
        <v>63</v>
      </c>
      <c r="AU414" t="s">
        <v>46</v>
      </c>
      <c r="AV414">
        <v>2022</v>
      </c>
      <c r="AW414" t="s">
        <v>46</v>
      </c>
    </row>
    <row r="415" spans="1:49" x14ac:dyDescent="0.2">
      <c r="A415">
        <v>414</v>
      </c>
      <c r="B415" t="s">
        <v>1452</v>
      </c>
      <c r="C415" t="s">
        <v>1453</v>
      </c>
      <c r="D415">
        <v>16.760000000000002</v>
      </c>
      <c r="E415" t="s">
        <v>42</v>
      </c>
      <c r="F415">
        <f>D415-16.51</f>
        <v>0.25</v>
      </c>
      <c r="G415">
        <f>17.01-D415</f>
        <v>0.25</v>
      </c>
      <c r="H415" t="s">
        <v>69</v>
      </c>
      <c r="I415">
        <v>3</v>
      </c>
      <c r="J415">
        <v>10</v>
      </c>
      <c r="K415" t="s">
        <v>952</v>
      </c>
      <c r="L415" t="s">
        <v>1454</v>
      </c>
      <c r="M415">
        <v>15.29</v>
      </c>
      <c r="N415" t="s">
        <v>42</v>
      </c>
      <c r="O415">
        <f>M415-14.88</f>
        <v>0.40999999999999837</v>
      </c>
      <c r="P415">
        <f>15.71-M415</f>
        <v>0.42000000000000171</v>
      </c>
      <c r="Q415" t="s">
        <v>69</v>
      </c>
      <c r="R415">
        <v>3</v>
      </c>
      <c r="S415">
        <v>10</v>
      </c>
      <c r="T415" t="s">
        <v>952</v>
      </c>
      <c r="U415" t="s">
        <v>158</v>
      </c>
      <c r="V415" t="s">
        <v>1462</v>
      </c>
      <c r="W415" t="s">
        <v>1456</v>
      </c>
      <c r="X415" t="s">
        <v>1457</v>
      </c>
      <c r="Y415" t="s">
        <v>46</v>
      </c>
      <c r="Z415" t="s">
        <v>1458</v>
      </c>
      <c r="AA415" t="s">
        <v>996</v>
      </c>
      <c r="AB415" t="s">
        <v>997</v>
      </c>
      <c r="AC415" t="s">
        <v>38</v>
      </c>
      <c r="AD415" t="s">
        <v>169</v>
      </c>
      <c r="AE415" t="s">
        <v>75</v>
      </c>
      <c r="AF415">
        <f>7*24</f>
        <v>168</v>
      </c>
      <c r="AG415" t="s">
        <v>826</v>
      </c>
      <c r="AH415" t="s">
        <v>50</v>
      </c>
      <c r="AI415" t="s">
        <v>46</v>
      </c>
      <c r="AJ415" t="s">
        <v>47</v>
      </c>
      <c r="AK415" t="s">
        <v>61</v>
      </c>
      <c r="AL415">
        <v>20</v>
      </c>
      <c r="AM415">
        <v>6</v>
      </c>
      <c r="AN415" t="s">
        <v>46</v>
      </c>
      <c r="AO415" t="s">
        <v>46</v>
      </c>
      <c r="AP415" t="s">
        <v>63</v>
      </c>
      <c r="AQ415" t="s">
        <v>46</v>
      </c>
      <c r="AR415" t="s">
        <v>50</v>
      </c>
      <c r="AS415" t="s">
        <v>1649</v>
      </c>
      <c r="AT415" t="s">
        <v>63</v>
      </c>
      <c r="AU415" t="s">
        <v>46</v>
      </c>
      <c r="AV415">
        <v>2022</v>
      </c>
      <c r="AW415" t="s">
        <v>46</v>
      </c>
    </row>
    <row r="416" spans="1:49" x14ac:dyDescent="0.2">
      <c r="A416">
        <v>415</v>
      </c>
      <c r="B416" t="s">
        <v>1463</v>
      </c>
      <c r="C416" t="s">
        <v>55</v>
      </c>
      <c r="D416" t="s">
        <v>1464</v>
      </c>
      <c r="E416" t="s">
        <v>42</v>
      </c>
      <c r="F416" t="s">
        <v>46</v>
      </c>
      <c r="G416" t="s">
        <v>46</v>
      </c>
      <c r="H416" t="s">
        <v>46</v>
      </c>
      <c r="I416">
        <v>3</v>
      </c>
      <c r="J416">
        <v>20</v>
      </c>
      <c r="K416" t="s">
        <v>1465</v>
      </c>
      <c r="L416" t="s">
        <v>1466</v>
      </c>
      <c r="M416">
        <v>9</v>
      </c>
      <c r="N416" t="s">
        <v>42</v>
      </c>
      <c r="O416">
        <f>M416-8.7</f>
        <v>0.30000000000000071</v>
      </c>
      <c r="P416">
        <f>9.4-M416</f>
        <v>0.40000000000000036</v>
      </c>
      <c r="Q416" t="s">
        <v>69</v>
      </c>
      <c r="R416">
        <v>3</v>
      </c>
      <c r="S416">
        <v>20</v>
      </c>
      <c r="T416" t="s">
        <v>1465</v>
      </c>
      <c r="U416" t="s">
        <v>1165</v>
      </c>
      <c r="V416" t="s">
        <v>1467</v>
      </c>
      <c r="W416" t="s">
        <v>1468</v>
      </c>
      <c r="X416" t="s">
        <v>1035</v>
      </c>
      <c r="Y416" t="s">
        <v>46</v>
      </c>
      <c r="Z416" t="s">
        <v>1469</v>
      </c>
      <c r="AA416" t="s">
        <v>60</v>
      </c>
      <c r="AB416" t="s">
        <v>37</v>
      </c>
      <c r="AC416" t="s">
        <v>38</v>
      </c>
      <c r="AD416" t="s">
        <v>179</v>
      </c>
      <c r="AE416" t="s">
        <v>180</v>
      </c>
      <c r="AF416">
        <v>24</v>
      </c>
      <c r="AG416" t="s">
        <v>40</v>
      </c>
      <c r="AH416" t="s">
        <v>50</v>
      </c>
      <c r="AI416" t="s">
        <v>46</v>
      </c>
      <c r="AJ416" t="s">
        <v>47</v>
      </c>
      <c r="AK416" t="s">
        <v>61</v>
      </c>
      <c r="AL416">
        <v>20</v>
      </c>
      <c r="AM416" t="s">
        <v>46</v>
      </c>
      <c r="AN416" t="s">
        <v>76</v>
      </c>
      <c r="AO416" t="s">
        <v>46</v>
      </c>
      <c r="AP416" t="s">
        <v>50</v>
      </c>
      <c r="AQ416" t="s">
        <v>46</v>
      </c>
      <c r="AR416" t="s">
        <v>63</v>
      </c>
      <c r="AS416" t="s">
        <v>1629</v>
      </c>
      <c r="AT416" t="s">
        <v>63</v>
      </c>
      <c r="AU416" t="s">
        <v>46</v>
      </c>
      <c r="AV416">
        <v>2004</v>
      </c>
      <c r="AW416" t="s">
        <v>1470</v>
      </c>
    </row>
    <row r="417" spans="1:49" x14ac:dyDescent="0.2">
      <c r="A417">
        <v>416</v>
      </c>
      <c r="B417" t="s">
        <v>1463</v>
      </c>
      <c r="C417" t="s">
        <v>55</v>
      </c>
      <c r="D417" t="s">
        <v>1464</v>
      </c>
      <c r="E417" t="s">
        <v>42</v>
      </c>
      <c r="F417" t="s">
        <v>46</v>
      </c>
      <c r="G417" t="s">
        <v>46</v>
      </c>
      <c r="H417" t="s">
        <v>46</v>
      </c>
      <c r="I417">
        <v>3</v>
      </c>
      <c r="J417">
        <v>20</v>
      </c>
      <c r="K417" t="s">
        <v>1465</v>
      </c>
      <c r="L417" t="s">
        <v>1471</v>
      </c>
      <c r="M417">
        <v>2.2999999999999998</v>
      </c>
      <c r="N417" t="s">
        <v>42</v>
      </c>
      <c r="O417">
        <f>M417-2.2</f>
        <v>9.9999999999999645E-2</v>
      </c>
      <c r="P417">
        <f>2.4-M417</f>
        <v>0.10000000000000009</v>
      </c>
      <c r="Q417" t="s">
        <v>69</v>
      </c>
      <c r="R417">
        <v>3</v>
      </c>
      <c r="S417">
        <v>20</v>
      </c>
      <c r="T417" t="s">
        <v>1465</v>
      </c>
      <c r="U417" t="s">
        <v>1165</v>
      </c>
      <c r="V417" t="s">
        <v>1467</v>
      </c>
      <c r="W417" t="s">
        <v>1472</v>
      </c>
      <c r="X417" t="s">
        <v>1035</v>
      </c>
      <c r="Y417" t="s">
        <v>46</v>
      </c>
      <c r="Z417" t="s">
        <v>1469</v>
      </c>
      <c r="AA417" t="s">
        <v>60</v>
      </c>
      <c r="AB417" t="s">
        <v>37</v>
      </c>
      <c r="AC417" t="s">
        <v>38</v>
      </c>
      <c r="AD417" t="s">
        <v>179</v>
      </c>
      <c r="AE417" t="s">
        <v>180</v>
      </c>
      <c r="AF417">
        <v>24</v>
      </c>
      <c r="AG417" t="s">
        <v>40</v>
      </c>
      <c r="AH417" t="s">
        <v>50</v>
      </c>
      <c r="AI417" t="s">
        <v>46</v>
      </c>
      <c r="AJ417" t="s">
        <v>47</v>
      </c>
      <c r="AK417" t="s">
        <v>61</v>
      </c>
      <c r="AL417">
        <v>20</v>
      </c>
      <c r="AM417" t="s">
        <v>46</v>
      </c>
      <c r="AN417" t="s">
        <v>76</v>
      </c>
      <c r="AO417" t="s">
        <v>46</v>
      </c>
      <c r="AP417" t="s">
        <v>50</v>
      </c>
      <c r="AQ417" t="s">
        <v>46</v>
      </c>
      <c r="AR417" t="s">
        <v>63</v>
      </c>
      <c r="AS417" t="s">
        <v>1629</v>
      </c>
      <c r="AT417" t="s">
        <v>63</v>
      </c>
      <c r="AU417" t="s">
        <v>46</v>
      </c>
      <c r="AV417">
        <v>2004</v>
      </c>
      <c r="AW417" t="s">
        <v>46</v>
      </c>
    </row>
    <row r="418" spans="1:49" x14ac:dyDescent="0.2">
      <c r="A418">
        <v>417</v>
      </c>
      <c r="B418" t="s">
        <v>1463</v>
      </c>
      <c r="C418" t="s">
        <v>55</v>
      </c>
      <c r="D418" t="s">
        <v>1464</v>
      </c>
      <c r="E418" t="s">
        <v>42</v>
      </c>
      <c r="F418" t="s">
        <v>46</v>
      </c>
      <c r="G418" t="s">
        <v>46</v>
      </c>
      <c r="H418" t="s">
        <v>46</v>
      </c>
      <c r="I418">
        <v>3</v>
      </c>
      <c r="J418">
        <v>20</v>
      </c>
      <c r="K418" t="s">
        <v>1465</v>
      </c>
      <c r="L418" t="s">
        <v>1466</v>
      </c>
      <c r="M418">
        <v>8.9</v>
      </c>
      <c r="N418" t="s">
        <v>42</v>
      </c>
      <c r="O418">
        <f>M418-8.6</f>
        <v>0.30000000000000071</v>
      </c>
      <c r="P418">
        <f>9.2-M418</f>
        <v>0.29999999999999893</v>
      </c>
      <c r="Q418" t="s">
        <v>69</v>
      </c>
      <c r="R418">
        <v>3</v>
      </c>
      <c r="S418">
        <v>20</v>
      </c>
      <c r="T418" t="s">
        <v>1465</v>
      </c>
      <c r="U418" t="s">
        <v>1165</v>
      </c>
      <c r="V418" t="s">
        <v>1473</v>
      </c>
      <c r="W418" t="s">
        <v>1468</v>
      </c>
      <c r="X418" t="s">
        <v>1035</v>
      </c>
      <c r="Y418" t="s">
        <v>46</v>
      </c>
      <c r="Z418" t="s">
        <v>1469</v>
      </c>
      <c r="AA418" t="s">
        <v>60</v>
      </c>
      <c r="AB418" t="s">
        <v>37</v>
      </c>
      <c r="AC418" t="s">
        <v>38</v>
      </c>
      <c r="AD418" t="s">
        <v>179</v>
      </c>
      <c r="AE418" t="s">
        <v>180</v>
      </c>
      <c r="AF418">
        <v>96</v>
      </c>
      <c r="AG418" t="s">
        <v>40</v>
      </c>
      <c r="AH418" t="s">
        <v>50</v>
      </c>
      <c r="AI418" t="s">
        <v>46</v>
      </c>
      <c r="AJ418" t="s">
        <v>47</v>
      </c>
      <c r="AK418" t="s">
        <v>61</v>
      </c>
      <c r="AL418">
        <v>20</v>
      </c>
      <c r="AM418" t="s">
        <v>46</v>
      </c>
      <c r="AN418" t="s">
        <v>76</v>
      </c>
      <c r="AO418" t="s">
        <v>46</v>
      </c>
      <c r="AP418" t="s">
        <v>50</v>
      </c>
      <c r="AQ418" t="s">
        <v>46</v>
      </c>
      <c r="AR418" t="s">
        <v>63</v>
      </c>
      <c r="AS418" t="s">
        <v>1629</v>
      </c>
      <c r="AT418" t="s">
        <v>63</v>
      </c>
      <c r="AU418" t="s">
        <v>46</v>
      </c>
      <c r="AV418">
        <v>2004</v>
      </c>
      <c r="AW418" t="s">
        <v>46</v>
      </c>
    </row>
    <row r="419" spans="1:49" x14ac:dyDescent="0.2">
      <c r="A419">
        <v>418</v>
      </c>
      <c r="B419" t="s">
        <v>1463</v>
      </c>
      <c r="C419" t="s">
        <v>55</v>
      </c>
      <c r="D419" t="s">
        <v>1464</v>
      </c>
      <c r="E419" t="s">
        <v>42</v>
      </c>
      <c r="F419" t="s">
        <v>46</v>
      </c>
      <c r="G419" t="s">
        <v>46</v>
      </c>
      <c r="H419" t="s">
        <v>46</v>
      </c>
      <c r="I419">
        <v>3</v>
      </c>
      <c r="J419">
        <v>20</v>
      </c>
      <c r="K419" t="s">
        <v>1465</v>
      </c>
      <c r="L419" t="s">
        <v>1466</v>
      </c>
      <c r="M419">
        <v>2.2000000000000002</v>
      </c>
      <c r="N419" t="s">
        <v>42</v>
      </c>
      <c r="O419">
        <f>M419-2.1</f>
        <v>0.10000000000000009</v>
      </c>
      <c r="P419">
        <f>2.4-M419</f>
        <v>0.19999999999999973</v>
      </c>
      <c r="Q419" t="s">
        <v>69</v>
      </c>
      <c r="R419">
        <v>3</v>
      </c>
      <c r="S419">
        <v>20</v>
      </c>
      <c r="T419" t="s">
        <v>1465</v>
      </c>
      <c r="U419" t="s">
        <v>1165</v>
      </c>
      <c r="V419" t="s">
        <v>1473</v>
      </c>
      <c r="W419" t="s">
        <v>1472</v>
      </c>
      <c r="X419" t="s">
        <v>1035</v>
      </c>
      <c r="Y419" t="s">
        <v>46</v>
      </c>
      <c r="Z419" t="s">
        <v>1469</v>
      </c>
      <c r="AA419" t="s">
        <v>60</v>
      </c>
      <c r="AB419" t="s">
        <v>37</v>
      </c>
      <c r="AC419" t="s">
        <v>38</v>
      </c>
      <c r="AD419" t="s">
        <v>179</v>
      </c>
      <c r="AE419" t="s">
        <v>180</v>
      </c>
      <c r="AF419">
        <v>96</v>
      </c>
      <c r="AG419" t="s">
        <v>40</v>
      </c>
      <c r="AH419" t="s">
        <v>50</v>
      </c>
      <c r="AI419" t="s">
        <v>46</v>
      </c>
      <c r="AJ419" t="s">
        <v>47</v>
      </c>
      <c r="AK419" t="s">
        <v>61</v>
      </c>
      <c r="AL419">
        <v>20</v>
      </c>
      <c r="AM419" t="s">
        <v>46</v>
      </c>
      <c r="AN419" t="s">
        <v>76</v>
      </c>
      <c r="AO419" t="s">
        <v>46</v>
      </c>
      <c r="AP419" t="s">
        <v>50</v>
      </c>
      <c r="AQ419" t="s">
        <v>46</v>
      </c>
      <c r="AR419" t="s">
        <v>63</v>
      </c>
      <c r="AS419" t="s">
        <v>1629</v>
      </c>
      <c r="AT419" t="s">
        <v>63</v>
      </c>
      <c r="AU419" t="s">
        <v>46</v>
      </c>
      <c r="AV419">
        <v>2004</v>
      </c>
      <c r="AW419" t="s">
        <v>46</v>
      </c>
    </row>
    <row r="420" spans="1:49" x14ac:dyDescent="0.2">
      <c r="A420">
        <v>419</v>
      </c>
      <c r="B420" t="s">
        <v>1474</v>
      </c>
      <c r="C420" t="s">
        <v>1475</v>
      </c>
      <c r="D420">
        <v>10.63</v>
      </c>
      <c r="E420" t="s">
        <v>42</v>
      </c>
      <c r="F420">
        <f>D420-10.21</f>
        <v>0.41999999999999993</v>
      </c>
      <c r="G420">
        <f>11.07-D420</f>
        <v>0.4399999999999995</v>
      </c>
      <c r="H420" t="s">
        <v>69</v>
      </c>
      <c r="I420">
        <v>3</v>
      </c>
      <c r="J420">
        <v>20</v>
      </c>
      <c r="K420" t="s">
        <v>1465</v>
      </c>
      <c r="L420" t="s">
        <v>1476</v>
      </c>
      <c r="M420">
        <v>1.6</v>
      </c>
      <c r="N420" t="s">
        <v>42</v>
      </c>
      <c r="O420">
        <f>M420-1.32</f>
        <v>0.28000000000000003</v>
      </c>
      <c r="P420">
        <f>1.95-M420</f>
        <v>0.34999999999999987</v>
      </c>
      <c r="Q420" t="s">
        <v>69</v>
      </c>
      <c r="R420">
        <v>3</v>
      </c>
      <c r="S420">
        <v>20</v>
      </c>
      <c r="T420" t="s">
        <v>1465</v>
      </c>
      <c r="U420" t="s">
        <v>1165</v>
      </c>
      <c r="V420" t="s">
        <v>1477</v>
      </c>
      <c r="W420" t="s">
        <v>1478</v>
      </c>
      <c r="X420" t="s">
        <v>59</v>
      </c>
      <c r="Y420" t="s">
        <v>83</v>
      </c>
      <c r="Z420" t="s">
        <v>1479</v>
      </c>
      <c r="AA420" t="s">
        <v>60</v>
      </c>
      <c r="AB420" t="s">
        <v>37</v>
      </c>
      <c r="AC420" t="s">
        <v>38</v>
      </c>
      <c r="AD420" t="s">
        <v>39</v>
      </c>
      <c r="AE420" t="s">
        <v>45</v>
      </c>
      <c r="AF420">
        <v>96</v>
      </c>
      <c r="AG420" t="s">
        <v>77</v>
      </c>
      <c r="AH420" t="s">
        <v>50</v>
      </c>
      <c r="AI420" t="s">
        <v>46</v>
      </c>
      <c r="AJ420" t="s">
        <v>47</v>
      </c>
      <c r="AK420" t="s">
        <v>61</v>
      </c>
      <c r="AL420">
        <v>24</v>
      </c>
      <c r="AM420">
        <v>7.4</v>
      </c>
      <c r="AN420" t="s">
        <v>46</v>
      </c>
      <c r="AO420" t="s">
        <v>46</v>
      </c>
      <c r="AP420" t="s">
        <v>63</v>
      </c>
      <c r="AQ420">
        <v>46</v>
      </c>
      <c r="AR420" t="s">
        <v>50</v>
      </c>
      <c r="AS420" t="s">
        <v>1631</v>
      </c>
      <c r="AT420" t="s">
        <v>63</v>
      </c>
      <c r="AU420" t="s">
        <v>46</v>
      </c>
      <c r="AV420">
        <v>1994</v>
      </c>
      <c r="AW420" t="s">
        <v>1480</v>
      </c>
    </row>
    <row r="421" spans="1:49" x14ac:dyDescent="0.2">
      <c r="A421">
        <v>420</v>
      </c>
      <c r="B421" t="s">
        <v>1481</v>
      </c>
      <c r="C421" t="s">
        <v>201</v>
      </c>
      <c r="D421">
        <v>0.86</v>
      </c>
      <c r="E421" t="s">
        <v>42</v>
      </c>
      <c r="F421">
        <v>8.2000000000000003E-2</v>
      </c>
      <c r="G421">
        <v>8.2000000000000003E-2</v>
      </c>
      <c r="H421" t="s">
        <v>43</v>
      </c>
      <c r="I421">
        <v>4</v>
      </c>
      <c r="J421">
        <v>30</v>
      </c>
      <c r="K421" t="s">
        <v>1482</v>
      </c>
      <c r="L421" t="s">
        <v>1483</v>
      </c>
      <c r="M421">
        <v>0.72</v>
      </c>
      <c r="N421" t="s">
        <v>42</v>
      </c>
      <c r="O421">
        <v>1.2999999999999999E-2</v>
      </c>
      <c r="P421">
        <v>1.2999999999999999E-2</v>
      </c>
      <c r="Q421" t="s">
        <v>43</v>
      </c>
      <c r="R421">
        <v>4</v>
      </c>
      <c r="S421">
        <v>30</v>
      </c>
      <c r="T421" t="s">
        <v>1482</v>
      </c>
      <c r="U421" t="s">
        <v>1484</v>
      </c>
      <c r="V421" t="s">
        <v>1485</v>
      </c>
      <c r="W421" s="3" t="s">
        <v>1486</v>
      </c>
      <c r="X421" t="s">
        <v>1487</v>
      </c>
      <c r="Y421" t="s">
        <v>1488</v>
      </c>
      <c r="Z421" t="s">
        <v>1489</v>
      </c>
      <c r="AA421" t="s">
        <v>232</v>
      </c>
      <c r="AB421" t="s">
        <v>74</v>
      </c>
      <c r="AC421" t="s">
        <v>38</v>
      </c>
      <c r="AD421" t="s">
        <v>169</v>
      </c>
      <c r="AE421" t="s">
        <v>1490</v>
      </c>
      <c r="AF421">
        <v>48</v>
      </c>
      <c r="AG421" t="s">
        <v>77</v>
      </c>
      <c r="AH421" t="s">
        <v>50</v>
      </c>
      <c r="AI421" t="s">
        <v>46</v>
      </c>
      <c r="AJ421" t="s">
        <v>1222</v>
      </c>
      <c r="AK421" t="s">
        <v>61</v>
      </c>
      <c r="AL421">
        <v>25</v>
      </c>
      <c r="AM421" t="s">
        <v>46</v>
      </c>
      <c r="AN421" t="s">
        <v>46</v>
      </c>
      <c r="AO421" t="s">
        <v>46</v>
      </c>
      <c r="AP421" t="s">
        <v>50</v>
      </c>
      <c r="AQ421" t="s">
        <v>46</v>
      </c>
      <c r="AR421" t="s">
        <v>50</v>
      </c>
      <c r="AS421" t="s">
        <v>1649</v>
      </c>
      <c r="AT421" t="s">
        <v>63</v>
      </c>
      <c r="AU421" t="s">
        <v>46</v>
      </c>
      <c r="AV421">
        <v>2022</v>
      </c>
      <c r="AW421" t="s">
        <v>46</v>
      </c>
    </row>
    <row r="422" spans="1:49" x14ac:dyDescent="0.2">
      <c r="A422">
        <v>421</v>
      </c>
      <c r="B422" t="s">
        <v>1481</v>
      </c>
      <c r="C422" t="s">
        <v>201</v>
      </c>
      <c r="D422">
        <v>1.0900000000000001</v>
      </c>
      <c r="E422" t="s">
        <v>42</v>
      </c>
      <c r="F422">
        <v>7.0999999999999994E-2</v>
      </c>
      <c r="G422">
        <v>7.0999999999999994E-2</v>
      </c>
      <c r="H422" t="s">
        <v>43</v>
      </c>
      <c r="I422">
        <v>4</v>
      </c>
      <c r="J422">
        <v>30</v>
      </c>
      <c r="K422" t="s">
        <v>1482</v>
      </c>
      <c r="L422" t="s">
        <v>1483</v>
      </c>
      <c r="M422">
        <v>1.24</v>
      </c>
      <c r="N422" t="s">
        <v>42</v>
      </c>
      <c r="O422">
        <v>2.9000000000000001E-2</v>
      </c>
      <c r="P422">
        <v>2.9000000000000001E-2</v>
      </c>
      <c r="Q422" t="s">
        <v>43</v>
      </c>
      <c r="R422">
        <v>4</v>
      </c>
      <c r="S422">
        <v>30</v>
      </c>
      <c r="T422" t="s">
        <v>1482</v>
      </c>
      <c r="U422" t="s">
        <v>1484</v>
      </c>
      <c r="V422" t="s">
        <v>1491</v>
      </c>
      <c r="W422" t="s">
        <v>1492</v>
      </c>
      <c r="X422" t="s">
        <v>1487</v>
      </c>
      <c r="Y422" t="s">
        <v>1488</v>
      </c>
      <c r="Z422" t="s">
        <v>1489</v>
      </c>
      <c r="AA422" t="s">
        <v>232</v>
      </c>
      <c r="AB422" t="s">
        <v>74</v>
      </c>
      <c r="AC422" t="s">
        <v>38</v>
      </c>
      <c r="AD422" t="s">
        <v>169</v>
      </c>
      <c r="AE422" t="s">
        <v>1493</v>
      </c>
      <c r="AF422">
        <v>48</v>
      </c>
      <c r="AG422" t="s">
        <v>77</v>
      </c>
      <c r="AH422" t="s">
        <v>50</v>
      </c>
      <c r="AI422" t="s">
        <v>46</v>
      </c>
      <c r="AJ422" t="s">
        <v>1222</v>
      </c>
      <c r="AK422" t="s">
        <v>61</v>
      </c>
      <c r="AL422">
        <v>25</v>
      </c>
      <c r="AM422" t="s">
        <v>46</v>
      </c>
      <c r="AN422" t="s">
        <v>46</v>
      </c>
      <c r="AO422" t="s">
        <v>46</v>
      </c>
      <c r="AP422" t="s">
        <v>50</v>
      </c>
      <c r="AQ422" t="s">
        <v>46</v>
      </c>
      <c r="AR422" t="s">
        <v>50</v>
      </c>
      <c r="AS422" t="s">
        <v>1649</v>
      </c>
      <c r="AT422" t="s">
        <v>63</v>
      </c>
      <c r="AU422" t="s">
        <v>46</v>
      </c>
      <c r="AV422">
        <v>2022</v>
      </c>
      <c r="AW422" t="s">
        <v>46</v>
      </c>
    </row>
    <row r="423" spans="1:49" x14ac:dyDescent="0.2">
      <c r="A423">
        <v>422</v>
      </c>
      <c r="B423" t="s">
        <v>1481</v>
      </c>
      <c r="C423" t="s">
        <v>201</v>
      </c>
      <c r="D423">
        <v>2.39</v>
      </c>
      <c r="E423" t="s">
        <v>42</v>
      </c>
      <c r="F423">
        <v>0.186</v>
      </c>
      <c r="G423">
        <v>0.186</v>
      </c>
      <c r="H423" t="s">
        <v>43</v>
      </c>
      <c r="I423">
        <v>4</v>
      </c>
      <c r="J423">
        <v>30</v>
      </c>
      <c r="K423" t="s">
        <v>1482</v>
      </c>
      <c r="L423" t="s">
        <v>1483</v>
      </c>
      <c r="M423">
        <v>2.2000000000000002</v>
      </c>
      <c r="N423" t="s">
        <v>42</v>
      </c>
      <c r="O423">
        <v>0.19600000000000001</v>
      </c>
      <c r="P423">
        <v>0.19600000000000001</v>
      </c>
      <c r="Q423" t="s">
        <v>43</v>
      </c>
      <c r="R423">
        <v>4</v>
      </c>
      <c r="S423">
        <v>30</v>
      </c>
      <c r="T423" t="s">
        <v>1482</v>
      </c>
      <c r="U423" t="s">
        <v>1484</v>
      </c>
      <c r="V423" t="s">
        <v>1494</v>
      </c>
      <c r="W423" t="s">
        <v>1495</v>
      </c>
      <c r="X423" t="s">
        <v>1487</v>
      </c>
      <c r="Y423" t="s">
        <v>1488</v>
      </c>
      <c r="Z423" t="s">
        <v>1489</v>
      </c>
      <c r="AA423" t="s">
        <v>232</v>
      </c>
      <c r="AB423" t="s">
        <v>74</v>
      </c>
      <c r="AC423" t="s">
        <v>38</v>
      </c>
      <c r="AD423" t="s">
        <v>169</v>
      </c>
      <c r="AE423" t="s">
        <v>233</v>
      </c>
      <c r="AF423">
        <v>48</v>
      </c>
      <c r="AG423" t="s">
        <v>77</v>
      </c>
      <c r="AH423" t="s">
        <v>50</v>
      </c>
      <c r="AI423" t="s">
        <v>46</v>
      </c>
      <c r="AJ423" t="s">
        <v>1222</v>
      </c>
      <c r="AK423" t="s">
        <v>61</v>
      </c>
      <c r="AL423">
        <v>25</v>
      </c>
      <c r="AM423" t="s">
        <v>46</v>
      </c>
      <c r="AN423" t="s">
        <v>46</v>
      </c>
      <c r="AO423" t="s">
        <v>46</v>
      </c>
      <c r="AP423" t="s">
        <v>50</v>
      </c>
      <c r="AQ423" t="s">
        <v>46</v>
      </c>
      <c r="AR423" t="s">
        <v>50</v>
      </c>
      <c r="AS423" t="s">
        <v>1649</v>
      </c>
      <c r="AT423" t="s">
        <v>63</v>
      </c>
      <c r="AU423" t="s">
        <v>46</v>
      </c>
      <c r="AV423">
        <v>2022</v>
      </c>
      <c r="AW423" t="s">
        <v>46</v>
      </c>
    </row>
    <row r="424" spans="1:49" x14ac:dyDescent="0.2">
      <c r="A424">
        <v>423</v>
      </c>
      <c r="B424" t="s">
        <v>1481</v>
      </c>
      <c r="C424" t="s">
        <v>201</v>
      </c>
      <c r="D424">
        <v>2.75</v>
      </c>
      <c r="E424" t="s">
        <v>42</v>
      </c>
      <c r="F424">
        <v>0.16200000000000001</v>
      </c>
      <c r="G424">
        <v>0.16200000000000001</v>
      </c>
      <c r="H424" t="s">
        <v>43</v>
      </c>
      <c r="I424">
        <v>4</v>
      </c>
      <c r="J424">
        <v>30</v>
      </c>
      <c r="K424" t="s">
        <v>1482</v>
      </c>
      <c r="L424" t="s">
        <v>1483</v>
      </c>
      <c r="M424">
        <v>2.96</v>
      </c>
      <c r="N424" t="s">
        <v>42</v>
      </c>
      <c r="O424">
        <v>0.216</v>
      </c>
      <c r="P424">
        <v>0.216</v>
      </c>
      <c r="Q424" t="s">
        <v>43</v>
      </c>
      <c r="R424">
        <v>4</v>
      </c>
      <c r="S424">
        <v>30</v>
      </c>
      <c r="T424" t="s">
        <v>1482</v>
      </c>
      <c r="U424" t="s">
        <v>1484</v>
      </c>
      <c r="V424" t="s">
        <v>1496</v>
      </c>
      <c r="W424" t="s">
        <v>1497</v>
      </c>
      <c r="X424" t="s">
        <v>1487</v>
      </c>
      <c r="Y424" t="s">
        <v>1488</v>
      </c>
      <c r="Z424" t="s">
        <v>1489</v>
      </c>
      <c r="AA424" t="s">
        <v>232</v>
      </c>
      <c r="AB424" t="s">
        <v>74</v>
      </c>
      <c r="AC424" t="s">
        <v>38</v>
      </c>
      <c r="AD424" t="s">
        <v>169</v>
      </c>
      <c r="AE424" t="s">
        <v>1498</v>
      </c>
      <c r="AF424">
        <v>48</v>
      </c>
      <c r="AG424" t="s">
        <v>77</v>
      </c>
      <c r="AH424" t="s">
        <v>50</v>
      </c>
      <c r="AI424" t="s">
        <v>46</v>
      </c>
      <c r="AJ424" t="s">
        <v>1222</v>
      </c>
      <c r="AK424" t="s">
        <v>61</v>
      </c>
      <c r="AL424">
        <v>25</v>
      </c>
      <c r="AM424" t="s">
        <v>46</v>
      </c>
      <c r="AN424" t="s">
        <v>46</v>
      </c>
      <c r="AO424" t="s">
        <v>46</v>
      </c>
      <c r="AP424" t="s">
        <v>50</v>
      </c>
      <c r="AQ424" t="s">
        <v>46</v>
      </c>
      <c r="AR424" t="s">
        <v>50</v>
      </c>
      <c r="AS424" t="s">
        <v>1649</v>
      </c>
      <c r="AT424" t="s">
        <v>63</v>
      </c>
      <c r="AU424" t="s">
        <v>46</v>
      </c>
      <c r="AV424">
        <v>2022</v>
      </c>
      <c r="AW424" t="s">
        <v>46</v>
      </c>
    </row>
    <row r="425" spans="1:49" x14ac:dyDescent="0.2">
      <c r="A425">
        <v>424</v>
      </c>
      <c r="B425" t="s">
        <v>1499</v>
      </c>
      <c r="C425" t="s">
        <v>713</v>
      </c>
      <c r="D425">
        <v>14.3</v>
      </c>
      <c r="E425" t="s">
        <v>42</v>
      </c>
      <c r="F425">
        <f>D425-6.4</f>
        <v>7.9</v>
      </c>
      <c r="G425">
        <f>56-D425</f>
        <v>41.7</v>
      </c>
      <c r="H425" t="s">
        <v>69</v>
      </c>
      <c r="I425">
        <v>8</v>
      </c>
      <c r="J425">
        <v>2</v>
      </c>
      <c r="K425" t="s">
        <v>1500</v>
      </c>
      <c r="L425" t="s">
        <v>1501</v>
      </c>
      <c r="M425">
        <v>12.3</v>
      </c>
      <c r="N425" t="s">
        <v>42</v>
      </c>
      <c r="O425">
        <f>M425-6.3</f>
        <v>6.0000000000000009</v>
      </c>
      <c r="P425">
        <f>35-M425</f>
        <v>22.7</v>
      </c>
      <c r="Q425" t="s">
        <v>69</v>
      </c>
      <c r="R425">
        <v>8</v>
      </c>
      <c r="S425">
        <v>2</v>
      </c>
      <c r="T425" t="s">
        <v>1500</v>
      </c>
      <c r="U425" t="s">
        <v>156</v>
      </c>
      <c r="V425" t="s">
        <v>1502</v>
      </c>
      <c r="W425" t="s">
        <v>1503</v>
      </c>
      <c r="X425" t="s">
        <v>1504</v>
      </c>
      <c r="Y425" t="s">
        <v>1505</v>
      </c>
      <c r="Z425" t="s">
        <v>1506</v>
      </c>
      <c r="AA425" t="s">
        <v>36</v>
      </c>
      <c r="AB425" t="s">
        <v>37</v>
      </c>
      <c r="AC425" t="s">
        <v>38</v>
      </c>
      <c r="AD425" t="s">
        <v>39</v>
      </c>
      <c r="AE425" t="s">
        <v>180</v>
      </c>
      <c r="AF425">
        <v>96</v>
      </c>
      <c r="AG425" t="s">
        <v>77</v>
      </c>
      <c r="AH425" t="s">
        <v>50</v>
      </c>
      <c r="AI425" t="s">
        <v>46</v>
      </c>
      <c r="AJ425" t="s">
        <v>47</v>
      </c>
      <c r="AK425" t="s">
        <v>61</v>
      </c>
      <c r="AL425">
        <v>25</v>
      </c>
      <c r="AM425">
        <v>7</v>
      </c>
      <c r="AN425" t="s">
        <v>46</v>
      </c>
      <c r="AO425" t="s">
        <v>46</v>
      </c>
      <c r="AP425" t="s">
        <v>50</v>
      </c>
      <c r="AQ425">
        <v>20</v>
      </c>
      <c r="AR425" t="s">
        <v>50</v>
      </c>
      <c r="AS425" t="s">
        <v>1631</v>
      </c>
      <c r="AT425" t="s">
        <v>63</v>
      </c>
      <c r="AU425" t="s">
        <v>46</v>
      </c>
      <c r="AV425">
        <v>1994</v>
      </c>
      <c r="AW425" t="s">
        <v>1507</v>
      </c>
    </row>
    <row r="426" spans="1:49" x14ac:dyDescent="0.2">
      <c r="A426">
        <v>425</v>
      </c>
      <c r="B426" t="s">
        <v>1499</v>
      </c>
      <c r="C426" t="s">
        <v>539</v>
      </c>
      <c r="D426">
        <v>0.9</v>
      </c>
      <c r="E426" t="s">
        <v>42</v>
      </c>
      <c r="F426">
        <f>D426-0.6</f>
        <v>0.30000000000000004</v>
      </c>
      <c r="G426">
        <f>1.3-D426</f>
        <v>0.4</v>
      </c>
      <c r="H426" t="s">
        <v>69</v>
      </c>
      <c r="I426">
        <v>8</v>
      </c>
      <c r="J426">
        <v>2</v>
      </c>
      <c r="K426" t="s">
        <v>1500</v>
      </c>
      <c r="L426" t="s">
        <v>1508</v>
      </c>
      <c r="M426">
        <v>1.8</v>
      </c>
      <c r="N426" t="s">
        <v>42</v>
      </c>
      <c r="O426">
        <f>M426-0.9</f>
        <v>0.9</v>
      </c>
      <c r="P426">
        <f>3.3-M426</f>
        <v>1.4999999999999998</v>
      </c>
      <c r="Q426" t="s">
        <v>69</v>
      </c>
      <c r="R426">
        <v>8</v>
      </c>
      <c r="S426">
        <v>2</v>
      </c>
      <c r="T426" t="s">
        <v>1500</v>
      </c>
      <c r="U426" t="s">
        <v>156</v>
      </c>
      <c r="V426" t="s">
        <v>1509</v>
      </c>
      <c r="W426" t="s">
        <v>1510</v>
      </c>
      <c r="X426" t="s">
        <v>1504</v>
      </c>
      <c r="Y426" t="s">
        <v>1505</v>
      </c>
      <c r="Z426" t="s">
        <v>1506</v>
      </c>
      <c r="AA426" t="s">
        <v>36</v>
      </c>
      <c r="AB426" t="s">
        <v>37</v>
      </c>
      <c r="AC426" t="s">
        <v>38</v>
      </c>
      <c r="AD426" t="s">
        <v>39</v>
      </c>
      <c r="AE426" t="s">
        <v>180</v>
      </c>
      <c r="AF426">
        <v>96</v>
      </c>
      <c r="AG426" t="s">
        <v>77</v>
      </c>
      <c r="AH426" t="s">
        <v>50</v>
      </c>
      <c r="AI426" t="s">
        <v>46</v>
      </c>
      <c r="AJ426" t="s">
        <v>47</v>
      </c>
      <c r="AK426" t="s">
        <v>61</v>
      </c>
      <c r="AL426">
        <v>25</v>
      </c>
      <c r="AM426">
        <v>7</v>
      </c>
      <c r="AN426" t="s">
        <v>46</v>
      </c>
      <c r="AO426" t="s">
        <v>46</v>
      </c>
      <c r="AP426" t="s">
        <v>50</v>
      </c>
      <c r="AQ426">
        <v>20</v>
      </c>
      <c r="AR426" t="s">
        <v>50</v>
      </c>
      <c r="AS426" t="s">
        <v>1631</v>
      </c>
      <c r="AT426" t="s">
        <v>63</v>
      </c>
      <c r="AU426" t="s">
        <v>46</v>
      </c>
      <c r="AV426">
        <v>1994</v>
      </c>
      <c r="AW426" t="s">
        <v>1507</v>
      </c>
    </row>
    <row r="427" spans="1:49" x14ac:dyDescent="0.2">
      <c r="A427">
        <v>426</v>
      </c>
      <c r="B427" t="s">
        <v>1511</v>
      </c>
      <c r="C427" t="s">
        <v>1512</v>
      </c>
      <c r="D427">
        <v>4.46</v>
      </c>
      <c r="E427" t="s">
        <v>42</v>
      </c>
      <c r="F427">
        <f>D427-3.27</f>
        <v>1.19</v>
      </c>
      <c r="G427">
        <f>8.2-D427</f>
        <v>3.7399999999999993</v>
      </c>
      <c r="H427" t="s">
        <v>69</v>
      </c>
      <c r="I427">
        <v>2</v>
      </c>
      <c r="J427">
        <v>10</v>
      </c>
      <c r="K427" t="s">
        <v>1001</v>
      </c>
      <c r="L427" t="s">
        <v>1513</v>
      </c>
      <c r="M427">
        <v>8.17</v>
      </c>
      <c r="N427" t="s">
        <v>42</v>
      </c>
      <c r="O427">
        <f>M427-7.48</f>
        <v>0.6899999999999995</v>
      </c>
      <c r="P427">
        <f>8.93-M427</f>
        <v>0.75999999999999979</v>
      </c>
      <c r="Q427" t="s">
        <v>69</v>
      </c>
      <c r="R427">
        <v>2</v>
      </c>
      <c r="S427">
        <v>10</v>
      </c>
      <c r="T427" t="s">
        <v>1001</v>
      </c>
      <c r="U427" t="s">
        <v>1516</v>
      </c>
      <c r="V427" t="s">
        <v>1517</v>
      </c>
      <c r="W427" t="s">
        <v>1522</v>
      </c>
      <c r="X427" t="s">
        <v>366</v>
      </c>
      <c r="Y427" t="s">
        <v>367</v>
      </c>
      <c r="Z427" t="s">
        <v>1527</v>
      </c>
      <c r="AA427" t="s">
        <v>36</v>
      </c>
      <c r="AB427" t="s">
        <v>37</v>
      </c>
      <c r="AC427" t="s">
        <v>38</v>
      </c>
      <c r="AD427" t="s">
        <v>39</v>
      </c>
      <c r="AE427" t="s">
        <v>180</v>
      </c>
      <c r="AF427">
        <v>96</v>
      </c>
      <c r="AG427" t="s">
        <v>77</v>
      </c>
      <c r="AH427" t="s">
        <v>50</v>
      </c>
      <c r="AI427" t="s">
        <v>46</v>
      </c>
      <c r="AJ427" t="s">
        <v>47</v>
      </c>
      <c r="AK427" t="s">
        <v>61</v>
      </c>
      <c r="AL427">
        <v>25</v>
      </c>
      <c r="AM427">
        <v>7.6</v>
      </c>
      <c r="AN427" t="s">
        <v>46</v>
      </c>
      <c r="AO427" t="s">
        <v>46</v>
      </c>
      <c r="AP427" t="s">
        <v>63</v>
      </c>
      <c r="AQ427">
        <v>45.8</v>
      </c>
      <c r="AR427" t="s">
        <v>50</v>
      </c>
      <c r="AS427" t="s">
        <v>1648</v>
      </c>
      <c r="AT427" t="s">
        <v>63</v>
      </c>
      <c r="AU427" t="s">
        <v>46</v>
      </c>
      <c r="AV427">
        <v>1982</v>
      </c>
      <c r="AW427" t="s">
        <v>1528</v>
      </c>
    </row>
    <row r="428" spans="1:49" x14ac:dyDescent="0.2">
      <c r="A428">
        <v>427</v>
      </c>
      <c r="B428" t="s">
        <v>1511</v>
      </c>
      <c r="C428" t="s">
        <v>1512</v>
      </c>
      <c r="D428">
        <v>1.22</v>
      </c>
      <c r="E428" t="s">
        <v>42</v>
      </c>
      <c r="F428">
        <f>D428-0.99</f>
        <v>0.22999999999999998</v>
      </c>
      <c r="G428">
        <f>1.52-D428</f>
        <v>0.30000000000000004</v>
      </c>
      <c r="H428" t="s">
        <v>69</v>
      </c>
      <c r="I428">
        <v>2</v>
      </c>
      <c r="J428">
        <v>10</v>
      </c>
      <c r="K428" t="s">
        <v>1001</v>
      </c>
      <c r="L428" t="s">
        <v>1513</v>
      </c>
      <c r="M428">
        <v>3.47</v>
      </c>
      <c r="N428" t="s">
        <v>42</v>
      </c>
      <c r="O428">
        <f>M428-3</f>
        <v>0.4700000000000002</v>
      </c>
      <c r="P428">
        <f>4.03-M428</f>
        <v>0.56000000000000005</v>
      </c>
      <c r="Q428" t="s">
        <v>69</v>
      </c>
      <c r="R428">
        <v>2</v>
      </c>
      <c r="S428">
        <v>10</v>
      </c>
      <c r="T428" t="s">
        <v>1001</v>
      </c>
      <c r="U428" t="s">
        <v>1516</v>
      </c>
      <c r="V428" t="s">
        <v>1518</v>
      </c>
      <c r="W428" t="s">
        <v>1523</v>
      </c>
      <c r="X428" t="s">
        <v>366</v>
      </c>
      <c r="Y428" t="s">
        <v>367</v>
      </c>
      <c r="Z428" t="s">
        <v>1527</v>
      </c>
      <c r="AA428" t="s">
        <v>36</v>
      </c>
      <c r="AB428" t="s">
        <v>37</v>
      </c>
      <c r="AC428" t="s">
        <v>38</v>
      </c>
      <c r="AD428" t="s">
        <v>39</v>
      </c>
      <c r="AE428" t="s">
        <v>180</v>
      </c>
      <c r="AF428">
        <v>96</v>
      </c>
      <c r="AG428" t="s">
        <v>77</v>
      </c>
      <c r="AH428" t="s">
        <v>50</v>
      </c>
      <c r="AI428" t="s">
        <v>46</v>
      </c>
      <c r="AJ428" t="s">
        <v>47</v>
      </c>
      <c r="AK428" t="s">
        <v>61</v>
      </c>
      <c r="AL428">
        <v>25</v>
      </c>
      <c r="AM428">
        <v>7.6</v>
      </c>
      <c r="AN428" t="s">
        <v>46</v>
      </c>
      <c r="AO428" t="s">
        <v>46</v>
      </c>
      <c r="AP428" t="s">
        <v>63</v>
      </c>
      <c r="AQ428">
        <v>45.8</v>
      </c>
      <c r="AR428" t="s">
        <v>50</v>
      </c>
      <c r="AS428" t="s">
        <v>1648</v>
      </c>
      <c r="AT428" t="s">
        <v>63</v>
      </c>
      <c r="AU428" t="s">
        <v>46</v>
      </c>
      <c r="AV428">
        <v>1982</v>
      </c>
      <c r="AW428" t="s">
        <v>1530</v>
      </c>
    </row>
    <row r="429" spans="1:49" x14ac:dyDescent="0.2">
      <c r="A429">
        <v>428</v>
      </c>
      <c r="B429" t="s">
        <v>1511</v>
      </c>
      <c r="C429" t="s">
        <v>97</v>
      </c>
      <c r="D429">
        <v>0.15</v>
      </c>
      <c r="E429" t="s">
        <v>42</v>
      </c>
      <c r="F429">
        <f>D429-0.12</f>
        <v>0.03</v>
      </c>
      <c r="G429">
        <f>0.19-D429</f>
        <v>4.0000000000000008E-2</v>
      </c>
      <c r="H429" t="s">
        <v>69</v>
      </c>
      <c r="I429">
        <v>2</v>
      </c>
      <c r="J429">
        <v>10</v>
      </c>
      <c r="K429" t="s">
        <v>1001</v>
      </c>
      <c r="L429" t="s">
        <v>1514</v>
      </c>
      <c r="M429">
        <v>0.28000000000000003</v>
      </c>
      <c r="N429" t="s">
        <v>42</v>
      </c>
      <c r="O429">
        <f>M429-0.22</f>
        <v>6.0000000000000026E-2</v>
      </c>
      <c r="P429">
        <f>0.36-M429</f>
        <v>7.999999999999996E-2</v>
      </c>
      <c r="Q429" t="s">
        <v>69</v>
      </c>
      <c r="R429">
        <v>2</v>
      </c>
      <c r="S429">
        <v>10</v>
      </c>
      <c r="T429" t="s">
        <v>1001</v>
      </c>
      <c r="U429" t="s">
        <v>1516</v>
      </c>
      <c r="V429" t="s">
        <v>1519</v>
      </c>
      <c r="W429" t="s">
        <v>1524</v>
      </c>
      <c r="X429" t="s">
        <v>366</v>
      </c>
      <c r="Y429" t="s">
        <v>367</v>
      </c>
      <c r="Z429" t="s">
        <v>1527</v>
      </c>
      <c r="AA429" t="s">
        <v>36</v>
      </c>
      <c r="AB429" t="s">
        <v>37</v>
      </c>
      <c r="AC429" t="s">
        <v>38</v>
      </c>
      <c r="AD429" t="s">
        <v>39</v>
      </c>
      <c r="AE429" t="s">
        <v>180</v>
      </c>
      <c r="AF429">
        <v>96</v>
      </c>
      <c r="AG429" t="s">
        <v>77</v>
      </c>
      <c r="AH429" t="s">
        <v>50</v>
      </c>
      <c r="AI429" t="s">
        <v>46</v>
      </c>
      <c r="AJ429" t="s">
        <v>47</v>
      </c>
      <c r="AK429" t="s">
        <v>61</v>
      </c>
      <c r="AL429">
        <v>25</v>
      </c>
      <c r="AM429">
        <v>7.6</v>
      </c>
      <c r="AN429" t="s">
        <v>46</v>
      </c>
      <c r="AO429" t="s">
        <v>46</v>
      </c>
      <c r="AP429" t="s">
        <v>63</v>
      </c>
      <c r="AQ429">
        <v>45.8</v>
      </c>
      <c r="AR429" t="s">
        <v>50</v>
      </c>
      <c r="AS429" t="s">
        <v>1648</v>
      </c>
      <c r="AT429" t="s">
        <v>63</v>
      </c>
      <c r="AU429" t="s">
        <v>46</v>
      </c>
      <c r="AV429">
        <v>1982</v>
      </c>
      <c r="AW429" t="s">
        <v>1529</v>
      </c>
    </row>
    <row r="430" spans="1:49" x14ac:dyDescent="0.2">
      <c r="A430">
        <v>429</v>
      </c>
      <c r="B430" t="s">
        <v>1511</v>
      </c>
      <c r="C430" t="s">
        <v>949</v>
      </c>
      <c r="D430">
        <v>4.3</v>
      </c>
      <c r="E430" t="s">
        <v>42</v>
      </c>
      <c r="F430">
        <f>D430-3.4</f>
        <v>0.89999999999999991</v>
      </c>
      <c r="G430">
        <f>5.2-D430</f>
        <v>0.90000000000000036</v>
      </c>
      <c r="H430" t="s">
        <v>69</v>
      </c>
      <c r="I430">
        <v>2</v>
      </c>
      <c r="J430">
        <v>10</v>
      </c>
      <c r="K430" t="s">
        <v>1001</v>
      </c>
      <c r="L430" t="s">
        <v>1515</v>
      </c>
      <c r="M430">
        <v>6.1</v>
      </c>
      <c r="N430" t="s">
        <v>42</v>
      </c>
      <c r="O430">
        <f>M430-5</f>
        <v>1.0999999999999996</v>
      </c>
      <c r="P430">
        <f>7.6-M430</f>
        <v>1.5</v>
      </c>
      <c r="Q430" t="s">
        <v>69</v>
      </c>
      <c r="R430">
        <v>2</v>
      </c>
      <c r="S430">
        <v>10</v>
      </c>
      <c r="T430" t="s">
        <v>1001</v>
      </c>
      <c r="U430" t="s">
        <v>1516</v>
      </c>
      <c r="V430" t="s">
        <v>1520</v>
      </c>
      <c r="W430" t="s">
        <v>1525</v>
      </c>
      <c r="X430" t="s">
        <v>366</v>
      </c>
      <c r="Y430" t="s">
        <v>367</v>
      </c>
      <c r="Z430" t="s">
        <v>1527</v>
      </c>
      <c r="AA430" t="s">
        <v>36</v>
      </c>
      <c r="AB430" t="s">
        <v>37</v>
      </c>
      <c r="AC430" t="s">
        <v>38</v>
      </c>
      <c r="AD430" t="s">
        <v>39</v>
      </c>
      <c r="AE430" t="s">
        <v>180</v>
      </c>
      <c r="AF430">
        <v>96</v>
      </c>
      <c r="AG430" t="s">
        <v>77</v>
      </c>
      <c r="AH430" t="s">
        <v>50</v>
      </c>
      <c r="AI430" t="s">
        <v>46</v>
      </c>
      <c r="AJ430" t="s">
        <v>47</v>
      </c>
      <c r="AK430" t="s">
        <v>61</v>
      </c>
      <c r="AL430">
        <v>25</v>
      </c>
      <c r="AM430">
        <v>7.6</v>
      </c>
      <c r="AN430" t="s">
        <v>46</v>
      </c>
      <c r="AO430" t="s">
        <v>46</v>
      </c>
      <c r="AP430" t="s">
        <v>63</v>
      </c>
      <c r="AQ430">
        <v>45.8</v>
      </c>
      <c r="AR430" t="s">
        <v>50</v>
      </c>
      <c r="AS430" t="s">
        <v>1648</v>
      </c>
      <c r="AT430" t="s">
        <v>63</v>
      </c>
      <c r="AU430" t="s">
        <v>46</v>
      </c>
      <c r="AV430">
        <v>1982</v>
      </c>
      <c r="AW430" t="s">
        <v>1531</v>
      </c>
    </row>
    <row r="431" spans="1:49" x14ac:dyDescent="0.2">
      <c r="A431">
        <v>430</v>
      </c>
      <c r="B431" t="s">
        <v>1511</v>
      </c>
      <c r="C431" t="s">
        <v>949</v>
      </c>
      <c r="D431">
        <v>2.1</v>
      </c>
      <c r="E431" t="s">
        <v>42</v>
      </c>
      <c r="F431">
        <f>D431-1.7</f>
        <v>0.40000000000000013</v>
      </c>
      <c r="G431">
        <f>2.9-D431</f>
        <v>0.79999999999999982</v>
      </c>
      <c r="H431" t="s">
        <v>69</v>
      </c>
      <c r="I431">
        <v>2</v>
      </c>
      <c r="J431">
        <v>10</v>
      </c>
      <c r="K431" t="s">
        <v>1001</v>
      </c>
      <c r="L431" t="s">
        <v>1515</v>
      </c>
      <c r="M431">
        <v>5.0999999999999996</v>
      </c>
      <c r="N431" t="s">
        <v>42</v>
      </c>
      <c r="O431">
        <f>M431-4.4</f>
        <v>0.69999999999999929</v>
      </c>
      <c r="P431">
        <f>6.1-M431</f>
        <v>1</v>
      </c>
      <c r="Q431" t="s">
        <v>69</v>
      </c>
      <c r="R431">
        <v>2</v>
      </c>
      <c r="S431">
        <v>10</v>
      </c>
      <c r="T431" t="s">
        <v>1001</v>
      </c>
      <c r="U431" t="s">
        <v>1516</v>
      </c>
      <c r="V431" t="s">
        <v>1521</v>
      </c>
      <c r="W431" t="s">
        <v>1526</v>
      </c>
      <c r="X431" t="s">
        <v>366</v>
      </c>
      <c r="Y431" t="s">
        <v>367</v>
      </c>
      <c r="Z431" t="s">
        <v>1527</v>
      </c>
      <c r="AA431" t="s">
        <v>36</v>
      </c>
      <c r="AB431" t="s">
        <v>37</v>
      </c>
      <c r="AC431" t="s">
        <v>38</v>
      </c>
      <c r="AD431" t="s">
        <v>39</v>
      </c>
      <c r="AE431" t="s">
        <v>180</v>
      </c>
      <c r="AF431">
        <v>96</v>
      </c>
      <c r="AG431" t="s">
        <v>77</v>
      </c>
      <c r="AH431" t="s">
        <v>50</v>
      </c>
      <c r="AI431" t="s">
        <v>46</v>
      </c>
      <c r="AJ431" t="s">
        <v>47</v>
      </c>
      <c r="AK431" t="s">
        <v>61</v>
      </c>
      <c r="AL431">
        <v>25</v>
      </c>
      <c r="AM431">
        <v>7.6</v>
      </c>
      <c r="AN431" t="s">
        <v>46</v>
      </c>
      <c r="AO431" t="s">
        <v>46</v>
      </c>
      <c r="AP431" t="s">
        <v>63</v>
      </c>
      <c r="AQ431">
        <v>45.8</v>
      </c>
      <c r="AR431" t="s">
        <v>50</v>
      </c>
      <c r="AS431" t="s">
        <v>1648</v>
      </c>
      <c r="AT431" t="s">
        <v>63</v>
      </c>
      <c r="AU431" t="s">
        <v>46</v>
      </c>
      <c r="AV431">
        <v>1982</v>
      </c>
      <c r="AW431" t="s">
        <v>1532</v>
      </c>
    </row>
    <row r="432" spans="1:49" x14ac:dyDescent="0.2">
      <c r="A432">
        <v>431</v>
      </c>
      <c r="B432" t="s">
        <v>1511</v>
      </c>
      <c r="C432" t="s">
        <v>1512</v>
      </c>
      <c r="D432">
        <v>0.78341000000000005</v>
      </c>
      <c r="E432" t="s">
        <v>42</v>
      </c>
      <c r="F432">
        <v>3.0251E-2</v>
      </c>
      <c r="G432">
        <v>3.0251E-2</v>
      </c>
      <c r="H432" t="s">
        <v>43</v>
      </c>
      <c r="I432">
        <v>2</v>
      </c>
      <c r="J432">
        <v>15</v>
      </c>
      <c r="K432" t="s">
        <v>1533</v>
      </c>
      <c r="L432" t="s">
        <v>1513</v>
      </c>
      <c r="M432">
        <v>0.76757200000000003</v>
      </c>
      <c r="N432" t="s">
        <v>42</v>
      </c>
      <c r="O432">
        <v>9.7272000000000001E-3</v>
      </c>
      <c r="P432">
        <v>9.7272000000000001E-3</v>
      </c>
      <c r="Q432" t="s">
        <v>43</v>
      </c>
      <c r="R432">
        <v>2</v>
      </c>
      <c r="S432">
        <v>15</v>
      </c>
      <c r="T432" t="s">
        <v>1533</v>
      </c>
      <c r="U432" t="s">
        <v>158</v>
      </c>
      <c r="V432" t="s">
        <v>1534</v>
      </c>
      <c r="W432" t="s">
        <v>1535</v>
      </c>
      <c r="X432" t="s">
        <v>366</v>
      </c>
      <c r="Y432" t="s">
        <v>367</v>
      </c>
      <c r="Z432" t="s">
        <v>1527</v>
      </c>
      <c r="AA432" t="s">
        <v>36</v>
      </c>
      <c r="AB432" t="s">
        <v>37</v>
      </c>
      <c r="AC432" t="s">
        <v>38</v>
      </c>
      <c r="AD432" t="s">
        <v>39</v>
      </c>
      <c r="AE432" t="s">
        <v>180</v>
      </c>
      <c r="AF432">
        <f>32*24</f>
        <v>768</v>
      </c>
      <c r="AG432" t="s">
        <v>77</v>
      </c>
      <c r="AH432" t="s">
        <v>50</v>
      </c>
      <c r="AI432" t="s">
        <v>46</v>
      </c>
      <c r="AJ432" t="s">
        <v>47</v>
      </c>
      <c r="AK432" t="s">
        <v>48</v>
      </c>
      <c r="AL432">
        <v>25</v>
      </c>
      <c r="AM432">
        <v>7.6</v>
      </c>
      <c r="AN432" t="s">
        <v>76</v>
      </c>
      <c r="AO432" t="s">
        <v>46</v>
      </c>
      <c r="AP432" t="s">
        <v>63</v>
      </c>
      <c r="AQ432">
        <v>45.8</v>
      </c>
      <c r="AR432" t="s">
        <v>50</v>
      </c>
      <c r="AS432" t="s">
        <v>1648</v>
      </c>
      <c r="AT432" t="s">
        <v>63</v>
      </c>
      <c r="AU432" t="s">
        <v>46</v>
      </c>
      <c r="AV432">
        <v>1982</v>
      </c>
      <c r="AW432" t="s">
        <v>1536</v>
      </c>
    </row>
    <row r="433" spans="1:49" x14ac:dyDescent="0.2">
      <c r="A433">
        <v>432</v>
      </c>
      <c r="B433" t="s">
        <v>1511</v>
      </c>
      <c r="C433" t="s">
        <v>949</v>
      </c>
      <c r="D433">
        <v>0.436774</v>
      </c>
      <c r="E433" t="s">
        <v>42</v>
      </c>
      <c r="F433">
        <v>5.4096999999999999E-2</v>
      </c>
      <c r="G433">
        <v>5.4096999999999999E-2</v>
      </c>
      <c r="H433" t="s">
        <v>43</v>
      </c>
      <c r="I433">
        <v>2</v>
      </c>
      <c r="J433">
        <v>15</v>
      </c>
      <c r="K433" t="s">
        <v>1533</v>
      </c>
      <c r="L433" t="s">
        <v>1515</v>
      </c>
      <c r="M433" t="s">
        <v>1537</v>
      </c>
      <c r="N433" t="s">
        <v>42</v>
      </c>
      <c r="O433" t="s">
        <v>46</v>
      </c>
      <c r="P433" t="s">
        <v>46</v>
      </c>
      <c r="Q433" t="s">
        <v>46</v>
      </c>
      <c r="R433">
        <v>2</v>
      </c>
      <c r="S433">
        <v>15</v>
      </c>
      <c r="T433" t="s">
        <v>1533</v>
      </c>
      <c r="U433" t="s">
        <v>158</v>
      </c>
      <c r="V433" t="s">
        <v>1538</v>
      </c>
      <c r="W433" t="s">
        <v>1539</v>
      </c>
      <c r="X433" t="s">
        <v>366</v>
      </c>
      <c r="Y433" t="s">
        <v>367</v>
      </c>
      <c r="Z433" t="s">
        <v>1527</v>
      </c>
      <c r="AA433" t="s">
        <v>36</v>
      </c>
      <c r="AB433" t="s">
        <v>37</v>
      </c>
      <c r="AC433" t="s">
        <v>38</v>
      </c>
      <c r="AD433" t="s">
        <v>39</v>
      </c>
      <c r="AE433" t="s">
        <v>180</v>
      </c>
      <c r="AF433">
        <f>32*24</f>
        <v>768</v>
      </c>
      <c r="AG433" t="s">
        <v>77</v>
      </c>
      <c r="AH433" t="s">
        <v>50</v>
      </c>
      <c r="AI433" t="s">
        <v>46</v>
      </c>
      <c r="AJ433" t="s">
        <v>47</v>
      </c>
      <c r="AK433" t="s">
        <v>48</v>
      </c>
      <c r="AL433">
        <v>25</v>
      </c>
      <c r="AM433">
        <v>7.6</v>
      </c>
      <c r="AN433" t="s">
        <v>76</v>
      </c>
      <c r="AO433" t="s">
        <v>46</v>
      </c>
      <c r="AP433" t="s">
        <v>63</v>
      </c>
      <c r="AQ433">
        <v>45.8</v>
      </c>
      <c r="AR433" t="s">
        <v>63</v>
      </c>
      <c r="AS433" t="s">
        <v>1648</v>
      </c>
      <c r="AT433" t="s">
        <v>63</v>
      </c>
      <c r="AU433" t="s">
        <v>46</v>
      </c>
      <c r="AV433">
        <v>1982</v>
      </c>
      <c r="AW433" t="s">
        <v>1536</v>
      </c>
    </row>
    <row r="434" spans="1:49" x14ac:dyDescent="0.2">
      <c r="A434">
        <v>433</v>
      </c>
      <c r="B434" t="s">
        <v>1540</v>
      </c>
      <c r="C434" t="s">
        <v>80</v>
      </c>
      <c r="D434">
        <v>55</v>
      </c>
      <c r="E434" t="s">
        <v>42</v>
      </c>
      <c r="F434">
        <f>D434-31</f>
        <v>24</v>
      </c>
      <c r="G434">
        <f>97-D434</f>
        <v>42</v>
      </c>
      <c r="H434" t="s">
        <v>69</v>
      </c>
      <c r="I434">
        <v>1</v>
      </c>
      <c r="J434">
        <v>10</v>
      </c>
      <c r="K434" t="s">
        <v>1541</v>
      </c>
      <c r="L434" t="s">
        <v>415</v>
      </c>
      <c r="M434">
        <v>18</v>
      </c>
      <c r="N434" t="s">
        <v>42</v>
      </c>
      <c r="O434">
        <f>M434-9.4</f>
        <v>8.6</v>
      </c>
      <c r="P434">
        <f>32-M434</f>
        <v>14</v>
      </c>
      <c r="Q434" t="s">
        <v>69</v>
      </c>
      <c r="R434">
        <v>1</v>
      </c>
      <c r="S434">
        <v>10</v>
      </c>
      <c r="T434" t="s">
        <v>1541</v>
      </c>
      <c r="U434" t="s">
        <v>227</v>
      </c>
      <c r="V434" t="s">
        <v>1542</v>
      </c>
      <c r="W434" s="3" t="s">
        <v>1543</v>
      </c>
      <c r="X434" s="4" t="s">
        <v>303</v>
      </c>
      <c r="Y434" t="s">
        <v>304</v>
      </c>
      <c r="Z434" t="s">
        <v>493</v>
      </c>
      <c r="AA434" t="s">
        <v>232</v>
      </c>
      <c r="AB434" t="s">
        <v>74</v>
      </c>
      <c r="AC434" t="s">
        <v>38</v>
      </c>
      <c r="AD434" t="s">
        <v>39</v>
      </c>
      <c r="AE434" t="s">
        <v>180</v>
      </c>
      <c r="AF434">
        <v>48</v>
      </c>
      <c r="AG434" t="s">
        <v>40</v>
      </c>
      <c r="AH434" t="s">
        <v>50</v>
      </c>
      <c r="AI434" t="s">
        <v>46</v>
      </c>
      <c r="AJ434" t="s">
        <v>47</v>
      </c>
      <c r="AK434" t="s">
        <v>61</v>
      </c>
      <c r="AL434">
        <v>22</v>
      </c>
      <c r="AM434">
        <v>7.2</v>
      </c>
      <c r="AN434" t="s">
        <v>46</v>
      </c>
      <c r="AO434" t="s">
        <v>46</v>
      </c>
      <c r="AP434" t="s">
        <v>63</v>
      </c>
      <c r="AQ434">
        <v>40</v>
      </c>
      <c r="AR434" t="s">
        <v>50</v>
      </c>
      <c r="AS434" t="s">
        <v>1629</v>
      </c>
      <c r="AT434" t="s">
        <v>63</v>
      </c>
      <c r="AU434" t="s">
        <v>46</v>
      </c>
      <c r="AV434">
        <v>1979</v>
      </c>
      <c r="AW434" t="s">
        <v>1556</v>
      </c>
    </row>
    <row r="435" spans="1:49" x14ac:dyDescent="0.2">
      <c r="A435">
        <v>434</v>
      </c>
      <c r="B435" t="s">
        <v>1540</v>
      </c>
      <c r="C435" t="s">
        <v>80</v>
      </c>
      <c r="D435">
        <v>140</v>
      </c>
      <c r="E435" t="s">
        <v>42</v>
      </c>
      <c r="F435">
        <f>D435-120</f>
        <v>20</v>
      </c>
      <c r="G435">
        <f>170-D435</f>
        <v>30</v>
      </c>
      <c r="H435" t="s">
        <v>69</v>
      </c>
      <c r="I435">
        <v>1</v>
      </c>
      <c r="J435">
        <v>10</v>
      </c>
      <c r="K435" t="s">
        <v>1541</v>
      </c>
      <c r="L435" t="s">
        <v>415</v>
      </c>
      <c r="M435">
        <v>8.3000000000000007</v>
      </c>
      <c r="N435" t="s">
        <v>42</v>
      </c>
      <c r="O435">
        <f>M435-7</f>
        <v>1.3000000000000007</v>
      </c>
      <c r="P435">
        <f>9.9-M435</f>
        <v>1.5999999999999996</v>
      </c>
      <c r="Q435" t="s">
        <v>69</v>
      </c>
      <c r="R435">
        <v>1</v>
      </c>
      <c r="S435">
        <v>10</v>
      </c>
      <c r="T435" t="s">
        <v>1541</v>
      </c>
      <c r="U435" t="s">
        <v>227</v>
      </c>
      <c r="V435" t="s">
        <v>1544</v>
      </c>
      <c r="W435" t="s">
        <v>1552</v>
      </c>
      <c r="X435" t="s">
        <v>316</v>
      </c>
      <c r="Y435" t="s">
        <v>315</v>
      </c>
      <c r="Z435" t="s">
        <v>492</v>
      </c>
      <c r="AA435" t="s">
        <v>36</v>
      </c>
      <c r="AB435" t="s">
        <v>37</v>
      </c>
      <c r="AC435" t="s">
        <v>38</v>
      </c>
      <c r="AD435" t="s">
        <v>39</v>
      </c>
      <c r="AE435" t="s">
        <v>75</v>
      </c>
      <c r="AF435">
        <v>24</v>
      </c>
      <c r="AG435" t="s">
        <v>40</v>
      </c>
      <c r="AH435" t="s">
        <v>50</v>
      </c>
      <c r="AI435" t="s">
        <v>46</v>
      </c>
      <c r="AJ435" t="s">
        <v>47</v>
      </c>
      <c r="AK435" t="s">
        <v>61</v>
      </c>
      <c r="AL435">
        <v>12</v>
      </c>
      <c r="AM435">
        <v>7.2</v>
      </c>
      <c r="AN435" t="s">
        <v>46</v>
      </c>
      <c r="AO435" t="s">
        <v>46</v>
      </c>
      <c r="AP435" t="s">
        <v>63</v>
      </c>
      <c r="AQ435">
        <v>40</v>
      </c>
      <c r="AR435" t="s">
        <v>50</v>
      </c>
      <c r="AS435" t="s">
        <v>1629</v>
      </c>
      <c r="AT435" t="s">
        <v>63</v>
      </c>
      <c r="AU435" t="s">
        <v>46</v>
      </c>
      <c r="AV435">
        <v>1979</v>
      </c>
      <c r="AW435" t="s">
        <v>1556</v>
      </c>
    </row>
    <row r="436" spans="1:49" x14ac:dyDescent="0.2">
      <c r="A436">
        <v>435</v>
      </c>
      <c r="B436" t="s">
        <v>1540</v>
      </c>
      <c r="C436" t="s">
        <v>80</v>
      </c>
      <c r="D436">
        <v>140</v>
      </c>
      <c r="E436" t="s">
        <v>42</v>
      </c>
      <c r="F436">
        <f>D436-120</f>
        <v>20</v>
      </c>
      <c r="G436">
        <f>170-D436</f>
        <v>30</v>
      </c>
      <c r="H436" t="s">
        <v>69</v>
      </c>
      <c r="I436">
        <v>1</v>
      </c>
      <c r="J436">
        <v>10</v>
      </c>
      <c r="K436" t="s">
        <v>1541</v>
      </c>
      <c r="L436" t="s">
        <v>415</v>
      </c>
      <c r="M436">
        <v>8.3000000000000007</v>
      </c>
      <c r="N436" t="s">
        <v>42</v>
      </c>
      <c r="O436">
        <f>M436-7</f>
        <v>1.3000000000000007</v>
      </c>
      <c r="P436">
        <f>9.9-M436</f>
        <v>1.5999999999999996</v>
      </c>
      <c r="Q436" t="s">
        <v>69</v>
      </c>
      <c r="R436">
        <v>1</v>
      </c>
      <c r="S436">
        <v>10</v>
      </c>
      <c r="T436" t="s">
        <v>1541</v>
      </c>
      <c r="U436" t="s">
        <v>227</v>
      </c>
      <c r="V436" t="s">
        <v>1545</v>
      </c>
      <c r="W436" t="s">
        <v>1552</v>
      </c>
      <c r="X436" t="s">
        <v>316</v>
      </c>
      <c r="Y436" t="s">
        <v>315</v>
      </c>
      <c r="Z436" t="s">
        <v>492</v>
      </c>
      <c r="AA436" t="s">
        <v>36</v>
      </c>
      <c r="AB436" t="s">
        <v>37</v>
      </c>
      <c r="AC436" t="s">
        <v>38</v>
      </c>
      <c r="AD436" t="s">
        <v>39</v>
      </c>
      <c r="AE436" t="s">
        <v>75</v>
      </c>
      <c r="AF436">
        <v>96</v>
      </c>
      <c r="AG436" t="s">
        <v>40</v>
      </c>
      <c r="AH436" t="s">
        <v>50</v>
      </c>
      <c r="AI436" t="s">
        <v>46</v>
      </c>
      <c r="AJ436" t="s">
        <v>47</v>
      </c>
      <c r="AK436" t="s">
        <v>61</v>
      </c>
      <c r="AL436">
        <v>12</v>
      </c>
      <c r="AM436">
        <v>7.2</v>
      </c>
      <c r="AN436" t="s">
        <v>46</v>
      </c>
      <c r="AO436" t="s">
        <v>46</v>
      </c>
      <c r="AP436" t="s">
        <v>63</v>
      </c>
      <c r="AQ436">
        <v>40</v>
      </c>
      <c r="AR436" t="s">
        <v>50</v>
      </c>
      <c r="AS436" t="s">
        <v>1629</v>
      </c>
      <c r="AT436" t="s">
        <v>63</v>
      </c>
      <c r="AU436" t="s">
        <v>46</v>
      </c>
      <c r="AV436">
        <v>1979</v>
      </c>
      <c r="AW436" t="s">
        <v>1556</v>
      </c>
    </row>
    <row r="437" spans="1:49" x14ac:dyDescent="0.2">
      <c r="A437">
        <v>436</v>
      </c>
      <c r="B437" t="s">
        <v>1540</v>
      </c>
      <c r="C437" t="s">
        <v>80</v>
      </c>
      <c r="D437">
        <v>97</v>
      </c>
      <c r="E437" t="s">
        <v>42</v>
      </c>
      <c r="F437">
        <f>D437-79</f>
        <v>18</v>
      </c>
      <c r="G437">
        <f>120-D437</f>
        <v>23</v>
      </c>
      <c r="H437" t="s">
        <v>69</v>
      </c>
      <c r="I437">
        <v>1</v>
      </c>
      <c r="J437">
        <v>10</v>
      </c>
      <c r="K437" t="s">
        <v>1541</v>
      </c>
      <c r="L437" t="s">
        <v>415</v>
      </c>
      <c r="M437">
        <v>2.4</v>
      </c>
      <c r="N437" t="s">
        <v>42</v>
      </c>
      <c r="O437">
        <f>M437-2</f>
        <v>0.39999999999999991</v>
      </c>
      <c r="P437">
        <f>2.9-M437</f>
        <v>0.5</v>
      </c>
      <c r="Q437" t="s">
        <v>69</v>
      </c>
      <c r="R437">
        <v>1</v>
      </c>
      <c r="S437">
        <v>10</v>
      </c>
      <c r="T437" t="s">
        <v>1541</v>
      </c>
      <c r="U437" t="s">
        <v>227</v>
      </c>
      <c r="V437" t="s">
        <v>1546</v>
      </c>
      <c r="W437" t="s">
        <v>1553</v>
      </c>
      <c r="X437" t="s">
        <v>366</v>
      </c>
      <c r="Y437" t="s">
        <v>367</v>
      </c>
      <c r="Z437" t="s">
        <v>492</v>
      </c>
      <c r="AA437" t="s">
        <v>36</v>
      </c>
      <c r="AB437" t="s">
        <v>37</v>
      </c>
      <c r="AC437" t="s">
        <v>38</v>
      </c>
      <c r="AD437" t="s">
        <v>39</v>
      </c>
      <c r="AE437" t="s">
        <v>75</v>
      </c>
      <c r="AF437">
        <v>24</v>
      </c>
      <c r="AG437" t="s">
        <v>40</v>
      </c>
      <c r="AH437" t="s">
        <v>50</v>
      </c>
      <c r="AI437" t="s">
        <v>46</v>
      </c>
      <c r="AJ437" t="s">
        <v>47</v>
      </c>
      <c r="AK437" t="s">
        <v>61</v>
      </c>
      <c r="AL437">
        <v>22</v>
      </c>
      <c r="AM437">
        <v>7.2</v>
      </c>
      <c r="AN437" t="s">
        <v>46</v>
      </c>
      <c r="AO437" t="s">
        <v>46</v>
      </c>
      <c r="AP437" t="s">
        <v>63</v>
      </c>
      <c r="AQ437">
        <v>40</v>
      </c>
      <c r="AR437" t="s">
        <v>50</v>
      </c>
      <c r="AS437" t="s">
        <v>1629</v>
      </c>
      <c r="AT437" t="s">
        <v>63</v>
      </c>
      <c r="AU437" t="s">
        <v>46</v>
      </c>
      <c r="AV437">
        <v>1979</v>
      </c>
      <c r="AW437" t="s">
        <v>1556</v>
      </c>
    </row>
    <row r="438" spans="1:49" x14ac:dyDescent="0.2">
      <c r="A438">
        <v>437</v>
      </c>
      <c r="B438" t="s">
        <v>1540</v>
      </c>
      <c r="C438" t="s">
        <v>80</v>
      </c>
      <c r="D438">
        <v>97</v>
      </c>
      <c r="E438" t="s">
        <v>42</v>
      </c>
      <c r="F438">
        <f>D438-79</f>
        <v>18</v>
      </c>
      <c r="G438">
        <f>120-D438</f>
        <v>23</v>
      </c>
      <c r="H438" t="s">
        <v>69</v>
      </c>
      <c r="I438">
        <v>1</v>
      </c>
      <c r="J438">
        <v>10</v>
      </c>
      <c r="K438" t="s">
        <v>1541</v>
      </c>
      <c r="L438" t="s">
        <v>415</v>
      </c>
      <c r="M438">
        <v>2.2999999999999998</v>
      </c>
      <c r="N438" t="s">
        <v>42</v>
      </c>
      <c r="O438">
        <f>M438-1.9</f>
        <v>0.39999999999999991</v>
      </c>
      <c r="P438">
        <f>2.8-M438</f>
        <v>0.5</v>
      </c>
      <c r="Q438" t="s">
        <v>69</v>
      </c>
      <c r="R438">
        <v>1</v>
      </c>
      <c r="S438">
        <v>10</v>
      </c>
      <c r="T438" t="s">
        <v>1541</v>
      </c>
      <c r="U438" t="s">
        <v>227</v>
      </c>
      <c r="V438" t="s">
        <v>1547</v>
      </c>
      <c r="W438" t="s">
        <v>1553</v>
      </c>
      <c r="X438" t="s">
        <v>366</v>
      </c>
      <c r="Y438" t="s">
        <v>367</v>
      </c>
      <c r="Z438" t="s">
        <v>492</v>
      </c>
      <c r="AA438" t="s">
        <v>36</v>
      </c>
      <c r="AB438" t="s">
        <v>37</v>
      </c>
      <c r="AC438" t="s">
        <v>38</v>
      </c>
      <c r="AD438" t="s">
        <v>39</v>
      </c>
      <c r="AE438" t="s">
        <v>75</v>
      </c>
      <c r="AF438">
        <v>96</v>
      </c>
      <c r="AG438" t="s">
        <v>40</v>
      </c>
      <c r="AH438" t="s">
        <v>50</v>
      </c>
      <c r="AI438" t="s">
        <v>46</v>
      </c>
      <c r="AJ438" t="s">
        <v>47</v>
      </c>
      <c r="AK438" t="s">
        <v>61</v>
      </c>
      <c r="AL438">
        <v>22</v>
      </c>
      <c r="AM438">
        <v>7.2</v>
      </c>
      <c r="AN438" t="s">
        <v>46</v>
      </c>
      <c r="AO438" t="s">
        <v>46</v>
      </c>
      <c r="AP438" t="s">
        <v>63</v>
      </c>
      <c r="AQ438">
        <v>40</v>
      </c>
      <c r="AR438" t="s">
        <v>50</v>
      </c>
      <c r="AS438" t="s">
        <v>1629</v>
      </c>
      <c r="AT438" t="s">
        <v>63</v>
      </c>
      <c r="AU438" t="s">
        <v>46</v>
      </c>
      <c r="AV438">
        <v>1979</v>
      </c>
      <c r="AW438" t="s">
        <v>1556</v>
      </c>
    </row>
    <row r="439" spans="1:49" x14ac:dyDescent="0.2">
      <c r="A439">
        <v>438</v>
      </c>
      <c r="B439" t="s">
        <v>1540</v>
      </c>
      <c r="C439" s="3" t="s">
        <v>80</v>
      </c>
      <c r="D439">
        <v>130</v>
      </c>
      <c r="E439" t="s">
        <v>42</v>
      </c>
      <c r="F439">
        <f>D439-110</f>
        <v>20</v>
      </c>
      <c r="G439">
        <f>160-D439</f>
        <v>30</v>
      </c>
      <c r="H439" t="s">
        <v>69</v>
      </c>
      <c r="I439">
        <v>1</v>
      </c>
      <c r="J439">
        <v>10</v>
      </c>
      <c r="K439" t="s">
        <v>1541</v>
      </c>
      <c r="L439" t="s">
        <v>415</v>
      </c>
      <c r="M439">
        <v>13</v>
      </c>
      <c r="N439" t="s">
        <v>42</v>
      </c>
      <c r="O439">
        <f>M439-11</f>
        <v>2</v>
      </c>
      <c r="P439">
        <f>16-M439</f>
        <v>3</v>
      </c>
      <c r="Q439" t="s">
        <v>69</v>
      </c>
      <c r="R439">
        <v>1</v>
      </c>
      <c r="S439">
        <v>10</v>
      </c>
      <c r="T439" t="s">
        <v>1541</v>
      </c>
      <c r="U439" t="s">
        <v>227</v>
      </c>
      <c r="V439" t="s">
        <v>1548</v>
      </c>
      <c r="W439" t="s">
        <v>1554</v>
      </c>
      <c r="X439" t="s">
        <v>350</v>
      </c>
      <c r="Y439" t="s">
        <v>351</v>
      </c>
      <c r="Z439" t="s">
        <v>492</v>
      </c>
      <c r="AA439" t="s">
        <v>36</v>
      </c>
      <c r="AB439" t="s">
        <v>37</v>
      </c>
      <c r="AC439" t="s">
        <v>38</v>
      </c>
      <c r="AD439" t="s">
        <v>39</v>
      </c>
      <c r="AE439" t="s">
        <v>75</v>
      </c>
      <c r="AF439">
        <v>24</v>
      </c>
      <c r="AG439" t="s">
        <v>40</v>
      </c>
      <c r="AH439" t="s">
        <v>50</v>
      </c>
      <c r="AI439" t="s">
        <v>46</v>
      </c>
      <c r="AJ439" t="s">
        <v>47</v>
      </c>
      <c r="AK439" t="s">
        <v>61</v>
      </c>
      <c r="AL439">
        <v>22</v>
      </c>
      <c r="AM439">
        <v>7.2</v>
      </c>
      <c r="AN439" t="s">
        <v>46</v>
      </c>
      <c r="AO439" t="s">
        <v>46</v>
      </c>
      <c r="AP439" t="s">
        <v>63</v>
      </c>
      <c r="AQ439">
        <v>40</v>
      </c>
      <c r="AR439" t="s">
        <v>50</v>
      </c>
      <c r="AS439" t="s">
        <v>1629</v>
      </c>
      <c r="AT439" t="s">
        <v>63</v>
      </c>
      <c r="AU439" t="s">
        <v>46</v>
      </c>
      <c r="AV439">
        <v>1979</v>
      </c>
      <c r="AW439" t="s">
        <v>1556</v>
      </c>
    </row>
    <row r="440" spans="1:49" x14ac:dyDescent="0.2">
      <c r="A440">
        <v>439</v>
      </c>
      <c r="B440" t="s">
        <v>1540</v>
      </c>
      <c r="C440" s="3" t="s">
        <v>80</v>
      </c>
      <c r="D440">
        <v>130</v>
      </c>
      <c r="E440" t="s">
        <v>42</v>
      </c>
      <c r="F440">
        <f>D440-110</f>
        <v>20</v>
      </c>
      <c r="G440">
        <f>160-D440</f>
        <v>30</v>
      </c>
      <c r="H440" t="s">
        <v>69</v>
      </c>
      <c r="I440">
        <v>1</v>
      </c>
      <c r="J440">
        <v>10</v>
      </c>
      <c r="K440" t="s">
        <v>1541</v>
      </c>
      <c r="L440" t="s">
        <v>415</v>
      </c>
      <c r="M440">
        <v>13</v>
      </c>
      <c r="N440" t="s">
        <v>42</v>
      </c>
      <c r="O440">
        <f>M440-11</f>
        <v>2</v>
      </c>
      <c r="P440">
        <f>16-M440</f>
        <v>3</v>
      </c>
      <c r="Q440" t="s">
        <v>69</v>
      </c>
      <c r="R440">
        <v>1</v>
      </c>
      <c r="S440">
        <v>10</v>
      </c>
      <c r="T440" t="s">
        <v>1541</v>
      </c>
      <c r="U440" t="s">
        <v>227</v>
      </c>
      <c r="V440" t="s">
        <v>1549</v>
      </c>
      <c r="W440" t="s">
        <v>1554</v>
      </c>
      <c r="X440" t="s">
        <v>350</v>
      </c>
      <c r="Y440" t="s">
        <v>351</v>
      </c>
      <c r="Z440" t="s">
        <v>492</v>
      </c>
      <c r="AA440" t="s">
        <v>36</v>
      </c>
      <c r="AB440" t="s">
        <v>37</v>
      </c>
      <c r="AC440" t="s">
        <v>38</v>
      </c>
      <c r="AD440" t="s">
        <v>39</v>
      </c>
      <c r="AE440" t="s">
        <v>75</v>
      </c>
      <c r="AF440">
        <v>96</v>
      </c>
      <c r="AG440" t="s">
        <v>40</v>
      </c>
      <c r="AH440" t="s">
        <v>50</v>
      </c>
      <c r="AI440" t="s">
        <v>46</v>
      </c>
      <c r="AJ440" t="s">
        <v>47</v>
      </c>
      <c r="AK440" t="s">
        <v>61</v>
      </c>
      <c r="AL440">
        <v>22</v>
      </c>
      <c r="AM440">
        <v>7.2</v>
      </c>
      <c r="AN440" t="s">
        <v>46</v>
      </c>
      <c r="AO440" t="s">
        <v>46</v>
      </c>
      <c r="AP440" t="s">
        <v>63</v>
      </c>
      <c r="AQ440">
        <v>40</v>
      </c>
      <c r="AR440" t="s">
        <v>50</v>
      </c>
      <c r="AS440" t="s">
        <v>1629</v>
      </c>
      <c r="AT440" t="s">
        <v>63</v>
      </c>
      <c r="AU440" t="s">
        <v>46</v>
      </c>
      <c r="AV440">
        <v>1979</v>
      </c>
      <c r="AW440" t="s">
        <v>1556</v>
      </c>
    </row>
    <row r="441" spans="1:49" x14ac:dyDescent="0.2">
      <c r="A441">
        <v>440</v>
      </c>
      <c r="B441" t="s">
        <v>1540</v>
      </c>
      <c r="C441" s="3" t="s">
        <v>80</v>
      </c>
      <c r="D441">
        <v>150</v>
      </c>
      <c r="E441" t="s">
        <v>42</v>
      </c>
      <c r="F441">
        <f>D441-120</f>
        <v>30</v>
      </c>
      <c r="G441">
        <f>190-D441</f>
        <v>40</v>
      </c>
      <c r="H441" t="s">
        <v>69</v>
      </c>
      <c r="I441">
        <v>1</v>
      </c>
      <c r="J441">
        <v>10</v>
      </c>
      <c r="K441" t="s">
        <v>1541</v>
      </c>
      <c r="L441" t="s">
        <v>415</v>
      </c>
      <c r="M441">
        <v>6.4</v>
      </c>
      <c r="N441" t="s">
        <v>42</v>
      </c>
      <c r="O441">
        <f>M441-4.8</f>
        <v>1.6000000000000005</v>
      </c>
      <c r="P441">
        <f>8.6-M441</f>
        <v>2.1999999999999993</v>
      </c>
      <c r="Q441" t="s">
        <v>69</v>
      </c>
      <c r="R441">
        <v>1</v>
      </c>
      <c r="S441">
        <v>10</v>
      </c>
      <c r="T441" t="s">
        <v>1541</v>
      </c>
      <c r="U441" t="s">
        <v>227</v>
      </c>
      <c r="V441" t="s">
        <v>1550</v>
      </c>
      <c r="W441" t="s">
        <v>1555</v>
      </c>
      <c r="X441" t="s">
        <v>336</v>
      </c>
      <c r="Y441" t="s">
        <v>337</v>
      </c>
      <c r="Z441" t="s">
        <v>492</v>
      </c>
      <c r="AA441" t="s">
        <v>36</v>
      </c>
      <c r="AB441" t="s">
        <v>37</v>
      </c>
      <c r="AC441" t="s">
        <v>38</v>
      </c>
      <c r="AD441" t="s">
        <v>39</v>
      </c>
      <c r="AE441" t="s">
        <v>75</v>
      </c>
      <c r="AF441">
        <v>24</v>
      </c>
      <c r="AG441" s="3" t="s">
        <v>40</v>
      </c>
      <c r="AH441" t="s">
        <v>50</v>
      </c>
      <c r="AI441" t="s">
        <v>46</v>
      </c>
      <c r="AJ441" t="s">
        <v>47</v>
      </c>
      <c r="AK441" t="s">
        <v>61</v>
      </c>
      <c r="AL441">
        <v>22</v>
      </c>
      <c r="AM441">
        <v>7.2</v>
      </c>
      <c r="AN441" t="s">
        <v>46</v>
      </c>
      <c r="AO441" t="s">
        <v>46</v>
      </c>
      <c r="AP441" t="s">
        <v>63</v>
      </c>
      <c r="AQ441">
        <v>40</v>
      </c>
      <c r="AR441" t="s">
        <v>50</v>
      </c>
      <c r="AS441" t="s">
        <v>1629</v>
      </c>
      <c r="AT441" t="s">
        <v>63</v>
      </c>
      <c r="AU441" t="s">
        <v>46</v>
      </c>
      <c r="AV441">
        <v>1979</v>
      </c>
      <c r="AW441" t="s">
        <v>1556</v>
      </c>
    </row>
    <row r="442" spans="1:49" x14ac:dyDescent="0.2">
      <c r="A442">
        <v>441</v>
      </c>
      <c r="B442" t="s">
        <v>1540</v>
      </c>
      <c r="C442" s="3" t="s">
        <v>80</v>
      </c>
      <c r="D442">
        <v>140</v>
      </c>
      <c r="E442" t="s">
        <v>42</v>
      </c>
      <c r="F442">
        <f>D442-110</f>
        <v>30</v>
      </c>
      <c r="G442">
        <f>160-D442</f>
        <v>20</v>
      </c>
      <c r="H442" t="s">
        <v>69</v>
      </c>
      <c r="I442">
        <v>1</v>
      </c>
      <c r="J442">
        <v>10</v>
      </c>
      <c r="K442" t="s">
        <v>1541</v>
      </c>
      <c r="L442" t="s">
        <v>415</v>
      </c>
      <c r="M442">
        <v>5</v>
      </c>
      <c r="N442" t="s">
        <v>42</v>
      </c>
      <c r="O442">
        <f>M442-3.8</f>
        <v>1.2000000000000002</v>
      </c>
      <c r="P442">
        <f>6.6-M442</f>
        <v>1.5999999999999996</v>
      </c>
      <c r="Q442" t="s">
        <v>69</v>
      </c>
      <c r="R442">
        <v>1</v>
      </c>
      <c r="S442">
        <v>10</v>
      </c>
      <c r="T442" t="s">
        <v>1541</v>
      </c>
      <c r="U442" t="s">
        <v>227</v>
      </c>
      <c r="V442" t="s">
        <v>1551</v>
      </c>
      <c r="W442" t="s">
        <v>1555</v>
      </c>
      <c r="X442" t="s">
        <v>336</v>
      </c>
      <c r="Y442" t="s">
        <v>337</v>
      </c>
      <c r="Z442" t="s">
        <v>492</v>
      </c>
      <c r="AA442" t="s">
        <v>36</v>
      </c>
      <c r="AB442" t="s">
        <v>37</v>
      </c>
      <c r="AC442" t="s">
        <v>38</v>
      </c>
      <c r="AD442" t="s">
        <v>39</v>
      </c>
      <c r="AE442" t="s">
        <v>75</v>
      </c>
      <c r="AF442">
        <v>96</v>
      </c>
      <c r="AG442" s="3" t="s">
        <v>40</v>
      </c>
      <c r="AH442" t="s">
        <v>50</v>
      </c>
      <c r="AI442" t="s">
        <v>46</v>
      </c>
      <c r="AJ442" t="s">
        <v>47</v>
      </c>
      <c r="AK442" t="s">
        <v>61</v>
      </c>
      <c r="AL442">
        <v>22</v>
      </c>
      <c r="AM442">
        <v>7.2</v>
      </c>
      <c r="AN442" t="s">
        <v>46</v>
      </c>
      <c r="AO442" t="s">
        <v>46</v>
      </c>
      <c r="AP442" t="s">
        <v>63</v>
      </c>
      <c r="AQ442">
        <v>40</v>
      </c>
      <c r="AR442" t="s">
        <v>50</v>
      </c>
      <c r="AS442" t="s">
        <v>1629</v>
      </c>
      <c r="AT442" t="s">
        <v>63</v>
      </c>
      <c r="AU442" t="s">
        <v>46</v>
      </c>
      <c r="AV442">
        <v>1979</v>
      </c>
      <c r="AW442" t="s">
        <v>1556</v>
      </c>
    </row>
    <row r="443" spans="1:49" x14ac:dyDescent="0.2">
      <c r="A443">
        <v>442</v>
      </c>
      <c r="B443" t="s">
        <v>1540</v>
      </c>
      <c r="C443" t="s">
        <v>80</v>
      </c>
      <c r="D443">
        <v>240</v>
      </c>
      <c r="E443" t="s">
        <v>42</v>
      </c>
      <c r="F443">
        <f>D443-200</f>
        <v>40</v>
      </c>
      <c r="G443">
        <f>290-D443</f>
        <v>50</v>
      </c>
      <c r="H443" t="s">
        <v>69</v>
      </c>
      <c r="I443">
        <v>1</v>
      </c>
      <c r="J443">
        <v>10</v>
      </c>
      <c r="K443" t="s">
        <v>1541</v>
      </c>
      <c r="L443" t="s">
        <v>415</v>
      </c>
      <c r="M443">
        <v>14</v>
      </c>
      <c r="N443" t="s">
        <v>42</v>
      </c>
      <c r="O443">
        <f>M443-12</f>
        <v>2</v>
      </c>
      <c r="P443">
        <f>17-M443</f>
        <v>3</v>
      </c>
      <c r="Q443" t="s">
        <v>69</v>
      </c>
      <c r="R443">
        <v>1</v>
      </c>
      <c r="S443">
        <v>10</v>
      </c>
      <c r="T443" t="s">
        <v>1541</v>
      </c>
      <c r="U443" t="s">
        <v>227</v>
      </c>
      <c r="V443" t="s">
        <v>1561</v>
      </c>
      <c r="W443" t="s">
        <v>1569</v>
      </c>
      <c r="X443" t="s">
        <v>316</v>
      </c>
      <c r="Y443" t="s">
        <v>315</v>
      </c>
      <c r="Z443" t="s">
        <v>492</v>
      </c>
      <c r="AA443" t="s">
        <v>36</v>
      </c>
      <c r="AB443" t="s">
        <v>37</v>
      </c>
      <c r="AC443" t="s">
        <v>38</v>
      </c>
      <c r="AD443" t="s">
        <v>39</v>
      </c>
      <c r="AE443" t="s">
        <v>75</v>
      </c>
      <c r="AF443">
        <v>24</v>
      </c>
      <c r="AG443" t="s">
        <v>40</v>
      </c>
      <c r="AH443" t="s">
        <v>50</v>
      </c>
      <c r="AI443" t="s">
        <v>46</v>
      </c>
      <c r="AJ443" t="s">
        <v>47</v>
      </c>
      <c r="AK443" t="s">
        <v>61</v>
      </c>
      <c r="AL443">
        <v>12</v>
      </c>
      <c r="AM443">
        <v>6.5</v>
      </c>
      <c r="AN443" t="s">
        <v>46</v>
      </c>
      <c r="AO443" t="s">
        <v>46</v>
      </c>
      <c r="AP443" t="s">
        <v>63</v>
      </c>
      <c r="AQ443">
        <v>40</v>
      </c>
      <c r="AR443" t="s">
        <v>50</v>
      </c>
      <c r="AS443" t="s">
        <v>1629</v>
      </c>
      <c r="AT443" t="s">
        <v>63</v>
      </c>
      <c r="AU443" t="s">
        <v>46</v>
      </c>
      <c r="AV443">
        <v>1979</v>
      </c>
      <c r="AW443" t="s">
        <v>1556</v>
      </c>
    </row>
    <row r="444" spans="1:49" x14ac:dyDescent="0.2">
      <c r="A444">
        <v>443</v>
      </c>
      <c r="B444" t="s">
        <v>1540</v>
      </c>
      <c r="C444" t="s">
        <v>80</v>
      </c>
      <c r="D444">
        <v>140</v>
      </c>
      <c r="E444" t="s">
        <v>42</v>
      </c>
      <c r="F444">
        <f>D444-120</f>
        <v>20</v>
      </c>
      <c r="G444">
        <f>170-D444</f>
        <v>30</v>
      </c>
      <c r="H444" t="s">
        <v>69</v>
      </c>
      <c r="I444">
        <v>1</v>
      </c>
      <c r="J444">
        <v>10</v>
      </c>
      <c r="K444" t="s">
        <v>1541</v>
      </c>
      <c r="L444" t="s">
        <v>415</v>
      </c>
      <c r="M444">
        <v>7.6</v>
      </c>
      <c r="N444" t="s">
        <v>42</v>
      </c>
      <c r="O444">
        <f>M444-6.4</f>
        <v>1.1999999999999993</v>
      </c>
      <c r="P444">
        <f>9.1-M444</f>
        <v>1.5</v>
      </c>
      <c r="Q444" t="s">
        <v>69</v>
      </c>
      <c r="R444">
        <v>1</v>
      </c>
      <c r="S444">
        <v>10</v>
      </c>
      <c r="T444" t="s">
        <v>1541</v>
      </c>
      <c r="U444" t="s">
        <v>227</v>
      </c>
      <c r="V444" t="s">
        <v>1562</v>
      </c>
      <c r="W444" t="s">
        <v>1569</v>
      </c>
      <c r="X444" t="s">
        <v>316</v>
      </c>
      <c r="Y444" t="s">
        <v>315</v>
      </c>
      <c r="Z444" t="s">
        <v>492</v>
      </c>
      <c r="AA444" t="s">
        <v>36</v>
      </c>
      <c r="AB444" t="s">
        <v>37</v>
      </c>
      <c r="AC444" t="s">
        <v>38</v>
      </c>
      <c r="AD444" t="s">
        <v>39</v>
      </c>
      <c r="AE444" t="s">
        <v>75</v>
      </c>
      <c r="AF444">
        <v>96</v>
      </c>
      <c r="AG444" t="s">
        <v>40</v>
      </c>
      <c r="AH444" t="s">
        <v>50</v>
      </c>
      <c r="AI444" t="s">
        <v>46</v>
      </c>
      <c r="AJ444" t="s">
        <v>47</v>
      </c>
      <c r="AK444" t="s">
        <v>61</v>
      </c>
      <c r="AL444">
        <v>12</v>
      </c>
      <c r="AM444">
        <v>6.5</v>
      </c>
      <c r="AN444" t="s">
        <v>46</v>
      </c>
      <c r="AO444" t="s">
        <v>46</v>
      </c>
      <c r="AP444" t="s">
        <v>63</v>
      </c>
      <c r="AQ444">
        <v>40</v>
      </c>
      <c r="AR444" t="s">
        <v>50</v>
      </c>
      <c r="AS444" t="s">
        <v>1629</v>
      </c>
      <c r="AT444" t="s">
        <v>63</v>
      </c>
      <c r="AU444" t="s">
        <v>46</v>
      </c>
      <c r="AV444">
        <v>1979</v>
      </c>
      <c r="AW444" t="s">
        <v>1556</v>
      </c>
    </row>
    <row r="445" spans="1:49" x14ac:dyDescent="0.2">
      <c r="A445">
        <v>444</v>
      </c>
      <c r="B445" t="s">
        <v>1540</v>
      </c>
      <c r="C445" t="s">
        <v>80</v>
      </c>
      <c r="D445">
        <v>240</v>
      </c>
      <c r="E445" t="s">
        <v>42</v>
      </c>
      <c r="F445">
        <f>D445-200</f>
        <v>40</v>
      </c>
      <c r="G445">
        <f>290-D445</f>
        <v>50</v>
      </c>
      <c r="H445" t="s">
        <v>69</v>
      </c>
      <c r="I445">
        <v>1</v>
      </c>
      <c r="J445">
        <v>10</v>
      </c>
      <c r="K445" t="s">
        <v>1541</v>
      </c>
      <c r="L445" t="s">
        <v>415</v>
      </c>
      <c r="M445">
        <v>2.4</v>
      </c>
      <c r="N445" t="s">
        <v>42</v>
      </c>
      <c r="O445">
        <f>M445-2</f>
        <v>0.39999999999999991</v>
      </c>
      <c r="P445">
        <f>2.9-M445</f>
        <v>0.5</v>
      </c>
      <c r="Q445" t="s">
        <v>69</v>
      </c>
      <c r="R445">
        <v>1</v>
      </c>
      <c r="S445">
        <v>10</v>
      </c>
      <c r="T445" t="s">
        <v>1541</v>
      </c>
      <c r="U445" t="s">
        <v>227</v>
      </c>
      <c r="V445" t="s">
        <v>1563</v>
      </c>
      <c r="W445" t="s">
        <v>1570</v>
      </c>
      <c r="X445" t="s">
        <v>316</v>
      </c>
      <c r="Y445" t="s">
        <v>315</v>
      </c>
      <c r="Z445" t="s">
        <v>492</v>
      </c>
      <c r="AA445" t="s">
        <v>36</v>
      </c>
      <c r="AB445" t="s">
        <v>37</v>
      </c>
      <c r="AC445" t="s">
        <v>38</v>
      </c>
      <c r="AD445" t="s">
        <v>39</v>
      </c>
      <c r="AE445" t="s">
        <v>75</v>
      </c>
      <c r="AF445">
        <v>24</v>
      </c>
      <c r="AG445" t="s">
        <v>40</v>
      </c>
      <c r="AH445" t="s">
        <v>50</v>
      </c>
      <c r="AI445" t="s">
        <v>46</v>
      </c>
      <c r="AJ445" t="s">
        <v>47</v>
      </c>
      <c r="AK445" t="s">
        <v>61</v>
      </c>
      <c r="AL445">
        <v>12</v>
      </c>
      <c r="AM445">
        <v>9.5</v>
      </c>
      <c r="AN445" t="s">
        <v>46</v>
      </c>
      <c r="AO445" t="s">
        <v>46</v>
      </c>
      <c r="AP445" t="s">
        <v>63</v>
      </c>
      <c r="AQ445">
        <v>40</v>
      </c>
      <c r="AR445" t="s">
        <v>50</v>
      </c>
      <c r="AS445" t="s">
        <v>1629</v>
      </c>
      <c r="AT445" t="s">
        <v>63</v>
      </c>
      <c r="AU445" t="s">
        <v>46</v>
      </c>
      <c r="AV445">
        <v>1979</v>
      </c>
      <c r="AW445" t="s">
        <v>1556</v>
      </c>
    </row>
    <row r="446" spans="1:49" x14ac:dyDescent="0.2">
      <c r="A446">
        <v>445</v>
      </c>
      <c r="B446" t="s">
        <v>1540</v>
      </c>
      <c r="C446" t="s">
        <v>80</v>
      </c>
      <c r="D446">
        <v>240</v>
      </c>
      <c r="E446" t="s">
        <v>42</v>
      </c>
      <c r="F446">
        <f>D446-200</f>
        <v>40</v>
      </c>
      <c r="G446">
        <f>290-D446</f>
        <v>50</v>
      </c>
      <c r="H446" t="s">
        <v>69</v>
      </c>
      <c r="I446">
        <v>1</v>
      </c>
      <c r="J446">
        <v>10</v>
      </c>
      <c r="K446" t="s">
        <v>1541</v>
      </c>
      <c r="L446" t="s">
        <v>415</v>
      </c>
      <c r="M446">
        <v>1.4</v>
      </c>
      <c r="N446" t="s">
        <v>42</v>
      </c>
      <c r="O446">
        <f>M446-1.2</f>
        <v>0.19999999999999996</v>
      </c>
      <c r="P446">
        <f>1.7-M446</f>
        <v>0.30000000000000004</v>
      </c>
      <c r="Q446" t="s">
        <v>69</v>
      </c>
      <c r="R446">
        <v>1</v>
      </c>
      <c r="S446">
        <v>10</v>
      </c>
      <c r="T446" t="s">
        <v>1541</v>
      </c>
      <c r="U446" t="s">
        <v>227</v>
      </c>
      <c r="V446" t="s">
        <v>1564</v>
      </c>
      <c r="W446" t="s">
        <v>1570</v>
      </c>
      <c r="X446" t="s">
        <v>316</v>
      </c>
      <c r="Y446" t="s">
        <v>315</v>
      </c>
      <c r="Z446" t="s">
        <v>492</v>
      </c>
      <c r="AA446" t="s">
        <v>36</v>
      </c>
      <c r="AB446" t="s">
        <v>37</v>
      </c>
      <c r="AC446" t="s">
        <v>38</v>
      </c>
      <c r="AD446" t="s">
        <v>39</v>
      </c>
      <c r="AE446" t="s">
        <v>75</v>
      </c>
      <c r="AF446">
        <v>96</v>
      </c>
      <c r="AG446" t="s">
        <v>40</v>
      </c>
      <c r="AH446" t="s">
        <v>50</v>
      </c>
      <c r="AI446" t="s">
        <v>46</v>
      </c>
      <c r="AJ446" t="s">
        <v>47</v>
      </c>
      <c r="AK446" t="s">
        <v>61</v>
      </c>
      <c r="AL446">
        <v>12</v>
      </c>
      <c r="AM446">
        <v>9.5</v>
      </c>
      <c r="AN446" t="s">
        <v>46</v>
      </c>
      <c r="AO446" t="s">
        <v>46</v>
      </c>
      <c r="AP446" t="s">
        <v>63</v>
      </c>
      <c r="AQ446">
        <v>40</v>
      </c>
      <c r="AR446" t="s">
        <v>50</v>
      </c>
      <c r="AS446" t="s">
        <v>1629</v>
      </c>
      <c r="AT446" t="s">
        <v>63</v>
      </c>
      <c r="AU446" t="s">
        <v>46</v>
      </c>
      <c r="AV446">
        <v>1979</v>
      </c>
      <c r="AW446" t="s">
        <v>1556</v>
      </c>
    </row>
    <row r="447" spans="1:49" x14ac:dyDescent="0.2">
      <c r="A447">
        <v>446</v>
      </c>
      <c r="B447" t="s">
        <v>1540</v>
      </c>
      <c r="C447" t="s">
        <v>80</v>
      </c>
      <c r="D447">
        <v>240</v>
      </c>
      <c r="E447" t="s">
        <v>42</v>
      </c>
      <c r="F447">
        <f>D447-200</f>
        <v>40</v>
      </c>
      <c r="G447">
        <f>290-D447</f>
        <v>50</v>
      </c>
      <c r="H447" t="s">
        <v>69</v>
      </c>
      <c r="I447">
        <v>1</v>
      </c>
      <c r="J447">
        <v>10</v>
      </c>
      <c r="K447" t="s">
        <v>1541</v>
      </c>
      <c r="L447" t="s">
        <v>415</v>
      </c>
      <c r="M447">
        <v>7.6</v>
      </c>
      <c r="N447" t="s">
        <v>42</v>
      </c>
      <c r="O447">
        <f>M447-6.4</f>
        <v>1.1999999999999993</v>
      </c>
      <c r="P447">
        <f>9.1-M447</f>
        <v>1.5</v>
      </c>
      <c r="Q447" t="s">
        <v>69</v>
      </c>
      <c r="R447">
        <v>1</v>
      </c>
      <c r="S447">
        <v>10</v>
      </c>
      <c r="T447" t="s">
        <v>1541</v>
      </c>
      <c r="U447" t="s">
        <v>227</v>
      </c>
      <c r="V447" t="s">
        <v>1565</v>
      </c>
      <c r="W447" t="s">
        <v>1571</v>
      </c>
      <c r="X447" t="s">
        <v>336</v>
      </c>
      <c r="Y447" t="s">
        <v>337</v>
      </c>
      <c r="Z447" t="s">
        <v>492</v>
      </c>
      <c r="AA447" t="s">
        <v>36</v>
      </c>
      <c r="AB447" t="s">
        <v>37</v>
      </c>
      <c r="AC447" t="s">
        <v>38</v>
      </c>
      <c r="AD447" t="s">
        <v>39</v>
      </c>
      <c r="AE447" t="s">
        <v>75</v>
      </c>
      <c r="AF447">
        <v>24</v>
      </c>
      <c r="AG447" t="s">
        <v>40</v>
      </c>
      <c r="AH447" t="s">
        <v>50</v>
      </c>
      <c r="AI447" t="s">
        <v>46</v>
      </c>
      <c r="AJ447" t="s">
        <v>47</v>
      </c>
      <c r="AK447" t="s">
        <v>61</v>
      </c>
      <c r="AL447">
        <v>22</v>
      </c>
      <c r="AM447">
        <v>6.5</v>
      </c>
      <c r="AN447" t="s">
        <v>46</v>
      </c>
      <c r="AO447" t="s">
        <v>46</v>
      </c>
      <c r="AP447" t="s">
        <v>63</v>
      </c>
      <c r="AQ447">
        <v>40</v>
      </c>
      <c r="AR447" t="s">
        <v>50</v>
      </c>
      <c r="AS447" t="s">
        <v>1629</v>
      </c>
      <c r="AT447" t="s">
        <v>63</v>
      </c>
      <c r="AU447" t="s">
        <v>46</v>
      </c>
      <c r="AV447">
        <v>1979</v>
      </c>
      <c r="AW447" t="s">
        <v>1556</v>
      </c>
    </row>
    <row r="448" spans="1:49" x14ac:dyDescent="0.2">
      <c r="A448">
        <v>447</v>
      </c>
      <c r="B448" t="s">
        <v>1540</v>
      </c>
      <c r="C448" t="s">
        <v>80</v>
      </c>
      <c r="D448">
        <v>140</v>
      </c>
      <c r="E448" t="s">
        <v>42</v>
      </c>
      <c r="F448">
        <f>D448-120</f>
        <v>20</v>
      </c>
      <c r="G448">
        <f>170-D448</f>
        <v>30</v>
      </c>
      <c r="H448" t="s">
        <v>69</v>
      </c>
      <c r="I448">
        <v>1</v>
      </c>
      <c r="J448">
        <v>10</v>
      </c>
      <c r="K448" t="s">
        <v>1541</v>
      </c>
      <c r="L448" t="s">
        <v>415</v>
      </c>
      <c r="M448">
        <v>4.2</v>
      </c>
      <c r="N448" t="s">
        <v>42</v>
      </c>
      <c r="O448">
        <f>M448-3.5</f>
        <v>0.70000000000000018</v>
      </c>
      <c r="P448">
        <f>5-M448</f>
        <v>0.79999999999999982</v>
      </c>
      <c r="Q448" t="s">
        <v>69</v>
      </c>
      <c r="R448">
        <v>1</v>
      </c>
      <c r="S448">
        <v>10</v>
      </c>
      <c r="T448" t="s">
        <v>1541</v>
      </c>
      <c r="U448" t="s">
        <v>227</v>
      </c>
      <c r="V448" t="s">
        <v>1566</v>
      </c>
      <c r="W448" t="s">
        <v>1571</v>
      </c>
      <c r="X448" t="s">
        <v>336</v>
      </c>
      <c r="Y448" t="s">
        <v>337</v>
      </c>
      <c r="Z448" t="s">
        <v>492</v>
      </c>
      <c r="AA448" t="s">
        <v>36</v>
      </c>
      <c r="AB448" t="s">
        <v>37</v>
      </c>
      <c r="AC448" t="s">
        <v>38</v>
      </c>
      <c r="AD448" t="s">
        <v>39</v>
      </c>
      <c r="AE448" t="s">
        <v>75</v>
      </c>
      <c r="AF448">
        <v>96</v>
      </c>
      <c r="AG448" t="s">
        <v>40</v>
      </c>
      <c r="AH448" t="s">
        <v>50</v>
      </c>
      <c r="AI448" t="s">
        <v>46</v>
      </c>
      <c r="AJ448" t="s">
        <v>47</v>
      </c>
      <c r="AK448" t="s">
        <v>61</v>
      </c>
      <c r="AL448">
        <v>22</v>
      </c>
      <c r="AM448">
        <v>6.5</v>
      </c>
      <c r="AN448" t="s">
        <v>46</v>
      </c>
      <c r="AO448" t="s">
        <v>46</v>
      </c>
      <c r="AP448" t="s">
        <v>63</v>
      </c>
      <c r="AQ448">
        <v>40</v>
      </c>
      <c r="AR448" t="s">
        <v>50</v>
      </c>
      <c r="AS448" t="s">
        <v>1629</v>
      </c>
      <c r="AT448" t="s">
        <v>63</v>
      </c>
      <c r="AU448" t="s">
        <v>46</v>
      </c>
      <c r="AV448">
        <v>1979</v>
      </c>
      <c r="AW448" t="s">
        <v>1556</v>
      </c>
    </row>
    <row r="449" spans="1:49" x14ac:dyDescent="0.2">
      <c r="A449">
        <v>448</v>
      </c>
      <c r="B449" t="s">
        <v>1540</v>
      </c>
      <c r="C449" t="s">
        <v>80</v>
      </c>
      <c r="D449">
        <v>230</v>
      </c>
      <c r="E449" t="s">
        <v>42</v>
      </c>
      <c r="F449">
        <f>D449-190</f>
        <v>40</v>
      </c>
      <c r="G449">
        <f>280-D449</f>
        <v>50</v>
      </c>
      <c r="H449" t="s">
        <v>69</v>
      </c>
      <c r="I449">
        <v>1</v>
      </c>
      <c r="J449">
        <v>10</v>
      </c>
      <c r="K449" t="s">
        <v>1541</v>
      </c>
      <c r="L449" t="s">
        <v>415</v>
      </c>
      <c r="M449">
        <v>2.4</v>
      </c>
      <c r="N449" t="s">
        <v>42</v>
      </c>
      <c r="O449">
        <f>M449-2</f>
        <v>0.39999999999999991</v>
      </c>
      <c r="P449">
        <f>2.9-M449</f>
        <v>0.5</v>
      </c>
      <c r="Q449" t="s">
        <v>69</v>
      </c>
      <c r="R449">
        <v>1</v>
      </c>
      <c r="S449">
        <v>10</v>
      </c>
      <c r="T449" t="s">
        <v>1541</v>
      </c>
      <c r="U449" t="s">
        <v>227</v>
      </c>
      <c r="V449" t="s">
        <v>1567</v>
      </c>
      <c r="W449" t="s">
        <v>1572</v>
      </c>
      <c r="X449" t="s">
        <v>336</v>
      </c>
      <c r="Y449" t="s">
        <v>337</v>
      </c>
      <c r="Z449" t="s">
        <v>492</v>
      </c>
      <c r="AA449" t="s">
        <v>36</v>
      </c>
      <c r="AB449" t="s">
        <v>37</v>
      </c>
      <c r="AC449" t="s">
        <v>38</v>
      </c>
      <c r="AD449" t="s">
        <v>39</v>
      </c>
      <c r="AE449" t="s">
        <v>75</v>
      </c>
      <c r="AF449">
        <v>24</v>
      </c>
      <c r="AG449" t="s">
        <v>40</v>
      </c>
      <c r="AH449" t="s">
        <v>50</v>
      </c>
      <c r="AI449" t="s">
        <v>46</v>
      </c>
      <c r="AJ449" t="s">
        <v>47</v>
      </c>
      <c r="AK449" t="s">
        <v>61</v>
      </c>
      <c r="AL449">
        <v>22</v>
      </c>
      <c r="AM449">
        <v>9.5</v>
      </c>
      <c r="AN449" t="s">
        <v>46</v>
      </c>
      <c r="AO449" t="s">
        <v>46</v>
      </c>
      <c r="AP449" t="s">
        <v>63</v>
      </c>
      <c r="AQ449">
        <v>40</v>
      </c>
      <c r="AR449" t="s">
        <v>50</v>
      </c>
      <c r="AS449" t="s">
        <v>1629</v>
      </c>
      <c r="AT449" t="s">
        <v>63</v>
      </c>
      <c r="AU449" t="s">
        <v>46</v>
      </c>
      <c r="AV449">
        <v>1979</v>
      </c>
      <c r="AW449" t="s">
        <v>1556</v>
      </c>
    </row>
    <row r="450" spans="1:49" x14ac:dyDescent="0.2">
      <c r="A450">
        <v>449</v>
      </c>
      <c r="B450" t="s">
        <v>1540</v>
      </c>
      <c r="C450" t="s">
        <v>80</v>
      </c>
      <c r="D450">
        <v>220</v>
      </c>
      <c r="E450" t="s">
        <v>42</v>
      </c>
      <c r="F450">
        <f>D450-170</f>
        <v>50</v>
      </c>
      <c r="G450">
        <f>280-D450</f>
        <v>60</v>
      </c>
      <c r="H450" t="s">
        <v>69</v>
      </c>
      <c r="I450">
        <v>1</v>
      </c>
      <c r="J450">
        <v>10</v>
      </c>
      <c r="K450" t="s">
        <v>1541</v>
      </c>
      <c r="L450" t="s">
        <v>415</v>
      </c>
      <c r="M450">
        <v>1.8</v>
      </c>
      <c r="N450" t="s">
        <v>42</v>
      </c>
      <c r="O450">
        <f>M450-1.3</f>
        <v>0.5</v>
      </c>
      <c r="P450">
        <f>2.5-M450</f>
        <v>0.7</v>
      </c>
      <c r="Q450" t="s">
        <v>69</v>
      </c>
      <c r="R450">
        <v>1</v>
      </c>
      <c r="S450">
        <v>10</v>
      </c>
      <c r="T450" t="s">
        <v>1541</v>
      </c>
      <c r="U450" t="s">
        <v>227</v>
      </c>
      <c r="V450" t="s">
        <v>1568</v>
      </c>
      <c r="W450" t="s">
        <v>1572</v>
      </c>
      <c r="X450" t="s">
        <v>336</v>
      </c>
      <c r="Y450" t="s">
        <v>337</v>
      </c>
      <c r="Z450" t="s">
        <v>492</v>
      </c>
      <c r="AA450" t="s">
        <v>36</v>
      </c>
      <c r="AB450" t="s">
        <v>37</v>
      </c>
      <c r="AC450" t="s">
        <v>38</v>
      </c>
      <c r="AD450" t="s">
        <v>39</v>
      </c>
      <c r="AE450" t="s">
        <v>75</v>
      </c>
      <c r="AF450">
        <v>96</v>
      </c>
      <c r="AG450" t="s">
        <v>40</v>
      </c>
      <c r="AH450" t="s">
        <v>50</v>
      </c>
      <c r="AI450" t="s">
        <v>46</v>
      </c>
      <c r="AJ450" t="s">
        <v>47</v>
      </c>
      <c r="AK450" t="s">
        <v>61</v>
      </c>
      <c r="AL450">
        <v>22</v>
      </c>
      <c r="AM450">
        <v>9.5</v>
      </c>
      <c r="AN450" t="s">
        <v>46</v>
      </c>
      <c r="AO450" t="s">
        <v>46</v>
      </c>
      <c r="AP450" t="s">
        <v>63</v>
      </c>
      <c r="AQ450">
        <v>40</v>
      </c>
      <c r="AR450" t="s">
        <v>50</v>
      </c>
      <c r="AS450" t="s">
        <v>1629</v>
      </c>
      <c r="AT450" t="s">
        <v>63</v>
      </c>
      <c r="AU450" t="s">
        <v>46</v>
      </c>
      <c r="AV450">
        <v>1979</v>
      </c>
      <c r="AW450" t="s">
        <v>1556</v>
      </c>
    </row>
    <row r="451" spans="1:49" x14ac:dyDescent="0.2">
      <c r="A451">
        <v>450</v>
      </c>
      <c r="B451" t="s">
        <v>1557</v>
      </c>
      <c r="C451" t="s">
        <v>1558</v>
      </c>
      <c r="D451">
        <v>1.1399999999999999</v>
      </c>
      <c r="E451" t="s">
        <v>42</v>
      </c>
      <c r="F451">
        <f>D451-0.93</f>
        <v>0.20999999999999985</v>
      </c>
      <c r="G451">
        <f>1.4-D451</f>
        <v>0.26</v>
      </c>
      <c r="H451" t="s">
        <v>69</v>
      </c>
      <c r="I451">
        <v>3</v>
      </c>
      <c r="J451">
        <v>10</v>
      </c>
      <c r="K451" t="s">
        <v>952</v>
      </c>
      <c r="L451" t="s">
        <v>1560</v>
      </c>
      <c r="M451">
        <f>4.35*0.18</f>
        <v>0.78299999999999992</v>
      </c>
      <c r="N451" t="s">
        <v>42</v>
      </c>
      <c r="O451">
        <f>M451-(3.49*0.18)</f>
        <v>0.15479999999999994</v>
      </c>
      <c r="P451">
        <f>(5.43*0.18)-M451</f>
        <v>0.19440000000000002</v>
      </c>
      <c r="Q451" t="s">
        <v>69</v>
      </c>
      <c r="R451">
        <v>3</v>
      </c>
      <c r="S451">
        <v>10</v>
      </c>
      <c r="T451" t="s">
        <v>952</v>
      </c>
      <c r="U451" t="s">
        <v>1176</v>
      </c>
      <c r="V451" t="s">
        <v>1573</v>
      </c>
      <c r="W451" t="s">
        <v>1574</v>
      </c>
      <c r="X451" t="s">
        <v>1583</v>
      </c>
      <c r="Y451" t="s">
        <v>46</v>
      </c>
      <c r="Z451" t="s">
        <v>1584</v>
      </c>
      <c r="AA451" t="s">
        <v>199</v>
      </c>
      <c r="AB451" t="s">
        <v>74</v>
      </c>
      <c r="AC451" t="s">
        <v>38</v>
      </c>
      <c r="AD451" t="s">
        <v>39</v>
      </c>
      <c r="AE451" t="s">
        <v>75</v>
      </c>
      <c r="AF451">
        <v>24</v>
      </c>
      <c r="AG451" t="s">
        <v>77</v>
      </c>
      <c r="AH451" t="s">
        <v>50</v>
      </c>
      <c r="AI451" t="s">
        <v>46</v>
      </c>
      <c r="AJ451" t="s">
        <v>47</v>
      </c>
      <c r="AK451" t="s">
        <v>61</v>
      </c>
      <c r="AL451">
        <v>25</v>
      </c>
      <c r="AM451" t="s">
        <v>46</v>
      </c>
      <c r="AN451" t="s">
        <v>46</v>
      </c>
      <c r="AO451" t="s">
        <v>46</v>
      </c>
      <c r="AP451" t="s">
        <v>50</v>
      </c>
      <c r="AQ451" t="s">
        <v>46</v>
      </c>
      <c r="AR451" t="s">
        <v>50</v>
      </c>
      <c r="AS451" t="s">
        <v>1640</v>
      </c>
      <c r="AT451" t="s">
        <v>50</v>
      </c>
      <c r="AU451" t="s">
        <v>63</v>
      </c>
      <c r="AV451">
        <v>2005</v>
      </c>
      <c r="AW451" t="s">
        <v>46</v>
      </c>
    </row>
    <row r="452" spans="1:49" x14ac:dyDescent="0.2">
      <c r="A452">
        <v>451</v>
      </c>
      <c r="B452" t="s">
        <v>1557</v>
      </c>
      <c r="C452" t="s">
        <v>1558</v>
      </c>
      <c r="D452">
        <v>0.53</v>
      </c>
      <c r="E452" t="s">
        <v>42</v>
      </c>
      <c r="F452">
        <f>D452-0.46</f>
        <v>7.0000000000000007E-2</v>
      </c>
      <c r="G452">
        <f>0.6-D452</f>
        <v>6.9999999999999951E-2</v>
      </c>
      <c r="H452" t="s">
        <v>69</v>
      </c>
      <c r="I452">
        <v>3</v>
      </c>
      <c r="J452">
        <v>10</v>
      </c>
      <c r="K452" t="s">
        <v>952</v>
      </c>
      <c r="L452" t="s">
        <v>1560</v>
      </c>
      <c r="M452">
        <v>0.37</v>
      </c>
      <c r="N452" t="s">
        <v>42</v>
      </c>
      <c r="O452">
        <f>M452-0.31</f>
        <v>0.06</v>
      </c>
      <c r="P452">
        <f>0.46-M452</f>
        <v>9.0000000000000024E-2</v>
      </c>
      <c r="Q452" t="s">
        <v>69</v>
      </c>
      <c r="R452">
        <v>3</v>
      </c>
      <c r="S452">
        <v>10</v>
      </c>
      <c r="T452" t="s">
        <v>952</v>
      </c>
      <c r="U452" t="s">
        <v>1176</v>
      </c>
      <c r="V452" t="s">
        <v>1575</v>
      </c>
      <c r="W452" t="s">
        <v>1574</v>
      </c>
      <c r="X452" t="s">
        <v>1583</v>
      </c>
      <c r="Y452" t="s">
        <v>46</v>
      </c>
      <c r="Z452" t="s">
        <v>1584</v>
      </c>
      <c r="AA452" t="s">
        <v>199</v>
      </c>
      <c r="AB452" t="s">
        <v>74</v>
      </c>
      <c r="AC452" t="s">
        <v>38</v>
      </c>
      <c r="AD452" t="s">
        <v>39</v>
      </c>
      <c r="AE452" t="s">
        <v>75</v>
      </c>
      <c r="AF452">
        <v>96</v>
      </c>
      <c r="AG452" t="s">
        <v>77</v>
      </c>
      <c r="AH452" t="s">
        <v>50</v>
      </c>
      <c r="AI452" t="s">
        <v>46</v>
      </c>
      <c r="AJ452" t="s">
        <v>47</v>
      </c>
      <c r="AK452" t="s">
        <v>61</v>
      </c>
      <c r="AL452">
        <v>25</v>
      </c>
      <c r="AM452" t="s">
        <v>46</v>
      </c>
      <c r="AN452" t="s">
        <v>46</v>
      </c>
      <c r="AO452" t="s">
        <v>46</v>
      </c>
      <c r="AP452" t="s">
        <v>50</v>
      </c>
      <c r="AQ452" t="s">
        <v>46</v>
      </c>
      <c r="AR452" t="s">
        <v>50</v>
      </c>
      <c r="AS452" t="s">
        <v>1640</v>
      </c>
      <c r="AT452" t="s">
        <v>50</v>
      </c>
      <c r="AU452" t="s">
        <v>63</v>
      </c>
      <c r="AV452">
        <v>2005</v>
      </c>
      <c r="AW452" t="s">
        <v>46</v>
      </c>
    </row>
    <row r="453" spans="1:49" x14ac:dyDescent="0.2">
      <c r="A453">
        <v>452</v>
      </c>
      <c r="B453" t="s">
        <v>1557</v>
      </c>
      <c r="C453" t="s">
        <v>1558</v>
      </c>
      <c r="D453" t="s">
        <v>1559</v>
      </c>
      <c r="E453" t="s">
        <v>42</v>
      </c>
      <c r="F453" t="s">
        <v>46</v>
      </c>
      <c r="G453" t="s">
        <v>46</v>
      </c>
      <c r="H453" t="s">
        <v>46</v>
      </c>
      <c r="I453">
        <v>3</v>
      </c>
      <c r="J453">
        <v>10</v>
      </c>
      <c r="K453" t="s">
        <v>952</v>
      </c>
      <c r="L453" t="s">
        <v>1560</v>
      </c>
      <c r="M453">
        <f>1.99*0.18</f>
        <v>0.35819999999999996</v>
      </c>
      <c r="N453" t="s">
        <v>42</v>
      </c>
      <c r="O453">
        <f>M453-(1.38*0.18)</f>
        <v>0.10979999999999998</v>
      </c>
      <c r="P453">
        <f>(2.86*0.18)-M453</f>
        <v>0.15659999999999996</v>
      </c>
      <c r="Q453" t="s">
        <v>69</v>
      </c>
      <c r="R453">
        <v>3</v>
      </c>
      <c r="S453">
        <v>10</v>
      </c>
      <c r="T453" t="s">
        <v>952</v>
      </c>
      <c r="U453" t="s">
        <v>1176</v>
      </c>
      <c r="V453" t="s">
        <v>1576</v>
      </c>
      <c r="W453" t="s">
        <v>1580</v>
      </c>
      <c r="X453" t="s">
        <v>1583</v>
      </c>
      <c r="Y453" t="s">
        <v>46</v>
      </c>
      <c r="Z453" t="s">
        <v>1584</v>
      </c>
      <c r="AA453" t="s">
        <v>199</v>
      </c>
      <c r="AB453" t="s">
        <v>74</v>
      </c>
      <c r="AC453" t="s">
        <v>38</v>
      </c>
      <c r="AD453" t="s">
        <v>39</v>
      </c>
      <c r="AE453" t="s">
        <v>180</v>
      </c>
      <c r="AF453">
        <v>24</v>
      </c>
      <c r="AG453" t="s">
        <v>77</v>
      </c>
      <c r="AH453" t="s">
        <v>50</v>
      </c>
      <c r="AI453" t="s">
        <v>46</v>
      </c>
      <c r="AJ453" t="s">
        <v>47</v>
      </c>
      <c r="AK453" t="s">
        <v>61</v>
      </c>
      <c r="AL453">
        <v>25</v>
      </c>
      <c r="AM453" t="s">
        <v>46</v>
      </c>
      <c r="AN453" t="s">
        <v>46</v>
      </c>
      <c r="AO453" t="s">
        <v>46</v>
      </c>
      <c r="AP453" t="s">
        <v>50</v>
      </c>
      <c r="AQ453" t="s">
        <v>46</v>
      </c>
      <c r="AR453" t="s">
        <v>63</v>
      </c>
      <c r="AS453" t="s">
        <v>1640</v>
      </c>
      <c r="AT453" t="s">
        <v>50</v>
      </c>
      <c r="AU453" t="s">
        <v>63</v>
      </c>
      <c r="AV453">
        <v>2005</v>
      </c>
      <c r="AW453" t="s">
        <v>46</v>
      </c>
    </row>
    <row r="454" spans="1:49" x14ac:dyDescent="0.2">
      <c r="A454">
        <v>453</v>
      </c>
      <c r="B454" t="s">
        <v>1557</v>
      </c>
      <c r="C454" t="s">
        <v>1558</v>
      </c>
      <c r="D454">
        <v>0.35</v>
      </c>
      <c r="E454" t="s">
        <v>42</v>
      </c>
      <c r="F454">
        <f>D454-0.28</f>
        <v>6.9999999999999951E-2</v>
      </c>
      <c r="G454">
        <f>0.42-D454</f>
        <v>7.0000000000000007E-2</v>
      </c>
      <c r="H454" t="s">
        <v>69</v>
      </c>
      <c r="I454">
        <v>3</v>
      </c>
      <c r="J454">
        <v>10</v>
      </c>
      <c r="K454" t="s">
        <v>952</v>
      </c>
      <c r="L454" t="s">
        <v>1560</v>
      </c>
      <c r="M454">
        <v>7.0000000000000007E-2</v>
      </c>
      <c r="N454" t="s">
        <v>42</v>
      </c>
      <c r="O454">
        <f>M454-0.04</f>
        <v>3.0000000000000006E-2</v>
      </c>
      <c r="P454">
        <f>0.1-M454</f>
        <v>0.03</v>
      </c>
      <c r="Q454" t="s">
        <v>69</v>
      </c>
      <c r="R454">
        <v>3</v>
      </c>
      <c r="S454">
        <v>10</v>
      </c>
      <c r="T454" t="s">
        <v>952</v>
      </c>
      <c r="U454" t="s">
        <v>1176</v>
      </c>
      <c r="V454" t="s">
        <v>1577</v>
      </c>
      <c r="W454" t="s">
        <v>1580</v>
      </c>
      <c r="X454" t="s">
        <v>1583</v>
      </c>
      <c r="Y454" t="s">
        <v>46</v>
      </c>
      <c r="Z454" t="s">
        <v>1584</v>
      </c>
      <c r="AA454" t="s">
        <v>199</v>
      </c>
      <c r="AB454" t="s">
        <v>74</v>
      </c>
      <c r="AC454" t="s">
        <v>38</v>
      </c>
      <c r="AD454" t="s">
        <v>39</v>
      </c>
      <c r="AE454" t="s">
        <v>180</v>
      </c>
      <c r="AF454">
        <v>96</v>
      </c>
      <c r="AG454" t="s">
        <v>77</v>
      </c>
      <c r="AH454" t="s">
        <v>50</v>
      </c>
      <c r="AI454" t="s">
        <v>46</v>
      </c>
      <c r="AJ454" t="s">
        <v>47</v>
      </c>
      <c r="AK454" t="s">
        <v>61</v>
      </c>
      <c r="AL454">
        <v>25</v>
      </c>
      <c r="AM454" t="s">
        <v>46</v>
      </c>
      <c r="AN454" t="s">
        <v>46</v>
      </c>
      <c r="AO454" t="s">
        <v>46</v>
      </c>
      <c r="AP454" t="s">
        <v>50</v>
      </c>
      <c r="AQ454" t="s">
        <v>46</v>
      </c>
      <c r="AR454" t="s">
        <v>50</v>
      </c>
      <c r="AS454" t="s">
        <v>1640</v>
      </c>
      <c r="AT454" t="s">
        <v>50</v>
      </c>
      <c r="AU454" t="s">
        <v>63</v>
      </c>
      <c r="AV454" s="3">
        <v>2005</v>
      </c>
      <c r="AW454" t="s">
        <v>46</v>
      </c>
    </row>
    <row r="455" spans="1:49" x14ac:dyDescent="0.2">
      <c r="A455">
        <v>454</v>
      </c>
      <c r="B455" t="s">
        <v>1557</v>
      </c>
      <c r="C455" t="s">
        <v>1558</v>
      </c>
      <c r="D455">
        <v>5.44</v>
      </c>
      <c r="E455" t="s">
        <v>42</v>
      </c>
      <c r="F455">
        <f>D455-4.52</f>
        <v>0.92000000000000082</v>
      </c>
      <c r="G455">
        <f>6.55-D455</f>
        <v>1.1099999999999994</v>
      </c>
      <c r="H455" t="s">
        <v>69</v>
      </c>
      <c r="I455">
        <v>3</v>
      </c>
      <c r="J455">
        <v>10</v>
      </c>
      <c r="K455" t="s">
        <v>952</v>
      </c>
      <c r="L455" t="s">
        <v>1560</v>
      </c>
      <c r="M455">
        <v>2.9</v>
      </c>
      <c r="N455" t="s">
        <v>42</v>
      </c>
      <c r="O455">
        <f>M455-2.66</f>
        <v>0.23999999999999977</v>
      </c>
      <c r="P455">
        <f>3.16-M455</f>
        <v>0.26000000000000023</v>
      </c>
      <c r="Q455" t="s">
        <v>69</v>
      </c>
      <c r="R455">
        <v>3</v>
      </c>
      <c r="S455">
        <v>10</v>
      </c>
      <c r="T455" t="s">
        <v>952</v>
      </c>
      <c r="U455" t="s">
        <v>1176</v>
      </c>
      <c r="V455" t="s">
        <v>1578</v>
      </c>
      <c r="W455" t="s">
        <v>1581</v>
      </c>
      <c r="X455" t="s">
        <v>1583</v>
      </c>
      <c r="Y455" t="s">
        <v>46</v>
      </c>
      <c r="Z455" t="s">
        <v>1584</v>
      </c>
      <c r="AA455" t="s">
        <v>199</v>
      </c>
      <c r="AB455" t="s">
        <v>74</v>
      </c>
      <c r="AC455" t="s">
        <v>38</v>
      </c>
      <c r="AD455" t="s">
        <v>39</v>
      </c>
      <c r="AE455" t="s">
        <v>75</v>
      </c>
      <c r="AF455">
        <v>24</v>
      </c>
      <c r="AG455" t="s">
        <v>77</v>
      </c>
      <c r="AH455" t="s">
        <v>50</v>
      </c>
      <c r="AI455" t="s">
        <v>46</v>
      </c>
      <c r="AJ455" t="s">
        <v>47</v>
      </c>
      <c r="AK455" t="s">
        <v>61</v>
      </c>
      <c r="AL455">
        <v>25</v>
      </c>
      <c r="AM455" t="s">
        <v>46</v>
      </c>
      <c r="AN455" t="s">
        <v>46</v>
      </c>
      <c r="AO455" t="s">
        <v>46</v>
      </c>
      <c r="AP455" t="s">
        <v>50</v>
      </c>
      <c r="AQ455" t="s">
        <v>46</v>
      </c>
      <c r="AR455" t="s">
        <v>50</v>
      </c>
      <c r="AS455" t="s">
        <v>1640</v>
      </c>
      <c r="AT455" t="s">
        <v>50</v>
      </c>
      <c r="AU455" t="s">
        <v>63</v>
      </c>
      <c r="AV455" s="3">
        <v>2005</v>
      </c>
      <c r="AW455" t="s">
        <v>46</v>
      </c>
    </row>
    <row r="456" spans="1:49" x14ac:dyDescent="0.2">
      <c r="A456">
        <v>455</v>
      </c>
      <c r="B456" t="s">
        <v>1557</v>
      </c>
      <c r="C456" t="s">
        <v>1558</v>
      </c>
      <c r="D456">
        <v>2.15</v>
      </c>
      <c r="E456" t="s">
        <v>42</v>
      </c>
      <c r="F456">
        <f>D456-1.35</f>
        <v>0.79999999999999982</v>
      </c>
      <c r="G456">
        <f>3.43-D456</f>
        <v>1.2800000000000002</v>
      </c>
      <c r="H456" t="s">
        <v>69</v>
      </c>
      <c r="I456">
        <v>3</v>
      </c>
      <c r="J456">
        <v>10</v>
      </c>
      <c r="K456" t="s">
        <v>952</v>
      </c>
      <c r="L456" t="s">
        <v>1560</v>
      </c>
      <c r="M456">
        <v>2.5499999999999998</v>
      </c>
      <c r="N456" t="s">
        <v>42</v>
      </c>
      <c r="O456">
        <f>M456-2.2</f>
        <v>0.34999999999999964</v>
      </c>
      <c r="P456">
        <f>2.96-M456</f>
        <v>0.41000000000000014</v>
      </c>
      <c r="Q456" t="s">
        <v>69</v>
      </c>
      <c r="R456">
        <v>3</v>
      </c>
      <c r="S456">
        <v>10</v>
      </c>
      <c r="T456" t="s">
        <v>952</v>
      </c>
      <c r="U456" t="s">
        <v>1176</v>
      </c>
      <c r="V456" t="s">
        <v>1579</v>
      </c>
      <c r="W456" t="s">
        <v>1582</v>
      </c>
      <c r="X456" t="s">
        <v>1583</v>
      </c>
      <c r="Y456" t="s">
        <v>46</v>
      </c>
      <c r="Z456" t="s">
        <v>1584</v>
      </c>
      <c r="AA456" t="s">
        <v>199</v>
      </c>
      <c r="AB456" t="s">
        <v>74</v>
      </c>
      <c r="AC456" t="s">
        <v>38</v>
      </c>
      <c r="AD456" t="s">
        <v>39</v>
      </c>
      <c r="AE456" t="s">
        <v>75</v>
      </c>
      <c r="AF456">
        <v>24</v>
      </c>
      <c r="AG456" t="s">
        <v>77</v>
      </c>
      <c r="AH456" t="s">
        <v>50</v>
      </c>
      <c r="AI456" t="s">
        <v>46</v>
      </c>
      <c r="AJ456" t="s">
        <v>47</v>
      </c>
      <c r="AK456" t="s">
        <v>61</v>
      </c>
      <c r="AL456">
        <v>25</v>
      </c>
      <c r="AM456" t="s">
        <v>46</v>
      </c>
      <c r="AN456" t="s">
        <v>46</v>
      </c>
      <c r="AO456" t="s">
        <v>46</v>
      </c>
      <c r="AP456" t="s">
        <v>50</v>
      </c>
      <c r="AQ456" t="s">
        <v>46</v>
      </c>
      <c r="AR456" t="s">
        <v>50</v>
      </c>
      <c r="AS456" t="s">
        <v>1640</v>
      </c>
      <c r="AT456" t="s">
        <v>50</v>
      </c>
      <c r="AU456" t="s">
        <v>63</v>
      </c>
      <c r="AV456" s="3">
        <v>2005</v>
      </c>
      <c r="AW456" t="s">
        <v>46</v>
      </c>
    </row>
    <row r="457" spans="1:49" x14ac:dyDescent="0.2">
      <c r="A457">
        <v>456</v>
      </c>
      <c r="B457" t="s">
        <v>1587</v>
      </c>
      <c r="C457" t="s">
        <v>1585</v>
      </c>
      <c r="D457">
        <v>297.89</v>
      </c>
      <c r="E457" t="s">
        <v>42</v>
      </c>
      <c r="F457">
        <v>4.5599999999999996</v>
      </c>
      <c r="G457">
        <v>4.38</v>
      </c>
      <c r="H457" t="s">
        <v>69</v>
      </c>
      <c r="I457">
        <v>3</v>
      </c>
      <c r="J457">
        <v>10</v>
      </c>
      <c r="K457" t="s">
        <v>952</v>
      </c>
      <c r="L457" t="s">
        <v>1586</v>
      </c>
      <c r="M457">
        <f>636.45/2</f>
        <v>318.22500000000002</v>
      </c>
      <c r="N457" t="s">
        <v>42</v>
      </c>
      <c r="O457">
        <f>4.86/2</f>
        <v>2.4300000000000002</v>
      </c>
      <c r="P457">
        <f>4.74/2</f>
        <v>2.37</v>
      </c>
      <c r="Q457" t="s">
        <v>69</v>
      </c>
      <c r="R457">
        <v>3</v>
      </c>
      <c r="S457">
        <v>10</v>
      </c>
      <c r="T457" t="s">
        <v>952</v>
      </c>
      <c r="U457" t="s">
        <v>156</v>
      </c>
      <c r="V457" t="s">
        <v>1590</v>
      </c>
      <c r="W457" t="s">
        <v>1588</v>
      </c>
      <c r="X457" t="s">
        <v>1043</v>
      </c>
      <c r="Y457" t="s">
        <v>46</v>
      </c>
      <c r="Z457" t="s">
        <v>1591</v>
      </c>
      <c r="AA457" t="s">
        <v>36</v>
      </c>
      <c r="AB457" t="s">
        <v>37</v>
      </c>
      <c r="AC457" t="s">
        <v>38</v>
      </c>
      <c r="AD457" t="s">
        <v>39</v>
      </c>
      <c r="AE457" t="s">
        <v>75</v>
      </c>
      <c r="AF457">
        <v>24</v>
      </c>
      <c r="AG457" t="s">
        <v>40</v>
      </c>
      <c r="AH457" t="s">
        <v>50</v>
      </c>
      <c r="AI457" t="s">
        <v>46</v>
      </c>
      <c r="AJ457" t="s">
        <v>47</v>
      </c>
      <c r="AK457" t="s">
        <v>61</v>
      </c>
      <c r="AL457">
        <v>28</v>
      </c>
      <c r="AM457">
        <v>8.3000000000000007</v>
      </c>
      <c r="AN457" t="s">
        <v>46</v>
      </c>
      <c r="AO457" t="s">
        <v>46</v>
      </c>
      <c r="AP457" t="s">
        <v>50</v>
      </c>
      <c r="AQ457">
        <v>80</v>
      </c>
      <c r="AR457" t="s">
        <v>50</v>
      </c>
      <c r="AS457" t="s">
        <v>1631</v>
      </c>
      <c r="AT457" t="s">
        <v>50</v>
      </c>
      <c r="AU457" t="s">
        <v>63</v>
      </c>
      <c r="AV457">
        <v>2007</v>
      </c>
      <c r="AW457" t="s">
        <v>1592</v>
      </c>
    </row>
    <row r="458" spans="1:49" x14ac:dyDescent="0.2">
      <c r="A458">
        <v>457</v>
      </c>
      <c r="B458" t="s">
        <v>1587</v>
      </c>
      <c r="C458" t="s">
        <v>1585</v>
      </c>
      <c r="D458">
        <v>247.46</v>
      </c>
      <c r="E458" t="s">
        <v>42</v>
      </c>
      <c r="F458">
        <v>4.49</v>
      </c>
      <c r="G458">
        <v>4.28</v>
      </c>
      <c r="H458" t="s">
        <v>69</v>
      </c>
      <c r="I458">
        <v>3</v>
      </c>
      <c r="J458">
        <v>10</v>
      </c>
      <c r="K458" t="s">
        <v>952</v>
      </c>
      <c r="L458" t="s">
        <v>1586</v>
      </c>
      <c r="M458">
        <f>546.09/2</f>
        <v>273.04500000000002</v>
      </c>
      <c r="N458" t="s">
        <v>42</v>
      </c>
      <c r="O458">
        <f>4.78/2</f>
        <v>2.39</v>
      </c>
      <c r="P458">
        <f>4.68/2</f>
        <v>2.34</v>
      </c>
      <c r="Q458" t="s">
        <v>69</v>
      </c>
      <c r="R458">
        <v>3</v>
      </c>
      <c r="S458">
        <v>10</v>
      </c>
      <c r="T458" t="s">
        <v>952</v>
      </c>
      <c r="U458" t="s">
        <v>156</v>
      </c>
      <c r="V458" t="s">
        <v>1589</v>
      </c>
      <c r="W458" t="s">
        <v>1588</v>
      </c>
      <c r="X458" t="s">
        <v>1043</v>
      </c>
      <c r="Y458" t="s">
        <v>46</v>
      </c>
      <c r="Z458" t="s">
        <v>1591</v>
      </c>
      <c r="AA458" t="s">
        <v>36</v>
      </c>
      <c r="AB458" t="s">
        <v>37</v>
      </c>
      <c r="AC458" t="s">
        <v>38</v>
      </c>
      <c r="AD458" t="s">
        <v>39</v>
      </c>
      <c r="AE458" t="s">
        <v>75</v>
      </c>
      <c r="AF458">
        <v>48</v>
      </c>
      <c r="AG458" t="s">
        <v>40</v>
      </c>
      <c r="AH458" t="s">
        <v>50</v>
      </c>
      <c r="AI458" t="s">
        <v>46</v>
      </c>
      <c r="AJ458" t="s">
        <v>47</v>
      </c>
      <c r="AK458" t="s">
        <v>61</v>
      </c>
      <c r="AL458">
        <v>28</v>
      </c>
      <c r="AM458">
        <v>8.3000000000000007</v>
      </c>
      <c r="AN458" t="s">
        <v>46</v>
      </c>
      <c r="AO458" t="s">
        <v>46</v>
      </c>
      <c r="AP458" t="s">
        <v>50</v>
      </c>
      <c r="AQ458">
        <v>80</v>
      </c>
      <c r="AR458" t="s">
        <v>50</v>
      </c>
      <c r="AS458" t="s">
        <v>1631</v>
      </c>
      <c r="AT458" t="s">
        <v>50</v>
      </c>
      <c r="AU458" t="s">
        <v>63</v>
      </c>
      <c r="AV458">
        <v>2007</v>
      </c>
      <c r="AW458" t="s">
        <v>1592</v>
      </c>
    </row>
    <row r="459" spans="1:49" x14ac:dyDescent="0.2">
      <c r="A459">
        <v>458</v>
      </c>
      <c r="B459" t="s">
        <v>1594</v>
      </c>
      <c r="C459" t="s">
        <v>1593</v>
      </c>
      <c r="D459">
        <v>66.099999999999994</v>
      </c>
      <c r="E459" t="s">
        <v>413</v>
      </c>
      <c r="F459">
        <f>D459-56.2</f>
        <v>9.8999999999999915</v>
      </c>
      <c r="G459">
        <f>77.8-D459</f>
        <v>11.700000000000003</v>
      </c>
      <c r="H459" t="s">
        <v>69</v>
      </c>
      <c r="I459">
        <v>4</v>
      </c>
      <c r="J459">
        <v>3</v>
      </c>
      <c r="K459" t="s">
        <v>1595</v>
      </c>
      <c r="L459" t="s">
        <v>1596</v>
      </c>
      <c r="M459">
        <v>3.25</v>
      </c>
      <c r="N459" t="s">
        <v>413</v>
      </c>
      <c r="O459">
        <f>M459-2.94</f>
        <v>0.31000000000000005</v>
      </c>
      <c r="P459">
        <f>3.63-M459</f>
        <v>0.37999999999999989</v>
      </c>
      <c r="Q459" t="s">
        <v>69</v>
      </c>
      <c r="R459">
        <v>4</v>
      </c>
      <c r="S459">
        <v>3</v>
      </c>
      <c r="T459" t="s">
        <v>1595</v>
      </c>
      <c r="U459" t="s">
        <v>874</v>
      </c>
      <c r="V459" t="s">
        <v>1597</v>
      </c>
      <c r="W459" t="s">
        <v>1598</v>
      </c>
      <c r="X459" t="s">
        <v>1599</v>
      </c>
      <c r="Y459" t="s">
        <v>46</v>
      </c>
      <c r="Z459" t="s">
        <v>1600</v>
      </c>
      <c r="AA459" t="s">
        <v>426</v>
      </c>
      <c r="AB459" t="s">
        <v>427</v>
      </c>
      <c r="AC459" t="s">
        <v>428</v>
      </c>
      <c r="AD459" t="s">
        <v>39</v>
      </c>
      <c r="AE459" t="s">
        <v>46</v>
      </c>
      <c r="AF459">
        <v>96</v>
      </c>
      <c r="AG459" t="s">
        <v>40</v>
      </c>
      <c r="AH459" t="s">
        <v>50</v>
      </c>
      <c r="AI459" t="s">
        <v>46</v>
      </c>
      <c r="AJ459" t="s">
        <v>47</v>
      </c>
      <c r="AK459" t="s">
        <v>61</v>
      </c>
      <c r="AL459">
        <v>24</v>
      </c>
      <c r="AM459" t="s">
        <v>46</v>
      </c>
      <c r="AN459" t="s">
        <v>46</v>
      </c>
      <c r="AO459" t="s">
        <v>46</v>
      </c>
      <c r="AP459" t="s">
        <v>50</v>
      </c>
      <c r="AQ459" t="s">
        <v>46</v>
      </c>
      <c r="AR459" t="s">
        <v>50</v>
      </c>
      <c r="AS459" t="s">
        <v>1630</v>
      </c>
      <c r="AT459" t="s">
        <v>63</v>
      </c>
      <c r="AU459" t="s">
        <v>46</v>
      </c>
      <c r="AV459">
        <v>2022</v>
      </c>
      <c r="AW459" t="s">
        <v>46</v>
      </c>
    </row>
    <row r="460" spans="1:49" x14ac:dyDescent="0.2">
      <c r="A460">
        <v>459</v>
      </c>
      <c r="B460" t="s">
        <v>1601</v>
      </c>
      <c r="C460" t="s">
        <v>852</v>
      </c>
      <c r="D460">
        <v>236</v>
      </c>
      <c r="E460" t="s">
        <v>68</v>
      </c>
      <c r="F460">
        <v>9</v>
      </c>
      <c r="G460">
        <v>9</v>
      </c>
      <c r="H460" t="s">
        <v>43</v>
      </c>
      <c r="I460">
        <v>4</v>
      </c>
      <c r="J460">
        <v>1</v>
      </c>
      <c r="K460" t="s">
        <v>828</v>
      </c>
      <c r="L460" t="s">
        <v>1602</v>
      </c>
      <c r="M460">
        <v>20.5</v>
      </c>
      <c r="N460" t="s">
        <v>68</v>
      </c>
      <c r="O460">
        <v>1</v>
      </c>
      <c r="P460">
        <v>1</v>
      </c>
      <c r="Q460" t="s">
        <v>43</v>
      </c>
      <c r="R460">
        <v>4</v>
      </c>
      <c r="S460">
        <v>1</v>
      </c>
      <c r="T460" t="s">
        <v>828</v>
      </c>
      <c r="U460" t="s">
        <v>46</v>
      </c>
      <c r="V460" t="s">
        <v>1603</v>
      </c>
      <c r="W460" s="3" t="s">
        <v>1607</v>
      </c>
      <c r="X460" t="s">
        <v>858</v>
      </c>
      <c r="Y460" t="s">
        <v>46</v>
      </c>
      <c r="Z460" t="s">
        <v>859</v>
      </c>
      <c r="AA460" t="s">
        <v>46</v>
      </c>
      <c r="AB460" t="s">
        <v>46</v>
      </c>
      <c r="AC460" t="s">
        <v>46</v>
      </c>
      <c r="AD460" t="s">
        <v>39</v>
      </c>
      <c r="AE460" t="s">
        <v>46</v>
      </c>
      <c r="AF460">
        <v>1</v>
      </c>
      <c r="AG460" t="s">
        <v>77</v>
      </c>
      <c r="AH460" t="s">
        <v>50</v>
      </c>
      <c r="AI460" t="s">
        <v>46</v>
      </c>
      <c r="AJ460" t="s">
        <v>47</v>
      </c>
      <c r="AK460" t="s">
        <v>61</v>
      </c>
      <c r="AL460" t="s">
        <v>46</v>
      </c>
      <c r="AM460" t="s">
        <v>46</v>
      </c>
      <c r="AN460" t="s">
        <v>46</v>
      </c>
      <c r="AO460" t="s">
        <v>46</v>
      </c>
      <c r="AP460" t="s">
        <v>50</v>
      </c>
      <c r="AQ460" t="s">
        <v>46</v>
      </c>
      <c r="AR460" t="s">
        <v>50</v>
      </c>
      <c r="AS460" t="s">
        <v>1647</v>
      </c>
      <c r="AT460" t="s">
        <v>63</v>
      </c>
      <c r="AU460" t="s">
        <v>46</v>
      </c>
      <c r="AV460">
        <v>2006</v>
      </c>
      <c r="AW460" t="s">
        <v>1604</v>
      </c>
    </row>
    <row r="461" spans="1:49" x14ac:dyDescent="0.2">
      <c r="A461">
        <v>460</v>
      </c>
      <c r="B461" t="s">
        <v>1605</v>
      </c>
      <c r="C461" t="s">
        <v>201</v>
      </c>
      <c r="D461">
        <v>65.3</v>
      </c>
      <c r="E461" t="s">
        <v>42</v>
      </c>
      <c r="F461">
        <v>2.8</v>
      </c>
      <c r="G461">
        <v>2.8</v>
      </c>
      <c r="H461" t="s">
        <v>43</v>
      </c>
      <c r="I461">
        <v>3</v>
      </c>
      <c r="J461">
        <v>20</v>
      </c>
      <c r="K461" t="s">
        <v>1465</v>
      </c>
      <c r="L461" t="s">
        <v>1685</v>
      </c>
      <c r="M461">
        <v>87.8</v>
      </c>
      <c r="N461" t="s">
        <v>42</v>
      </c>
      <c r="O461">
        <v>2.2000000000000002</v>
      </c>
      <c r="P461">
        <v>2.2000000000000002</v>
      </c>
      <c r="Q461" t="s">
        <v>43</v>
      </c>
      <c r="R461">
        <v>3</v>
      </c>
      <c r="S461">
        <v>20</v>
      </c>
      <c r="T461" t="s">
        <v>1465</v>
      </c>
      <c r="U461" t="s">
        <v>1612</v>
      </c>
      <c r="V461" t="s">
        <v>1606</v>
      </c>
      <c r="W461" t="s">
        <v>1608</v>
      </c>
      <c r="X461" t="s">
        <v>1609</v>
      </c>
      <c r="Y461" t="s">
        <v>46</v>
      </c>
      <c r="Z461" t="s">
        <v>1610</v>
      </c>
      <c r="AA461" t="s">
        <v>996</v>
      </c>
      <c r="AB461" t="s">
        <v>997</v>
      </c>
      <c r="AC461" t="s">
        <v>38</v>
      </c>
      <c r="AD461" t="s">
        <v>39</v>
      </c>
      <c r="AE461" t="s">
        <v>75</v>
      </c>
      <c r="AF461">
        <v>24</v>
      </c>
      <c r="AG461" t="s">
        <v>77</v>
      </c>
      <c r="AH461" t="s">
        <v>50</v>
      </c>
      <c r="AI461" t="s">
        <v>46</v>
      </c>
      <c r="AJ461" t="s">
        <v>47</v>
      </c>
      <c r="AK461" t="s">
        <v>61</v>
      </c>
      <c r="AL461">
        <v>20</v>
      </c>
      <c r="AM461" t="s">
        <v>46</v>
      </c>
      <c r="AN461" t="s">
        <v>46</v>
      </c>
      <c r="AO461" t="s">
        <v>46</v>
      </c>
      <c r="AP461" t="s">
        <v>50</v>
      </c>
      <c r="AQ461" t="s">
        <v>46</v>
      </c>
      <c r="AR461" t="s">
        <v>50</v>
      </c>
      <c r="AS461" t="s">
        <v>1629</v>
      </c>
      <c r="AT461" t="s">
        <v>63</v>
      </c>
      <c r="AU461" t="s">
        <v>46</v>
      </c>
      <c r="AV461">
        <v>2020</v>
      </c>
      <c r="AW461" t="s">
        <v>46</v>
      </c>
    </row>
    <row r="462" spans="1:49" x14ac:dyDescent="0.2">
      <c r="A462">
        <v>461</v>
      </c>
      <c r="B462" t="s">
        <v>1611</v>
      </c>
      <c r="C462" t="s">
        <v>253</v>
      </c>
      <c r="D462">
        <v>24</v>
      </c>
      <c r="E462" t="s">
        <v>68</v>
      </c>
      <c r="F462">
        <f>D462-21</f>
        <v>3</v>
      </c>
      <c r="G462">
        <f>27-D462</f>
        <v>3</v>
      </c>
      <c r="H462" t="s">
        <v>69</v>
      </c>
      <c r="I462">
        <v>4</v>
      </c>
      <c r="J462">
        <v>5</v>
      </c>
      <c r="K462" t="s">
        <v>446</v>
      </c>
      <c r="L462" t="s">
        <v>1281</v>
      </c>
      <c r="M462">
        <v>31</v>
      </c>
      <c r="N462" t="s">
        <v>68</v>
      </c>
      <c r="O462">
        <f>M462-28</f>
        <v>3</v>
      </c>
      <c r="P462">
        <f>32-M462</f>
        <v>1</v>
      </c>
      <c r="Q462" t="s">
        <v>69</v>
      </c>
      <c r="R462">
        <v>4</v>
      </c>
      <c r="S462">
        <v>5</v>
      </c>
      <c r="T462" t="s">
        <v>446</v>
      </c>
      <c r="U462" t="s">
        <v>156</v>
      </c>
      <c r="V462" t="s">
        <v>1613</v>
      </c>
      <c r="W462" t="s">
        <v>1614</v>
      </c>
      <c r="X462" t="s">
        <v>257</v>
      </c>
      <c r="Y462" t="s">
        <v>258</v>
      </c>
      <c r="Z462" t="s">
        <v>747</v>
      </c>
      <c r="AA462" t="s">
        <v>73</v>
      </c>
      <c r="AB462" t="s">
        <v>74</v>
      </c>
      <c r="AC462" t="s">
        <v>38</v>
      </c>
      <c r="AD462" t="s">
        <v>39</v>
      </c>
      <c r="AE462" t="s">
        <v>465</v>
      </c>
      <c r="AF462">
        <v>48</v>
      </c>
      <c r="AG462" t="s">
        <v>77</v>
      </c>
      <c r="AH462" t="s">
        <v>50</v>
      </c>
      <c r="AI462" t="s">
        <v>46</v>
      </c>
      <c r="AJ462" t="s">
        <v>47</v>
      </c>
      <c r="AK462" t="s">
        <v>61</v>
      </c>
      <c r="AL462">
        <v>20</v>
      </c>
      <c r="AM462" t="s">
        <v>46</v>
      </c>
      <c r="AN462" t="s">
        <v>152</v>
      </c>
      <c r="AO462">
        <v>24</v>
      </c>
      <c r="AP462" t="s">
        <v>63</v>
      </c>
      <c r="AQ462" t="s">
        <v>46</v>
      </c>
      <c r="AR462" t="s">
        <v>50</v>
      </c>
      <c r="AS462" t="s">
        <v>1652</v>
      </c>
      <c r="AT462" t="s">
        <v>63</v>
      </c>
      <c r="AU462" t="s">
        <v>46</v>
      </c>
      <c r="AV462">
        <v>2009</v>
      </c>
      <c r="AW462" t="s">
        <v>46</v>
      </c>
    </row>
    <row r="463" spans="1:49" x14ac:dyDescent="0.2">
      <c r="A463">
        <v>462</v>
      </c>
      <c r="B463" t="s">
        <v>1611</v>
      </c>
      <c r="C463" t="s">
        <v>1279</v>
      </c>
      <c r="D463">
        <v>2109</v>
      </c>
      <c r="E463" t="s">
        <v>68</v>
      </c>
      <c r="F463">
        <f>D463-1876</f>
        <v>233</v>
      </c>
      <c r="G463">
        <f>2404-D463</f>
        <v>295</v>
      </c>
      <c r="H463" t="s">
        <v>69</v>
      </c>
      <c r="I463">
        <v>4</v>
      </c>
      <c r="J463">
        <v>5</v>
      </c>
      <c r="K463" t="s">
        <v>446</v>
      </c>
      <c r="L463" t="s">
        <v>1282</v>
      </c>
      <c r="M463">
        <v>3554</v>
      </c>
      <c r="N463" t="s">
        <v>68</v>
      </c>
      <c r="O463">
        <f>M463-3165</f>
        <v>389</v>
      </c>
      <c r="P463">
        <f>4061-M463</f>
        <v>507</v>
      </c>
      <c r="Q463" t="s">
        <v>69</v>
      </c>
      <c r="R463">
        <v>4</v>
      </c>
      <c r="S463">
        <v>5</v>
      </c>
      <c r="T463" t="s">
        <v>446</v>
      </c>
      <c r="U463" t="s">
        <v>156</v>
      </c>
      <c r="V463" t="s">
        <v>1615</v>
      </c>
      <c r="W463" t="s">
        <v>1616</v>
      </c>
      <c r="X463" t="s">
        <v>257</v>
      </c>
      <c r="Y463" t="s">
        <v>258</v>
      </c>
      <c r="Z463" t="s">
        <v>747</v>
      </c>
      <c r="AA463" t="s">
        <v>73</v>
      </c>
      <c r="AB463" t="s">
        <v>74</v>
      </c>
      <c r="AC463" t="s">
        <v>38</v>
      </c>
      <c r="AD463" t="s">
        <v>39</v>
      </c>
      <c r="AE463" t="s">
        <v>465</v>
      </c>
      <c r="AF463">
        <v>48</v>
      </c>
      <c r="AG463" t="s">
        <v>77</v>
      </c>
      <c r="AH463" t="s">
        <v>50</v>
      </c>
      <c r="AI463" t="s">
        <v>46</v>
      </c>
      <c r="AJ463" t="s">
        <v>47</v>
      </c>
      <c r="AK463" t="s">
        <v>61</v>
      </c>
      <c r="AL463">
        <v>20</v>
      </c>
      <c r="AM463" t="s">
        <v>46</v>
      </c>
      <c r="AN463" t="s">
        <v>152</v>
      </c>
      <c r="AO463">
        <v>24</v>
      </c>
      <c r="AP463" t="s">
        <v>63</v>
      </c>
      <c r="AQ463" t="s">
        <v>46</v>
      </c>
      <c r="AR463" t="s">
        <v>50</v>
      </c>
      <c r="AS463" t="s">
        <v>1649</v>
      </c>
      <c r="AT463" t="s">
        <v>63</v>
      </c>
      <c r="AU463" t="s">
        <v>46</v>
      </c>
      <c r="AV463">
        <v>2009</v>
      </c>
      <c r="AW463" t="s">
        <v>46</v>
      </c>
    </row>
    <row r="464" spans="1:49" x14ac:dyDescent="0.2">
      <c r="A464">
        <v>463</v>
      </c>
      <c r="B464" t="s">
        <v>1617</v>
      </c>
      <c r="C464" t="s">
        <v>529</v>
      </c>
      <c r="D464">
        <v>706.48</v>
      </c>
      <c r="E464" t="s">
        <v>42</v>
      </c>
      <c r="F464">
        <v>92.68</v>
      </c>
      <c r="G464">
        <v>92.68</v>
      </c>
      <c r="H464" t="s">
        <v>43</v>
      </c>
      <c r="I464">
        <v>3</v>
      </c>
      <c r="J464">
        <v>5</v>
      </c>
      <c r="K464" t="s">
        <v>530</v>
      </c>
      <c r="L464" t="s">
        <v>531</v>
      </c>
      <c r="M464">
        <v>93.28</v>
      </c>
      <c r="N464" t="s">
        <v>42</v>
      </c>
      <c r="O464">
        <v>9.6491000000000007</v>
      </c>
      <c r="P464">
        <v>9.6491000000000007</v>
      </c>
      <c r="Q464" t="s">
        <v>43</v>
      </c>
      <c r="R464">
        <v>4</v>
      </c>
      <c r="S464">
        <v>10</v>
      </c>
      <c r="T464" t="s">
        <v>990</v>
      </c>
      <c r="U464" t="s">
        <v>1003</v>
      </c>
      <c r="V464" t="s">
        <v>1618</v>
      </c>
      <c r="W464" t="s">
        <v>1619</v>
      </c>
      <c r="X464" t="s">
        <v>534</v>
      </c>
      <c r="Y464" t="s">
        <v>46</v>
      </c>
      <c r="Z464" t="s">
        <v>46</v>
      </c>
      <c r="AA464" t="s">
        <v>535</v>
      </c>
      <c r="AB464" t="s">
        <v>536</v>
      </c>
      <c r="AC464" t="s">
        <v>38</v>
      </c>
      <c r="AD464" t="s">
        <v>169</v>
      </c>
      <c r="AE464" t="s">
        <v>75</v>
      </c>
      <c r="AF464">
        <v>48</v>
      </c>
      <c r="AG464" t="s">
        <v>77</v>
      </c>
      <c r="AH464" t="s">
        <v>50</v>
      </c>
      <c r="AI464" t="s">
        <v>46</v>
      </c>
      <c r="AJ464" t="s">
        <v>47</v>
      </c>
      <c r="AK464" t="s">
        <v>61</v>
      </c>
      <c r="AL464">
        <v>20</v>
      </c>
      <c r="AM464" t="s">
        <v>46</v>
      </c>
      <c r="AN464" t="s">
        <v>152</v>
      </c>
      <c r="AO464" t="s">
        <v>46</v>
      </c>
      <c r="AP464" t="s">
        <v>63</v>
      </c>
      <c r="AQ464" t="s">
        <v>46</v>
      </c>
      <c r="AR464" t="s">
        <v>50</v>
      </c>
      <c r="AS464" t="s">
        <v>1649</v>
      </c>
      <c r="AT464" t="s">
        <v>63</v>
      </c>
      <c r="AU464" t="s">
        <v>46</v>
      </c>
      <c r="AV464">
        <v>2023</v>
      </c>
      <c r="AW464" t="s">
        <v>46</v>
      </c>
    </row>
    <row r="465" spans="1:49" x14ac:dyDescent="0.2">
      <c r="A465">
        <v>464</v>
      </c>
      <c r="B465" t="s">
        <v>1617</v>
      </c>
      <c r="C465" t="s">
        <v>539</v>
      </c>
      <c r="D465">
        <v>131.82</v>
      </c>
      <c r="E465" t="s">
        <v>42</v>
      </c>
      <c r="F465">
        <v>28.06</v>
      </c>
      <c r="G465">
        <v>28.06</v>
      </c>
      <c r="H465" t="s">
        <v>43</v>
      </c>
      <c r="I465">
        <v>3</v>
      </c>
      <c r="J465">
        <v>5</v>
      </c>
      <c r="K465" t="s">
        <v>530</v>
      </c>
      <c r="L465" t="s">
        <v>540</v>
      </c>
      <c r="M465">
        <v>11.233219999999999</v>
      </c>
      <c r="N465" t="s">
        <v>42</v>
      </c>
      <c r="O465">
        <v>0.48637999999999998</v>
      </c>
      <c r="P465">
        <v>0.48637999999999998</v>
      </c>
      <c r="Q465" t="s">
        <v>43</v>
      </c>
      <c r="R465">
        <v>5</v>
      </c>
      <c r="S465">
        <v>10</v>
      </c>
      <c r="T465" t="s">
        <v>456</v>
      </c>
      <c r="U465" t="s">
        <v>1003</v>
      </c>
      <c r="V465" t="s">
        <v>1620</v>
      </c>
      <c r="W465" t="s">
        <v>1621</v>
      </c>
      <c r="X465" t="s">
        <v>534</v>
      </c>
      <c r="Y465" t="s">
        <v>46</v>
      </c>
      <c r="Z465" t="s">
        <v>46</v>
      </c>
      <c r="AA465" t="s">
        <v>535</v>
      </c>
      <c r="AB465" t="s">
        <v>536</v>
      </c>
      <c r="AC465" t="s">
        <v>38</v>
      </c>
      <c r="AD465" t="s">
        <v>169</v>
      </c>
      <c r="AE465" t="s">
        <v>75</v>
      </c>
      <c r="AF465">
        <v>48</v>
      </c>
      <c r="AG465" t="s">
        <v>77</v>
      </c>
      <c r="AH465" t="s">
        <v>50</v>
      </c>
      <c r="AI465" t="s">
        <v>46</v>
      </c>
      <c r="AJ465" t="s">
        <v>47</v>
      </c>
      <c r="AK465" t="s">
        <v>61</v>
      </c>
      <c r="AL465">
        <v>20</v>
      </c>
      <c r="AM465" t="s">
        <v>46</v>
      </c>
      <c r="AN465" t="s">
        <v>152</v>
      </c>
      <c r="AO465" t="s">
        <v>46</v>
      </c>
      <c r="AP465" t="s">
        <v>63</v>
      </c>
      <c r="AQ465" t="s">
        <v>46</v>
      </c>
      <c r="AR465" t="s">
        <v>50</v>
      </c>
      <c r="AS465" t="s">
        <v>1631</v>
      </c>
      <c r="AT465" t="s">
        <v>63</v>
      </c>
      <c r="AU465" t="s">
        <v>46</v>
      </c>
      <c r="AV465">
        <v>2023</v>
      </c>
      <c r="AW465" t="s">
        <v>46</v>
      </c>
    </row>
    <row r="466" spans="1:49" x14ac:dyDescent="0.2">
      <c r="A466">
        <v>465</v>
      </c>
      <c r="B466" t="s">
        <v>1617</v>
      </c>
      <c r="C466" t="s">
        <v>543</v>
      </c>
      <c r="D466">
        <v>734.91499999999996</v>
      </c>
      <c r="E466" t="s">
        <v>42</v>
      </c>
      <c r="F466">
        <v>83.534999999999997</v>
      </c>
      <c r="G466">
        <v>83.534999999999997</v>
      </c>
      <c r="H466" t="s">
        <v>43</v>
      </c>
      <c r="I466">
        <v>3</v>
      </c>
      <c r="J466">
        <v>5</v>
      </c>
      <c r="K466" t="s">
        <v>530</v>
      </c>
      <c r="L466" t="s">
        <v>544</v>
      </c>
      <c r="M466">
        <v>194.12799999999999</v>
      </c>
      <c r="N466" t="s">
        <v>42</v>
      </c>
      <c r="O466">
        <v>10.081</v>
      </c>
      <c r="P466">
        <v>10.081</v>
      </c>
      <c r="Q466" t="s">
        <v>43</v>
      </c>
      <c r="R466">
        <v>3</v>
      </c>
      <c r="S466">
        <v>10</v>
      </c>
      <c r="T466" t="s">
        <v>952</v>
      </c>
      <c r="U466" t="s">
        <v>1003</v>
      </c>
      <c r="V466" t="s">
        <v>1622</v>
      </c>
      <c r="W466" t="s">
        <v>1623</v>
      </c>
      <c r="X466" t="s">
        <v>534</v>
      </c>
      <c r="Y466" t="s">
        <v>46</v>
      </c>
      <c r="Z466" t="s">
        <v>46</v>
      </c>
      <c r="AA466" t="s">
        <v>535</v>
      </c>
      <c r="AB466" t="s">
        <v>536</v>
      </c>
      <c r="AC466" t="s">
        <v>38</v>
      </c>
      <c r="AD466" t="s">
        <v>169</v>
      </c>
      <c r="AE466" t="s">
        <v>75</v>
      </c>
      <c r="AF466">
        <v>48</v>
      </c>
      <c r="AG466" t="s">
        <v>40</v>
      </c>
      <c r="AH466" t="s">
        <v>50</v>
      </c>
      <c r="AI466" t="s">
        <v>46</v>
      </c>
      <c r="AJ466" t="s">
        <v>47</v>
      </c>
      <c r="AK466" t="s">
        <v>61</v>
      </c>
      <c r="AL466">
        <v>20</v>
      </c>
      <c r="AM466" t="s">
        <v>46</v>
      </c>
      <c r="AN466" t="s">
        <v>152</v>
      </c>
      <c r="AO466" t="s">
        <v>46</v>
      </c>
      <c r="AP466" t="s">
        <v>63</v>
      </c>
      <c r="AQ466" t="s">
        <v>46</v>
      </c>
      <c r="AR466" t="s">
        <v>50</v>
      </c>
      <c r="AS466" t="s">
        <v>1631</v>
      </c>
      <c r="AT466" t="s">
        <v>63</v>
      </c>
      <c r="AU466" t="s">
        <v>46</v>
      </c>
      <c r="AV466">
        <v>2023</v>
      </c>
      <c r="AW466" t="s">
        <v>46</v>
      </c>
    </row>
    <row r="467" spans="1:49" x14ac:dyDescent="0.2">
      <c r="A467">
        <v>466</v>
      </c>
      <c r="B467" t="s">
        <v>1617</v>
      </c>
      <c r="C467" t="s">
        <v>547</v>
      </c>
      <c r="D467" t="s">
        <v>1624</v>
      </c>
      <c r="E467" t="s">
        <v>42</v>
      </c>
      <c r="F467" t="s">
        <v>46</v>
      </c>
      <c r="G467" t="s">
        <v>46</v>
      </c>
      <c r="H467" t="s">
        <v>46</v>
      </c>
      <c r="I467">
        <v>3</v>
      </c>
      <c r="J467">
        <v>5</v>
      </c>
      <c r="K467" t="s">
        <v>530</v>
      </c>
      <c r="L467" t="s">
        <v>548</v>
      </c>
      <c r="M467">
        <v>470.59300000000002</v>
      </c>
      <c r="N467" t="s">
        <v>42</v>
      </c>
      <c r="O467">
        <v>15.773999999999999</v>
      </c>
      <c r="P467">
        <v>15.773999999999999</v>
      </c>
      <c r="Q467" t="s">
        <v>43</v>
      </c>
      <c r="R467">
        <v>3</v>
      </c>
      <c r="S467">
        <v>10</v>
      </c>
      <c r="T467" t="s">
        <v>952</v>
      </c>
      <c r="U467" t="s">
        <v>1003</v>
      </c>
      <c r="V467" t="s">
        <v>1625</v>
      </c>
      <c r="W467" t="s">
        <v>1626</v>
      </c>
      <c r="X467" t="s">
        <v>534</v>
      </c>
      <c r="Y467" t="s">
        <v>46</v>
      </c>
      <c r="Z467" t="s">
        <v>46</v>
      </c>
      <c r="AA467" t="s">
        <v>535</v>
      </c>
      <c r="AB467" t="s">
        <v>536</v>
      </c>
      <c r="AC467" t="s">
        <v>38</v>
      </c>
      <c r="AD467" t="s">
        <v>169</v>
      </c>
      <c r="AE467" t="s">
        <v>75</v>
      </c>
      <c r="AF467">
        <v>48</v>
      </c>
      <c r="AG467" t="s">
        <v>40</v>
      </c>
      <c r="AH467" t="s">
        <v>50</v>
      </c>
      <c r="AI467" t="s">
        <v>46</v>
      </c>
      <c r="AJ467" t="s">
        <v>47</v>
      </c>
      <c r="AK467" t="s">
        <v>61</v>
      </c>
      <c r="AL467">
        <v>20</v>
      </c>
      <c r="AM467" t="s">
        <v>46</v>
      </c>
      <c r="AN467" t="s">
        <v>152</v>
      </c>
      <c r="AO467" t="s">
        <v>46</v>
      </c>
      <c r="AP467" t="s">
        <v>63</v>
      </c>
      <c r="AQ467" t="s">
        <v>46</v>
      </c>
      <c r="AR467" t="s">
        <v>63</v>
      </c>
      <c r="AS467" t="s">
        <v>1631</v>
      </c>
      <c r="AT467" t="s">
        <v>63</v>
      </c>
      <c r="AU467" t="s">
        <v>46</v>
      </c>
      <c r="AV467">
        <v>2023</v>
      </c>
      <c r="AW467" t="s">
        <v>46</v>
      </c>
    </row>
  </sheetData>
  <phoneticPr fontId="1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2023-04-27T15:36:32Z</dcterms:created>
  <dcterms:modified xsi:type="dcterms:W3CDTF">2023-06-02T10:37:41Z</dcterms:modified>
</cp:coreProperties>
</file>