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stevens0-my.sharepoint.com/personal/gonelli_stevens_edu/Documents/E 355 (Economics)/"/>
    </mc:Choice>
  </mc:AlternateContent>
  <xr:revisionPtr revIDLastSave="54" documentId="8_{0157CF9E-36C6-4CB8-96D8-AEF8D8095C21}" xr6:coauthVersionLast="46" xr6:coauthVersionMax="46" xr10:uidLastSave="{C169826F-15E0-4B2F-AFE9-C9E32E9FF022}"/>
  <bookViews>
    <workbookView xWindow="-108" yWindow="-108" windowWidth="23256" windowHeight="12576" tabRatio="993" xr2:uid="{00000000-000D-0000-FFFF-FFFF00000000}"/>
  </bookViews>
  <sheets>
    <sheet name="Lab 7 Questions" sheetId="13" r:id="rId1"/>
    <sheet name="Introduction" sheetId="3" r:id="rId2"/>
    <sheet name="Initial Inputs" sheetId="4" r:id="rId3"/>
    <sheet name="Income" sheetId="5" r:id="rId4"/>
    <sheet name="Mortgage" sheetId="6" r:id="rId5"/>
    <sheet name="Expenses" sheetId="7" r:id="rId6"/>
    <sheet name="Cap &amp; Depr" sheetId="8" r:id="rId7"/>
    <sheet name="AT Analysis" sheetId="9" r:id="rId8"/>
    <sheet name="Summary" sheetId="10" r:id="rId9"/>
    <sheet name="Sensitivity" sheetId="11" r:id="rId10"/>
  </sheets>
  <definedNames>
    <definedName name="_xlnm.Print_Area" localSheetId="3">Income!$A$1:$C$19</definedName>
    <definedName name="_xlnm.Print_Area" localSheetId="1">Introduction!$A$1:$M$32</definedName>
    <definedName name="_xlnm.Print_Area" localSheetId="4">Mortgage!$A$1:$L$33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6" i="13" l="1"/>
  <c r="U7" i="9"/>
  <c r="F7" i="11"/>
  <c r="F8" i="11" s="1"/>
  <c r="F9" i="11" s="1"/>
  <c r="E9" i="11" l="1"/>
  <c r="E8" i="11"/>
  <c r="H7" i="11"/>
  <c r="E7" i="11"/>
  <c r="H6" i="11"/>
  <c r="E6" i="11"/>
  <c r="B7" i="10"/>
  <c r="X26" i="9"/>
  <c r="W26" i="9"/>
  <c r="V26" i="9"/>
  <c r="U26" i="9"/>
  <c r="T26" i="9"/>
  <c r="S26" i="9"/>
  <c r="R26" i="9"/>
  <c r="Q26" i="9"/>
  <c r="P26" i="9"/>
  <c r="O26" i="9"/>
  <c r="N26" i="9"/>
  <c r="M26" i="9"/>
  <c r="L26" i="9"/>
  <c r="K26" i="9"/>
  <c r="J26" i="9"/>
  <c r="I26" i="9"/>
  <c r="H26" i="9"/>
  <c r="G26" i="9"/>
  <c r="F26" i="9"/>
  <c r="E26" i="9"/>
  <c r="D26" i="9"/>
  <c r="Y21" i="9"/>
  <c r="D19" i="9"/>
  <c r="D18" i="9"/>
  <c r="D14" i="9"/>
  <c r="Y12" i="9"/>
  <c r="D6" i="9"/>
  <c r="B5" i="9"/>
  <c r="B6" i="9" s="1"/>
  <c r="B7" i="9" s="1"/>
  <c r="B8" i="9" s="1"/>
  <c r="B9" i="9" s="1"/>
  <c r="B10" i="9" s="1"/>
  <c r="B11" i="9" s="1"/>
  <c r="B12" i="9" s="1"/>
  <c r="B13" i="9" s="1"/>
  <c r="B14" i="9" s="1"/>
  <c r="B15" i="9" s="1"/>
  <c r="B17" i="9" s="1"/>
  <c r="B21" i="9" s="1"/>
  <c r="B22" i="9" s="1"/>
  <c r="B23" i="9" s="1"/>
  <c r="B25" i="9" s="1"/>
  <c r="B26" i="9" s="1"/>
  <c r="B27" i="9" s="1"/>
  <c r="B28" i="9" s="1"/>
  <c r="M22" i="8"/>
  <c r="M16" i="8"/>
  <c r="F12" i="8"/>
  <c r="D44" i="8" s="1"/>
  <c r="C16" i="7"/>
  <c r="C18" i="7" s="1"/>
  <c r="E5" i="9" s="1"/>
  <c r="F5" i="9" s="1"/>
  <c r="G5" i="9" s="1"/>
  <c r="H5" i="9" s="1"/>
  <c r="I5" i="9" s="1"/>
  <c r="J5" i="9" s="1"/>
  <c r="K5" i="9" s="1"/>
  <c r="L5" i="9" s="1"/>
  <c r="M5" i="9" s="1"/>
  <c r="N5" i="9" s="1"/>
  <c r="O5" i="9" s="1"/>
  <c r="P5" i="9" s="1"/>
  <c r="Q5" i="9" s="1"/>
  <c r="R5" i="9" s="1"/>
  <c r="S5" i="9" s="1"/>
  <c r="T5" i="9" s="1"/>
  <c r="U5" i="9" s="1"/>
  <c r="V5" i="9" s="1"/>
  <c r="W5" i="9" s="1"/>
  <c r="X5" i="9" s="1"/>
  <c r="C9" i="5"/>
  <c r="C11" i="5" s="1"/>
  <c r="C16" i="4"/>
  <c r="F9" i="8" s="1"/>
  <c r="I23" i="8" s="1"/>
  <c r="K24" i="8" s="1"/>
  <c r="C11" i="4"/>
  <c r="F8" i="8" s="1"/>
  <c r="C29" i="8" l="1"/>
  <c r="I7" i="11"/>
  <c r="I6" i="11"/>
  <c r="I18" i="8"/>
  <c r="I16" i="8"/>
  <c r="E4" i="9"/>
  <c r="C18" i="4"/>
  <c r="K22" i="8"/>
  <c r="D32" i="8"/>
  <c r="D40" i="8"/>
  <c r="D48" i="8"/>
  <c r="D34" i="8"/>
  <c r="D42" i="8"/>
  <c r="D36" i="8"/>
  <c r="I24" i="8"/>
  <c r="I22" i="8"/>
  <c r="I25" i="8"/>
  <c r="X19" i="9" s="1"/>
  <c r="Y19" i="9" s="1"/>
  <c r="Y5" i="9"/>
  <c r="C27" i="7"/>
  <c r="D45" i="8"/>
  <c r="D41" i="8"/>
  <c r="D37" i="8"/>
  <c r="D33" i="8"/>
  <c r="D29" i="8"/>
  <c r="F13" i="8"/>
  <c r="D47" i="8"/>
  <c r="D43" i="8"/>
  <c r="D39" i="8"/>
  <c r="D35" i="8"/>
  <c r="D31" i="8"/>
  <c r="D30" i="8"/>
  <c r="D38" i="8"/>
  <c r="D46" i="8"/>
  <c r="D8" i="9"/>
  <c r="E4" i="6" l="1"/>
  <c r="D20" i="9" s="1"/>
  <c r="B11" i="10"/>
  <c r="D10" i="9"/>
  <c r="W7" i="9"/>
  <c r="W14" i="9" s="1"/>
  <c r="S7" i="9"/>
  <c r="S14" i="9" s="1"/>
  <c r="O7" i="9"/>
  <c r="O14" i="9" s="1"/>
  <c r="K7" i="9"/>
  <c r="K14" i="9" s="1"/>
  <c r="G7" i="9"/>
  <c r="G14" i="9" s="1"/>
  <c r="V7" i="9"/>
  <c r="V14" i="9" s="1"/>
  <c r="R7" i="9"/>
  <c r="R14" i="9" s="1"/>
  <c r="U14" i="9"/>
  <c r="Q7" i="9"/>
  <c r="Q14" i="9" s="1"/>
  <c r="T7" i="9"/>
  <c r="T14" i="9" s="1"/>
  <c r="L7" i="9"/>
  <c r="L14" i="9" s="1"/>
  <c r="F7" i="9"/>
  <c r="F14" i="9" s="1"/>
  <c r="E48" i="8"/>
  <c r="E44" i="8"/>
  <c r="E40" i="8"/>
  <c r="E36" i="8"/>
  <c r="E32" i="8"/>
  <c r="N7" i="9"/>
  <c r="N14" i="9" s="1"/>
  <c r="I7" i="9"/>
  <c r="I14" i="9" s="1"/>
  <c r="E46" i="8"/>
  <c r="E42" i="8"/>
  <c r="E38" i="8"/>
  <c r="E34" i="8"/>
  <c r="E30" i="8"/>
  <c r="P7" i="9"/>
  <c r="P14" i="9" s="1"/>
  <c r="E7" i="9"/>
  <c r="E41" i="8"/>
  <c r="E33" i="8"/>
  <c r="M7" i="9"/>
  <c r="M14" i="9" s="1"/>
  <c r="E47" i="8"/>
  <c r="E39" i="8"/>
  <c r="E31" i="8"/>
  <c r="J7" i="9"/>
  <c r="J14" i="9" s="1"/>
  <c r="E45" i="8"/>
  <c r="E37" i="8"/>
  <c r="E29" i="8"/>
  <c r="X7" i="9"/>
  <c r="X14" i="9" s="1"/>
  <c r="H7" i="9"/>
  <c r="H14" i="9" s="1"/>
  <c r="E43" i="8"/>
  <c r="E35" i="8"/>
  <c r="F4" i="9"/>
  <c r="E6" i="9"/>
  <c r="H8" i="11"/>
  <c r="I8" i="11" s="1"/>
  <c r="H9" i="11"/>
  <c r="I9" i="11" s="1"/>
  <c r="C9" i="6" l="1"/>
  <c r="E9" i="6" s="1"/>
  <c r="F6" i="9"/>
  <c r="F8" i="9" s="1"/>
  <c r="G4" i="9"/>
  <c r="E14" i="9"/>
  <c r="Y14" i="9" s="1"/>
  <c r="Y7" i="9"/>
  <c r="F29" i="8"/>
  <c r="G29" i="8" s="1"/>
  <c r="C30" i="8" s="1"/>
  <c r="E49" i="8"/>
  <c r="D13" i="9"/>
  <c r="Y20" i="9"/>
  <c r="E8" i="9"/>
  <c r="D9" i="6" l="1"/>
  <c r="C28" i="7" s="1"/>
  <c r="C29" i="7" s="1"/>
  <c r="C22" i="7" s="1"/>
  <c r="F30" i="8"/>
  <c r="G30" i="8" s="1"/>
  <c r="C31" i="8" s="1"/>
  <c r="E9" i="9"/>
  <c r="E10" i="9" s="1"/>
  <c r="D15" i="9"/>
  <c r="G6" i="9"/>
  <c r="H4" i="9"/>
  <c r="F31" i="8" l="1"/>
  <c r="F32" i="8" s="1"/>
  <c r="D10" i="6"/>
  <c r="D11" i="6" s="1"/>
  <c r="F9" i="6"/>
  <c r="E17" i="9" s="1"/>
  <c r="G8" i="9"/>
  <c r="E11" i="9"/>
  <c r="E13" i="9" s="1"/>
  <c r="X22" i="9"/>
  <c r="D22" i="9"/>
  <c r="H6" i="9"/>
  <c r="H8" i="9" s="1"/>
  <c r="I4" i="9"/>
  <c r="G31" i="8" l="1"/>
  <c r="C32" i="8" s="1"/>
  <c r="G9" i="6"/>
  <c r="C10" i="6" s="1"/>
  <c r="E10" i="6" s="1"/>
  <c r="E15" i="9"/>
  <c r="D12" i="6"/>
  <c r="G32" i="8"/>
  <c r="C33" i="8" s="1"/>
  <c r="F33" i="8"/>
  <c r="E23" i="9"/>
  <c r="J4" i="9"/>
  <c r="I6" i="9"/>
  <c r="I8" i="9" s="1"/>
  <c r="Y22" i="9"/>
  <c r="D23" i="9"/>
  <c r="D25" i="9" s="1"/>
  <c r="E25" i="9" l="1"/>
  <c r="E27" i="9" s="1"/>
  <c r="G33" i="8"/>
  <c r="C34" i="8" s="1"/>
  <c r="F34" i="8"/>
  <c r="F9" i="9"/>
  <c r="F10" i="6"/>
  <c r="D27" i="9"/>
  <c r="J6" i="9"/>
  <c r="K4" i="9"/>
  <c r="D13" i="6"/>
  <c r="D14" i="6" l="1"/>
  <c r="D28" i="9"/>
  <c r="E28" i="9" s="1"/>
  <c r="F10" i="9"/>
  <c r="G34" i="8"/>
  <c r="C35" i="8" s="1"/>
  <c r="F35" i="8"/>
  <c r="L4" i="9"/>
  <c r="K6" i="9"/>
  <c r="K8" i="9" s="1"/>
  <c r="J8" i="9"/>
  <c r="F17" i="9"/>
  <c r="G10" i="6"/>
  <c r="C11" i="6" s="1"/>
  <c r="G35" i="8" l="1"/>
  <c r="C36" i="8" s="1"/>
  <c r="F36" i="8"/>
  <c r="L6" i="9"/>
  <c r="L8" i="9" s="1"/>
  <c r="M4" i="9"/>
  <c r="F23" i="9"/>
  <c r="E11" i="6"/>
  <c r="D15" i="6"/>
  <c r="F11" i="9"/>
  <c r="M6" i="9" l="1"/>
  <c r="M8" i="9" s="1"/>
  <c r="N4" i="9"/>
  <c r="F13" i="9"/>
  <c r="G36" i="8"/>
  <c r="C37" i="8" s="1"/>
  <c r="F37" i="8"/>
  <c r="G9" i="9"/>
  <c r="F11" i="6"/>
  <c r="D16" i="6"/>
  <c r="F15" i="9" l="1"/>
  <c r="F25" i="9" s="1"/>
  <c r="G10" i="9"/>
  <c r="O4" i="9"/>
  <c r="N6" i="9"/>
  <c r="N8" i="9" s="1"/>
  <c r="G37" i="8"/>
  <c r="C38" i="8" s="1"/>
  <c r="F38" i="8"/>
  <c r="D17" i="6"/>
  <c r="G17" i="9"/>
  <c r="G11" i="6"/>
  <c r="C12" i="6" s="1"/>
  <c r="G38" i="8" l="1"/>
  <c r="C39" i="8" s="1"/>
  <c r="F39" i="8"/>
  <c r="G23" i="9"/>
  <c r="G11" i="9"/>
  <c r="E12" i="6"/>
  <c r="D18" i="6"/>
  <c r="O6" i="9"/>
  <c r="O8" i="9" s="1"/>
  <c r="P4" i="9"/>
  <c r="F27" i="9"/>
  <c r="F28" i="9" l="1"/>
  <c r="Q4" i="9"/>
  <c r="P6" i="9"/>
  <c r="P8" i="9" s="1"/>
  <c r="H9" i="9"/>
  <c r="F12" i="6"/>
  <c r="G39" i="8"/>
  <c r="C40" i="8" s="1"/>
  <c r="F40" i="8"/>
  <c r="D19" i="6"/>
  <c r="G13" i="9"/>
  <c r="D20" i="6" l="1"/>
  <c r="G40" i="8"/>
  <c r="C41" i="8" s="1"/>
  <c r="F41" i="8"/>
  <c r="H17" i="9"/>
  <c r="G12" i="6"/>
  <c r="C13" i="6" s="1"/>
  <c r="G15" i="9"/>
  <c r="G25" i="9" s="1"/>
  <c r="Q6" i="9"/>
  <c r="Q8" i="9" s="1"/>
  <c r="R4" i="9"/>
  <c r="H10" i="9"/>
  <c r="E13" i="6" l="1"/>
  <c r="D21" i="6"/>
  <c r="G27" i="9"/>
  <c r="H11" i="9"/>
  <c r="H13" i="9" s="1"/>
  <c r="H23" i="9"/>
  <c r="R6" i="9"/>
  <c r="R8" i="9" s="1"/>
  <c r="S4" i="9"/>
  <c r="G41" i="8"/>
  <c r="C42" i="8" s="1"/>
  <c r="F42" i="8"/>
  <c r="H15" i="9" l="1"/>
  <c r="H25" i="9" s="1"/>
  <c r="D22" i="6"/>
  <c r="T4" i="9"/>
  <c r="S6" i="9"/>
  <c r="S8" i="9" s="1"/>
  <c r="G28" i="9"/>
  <c r="I9" i="9"/>
  <c r="I10" i="9" s="1"/>
  <c r="F13" i="6"/>
  <c r="G42" i="8"/>
  <c r="C43" i="8" s="1"/>
  <c r="F43" i="8"/>
  <c r="H27" i="9" l="1"/>
  <c r="H28" i="9" s="1"/>
  <c r="I17" i="9"/>
  <c r="G13" i="6"/>
  <c r="C14" i="6" s="1"/>
  <c r="I11" i="9"/>
  <c r="I13" i="9" s="1"/>
  <c r="I15" i="9" s="1"/>
  <c r="G43" i="8"/>
  <c r="C44" i="8" s="1"/>
  <c r="F44" i="8"/>
  <c r="U4" i="9"/>
  <c r="T6" i="9"/>
  <c r="T8" i="9" s="1"/>
  <c r="D23" i="6"/>
  <c r="I23" i="9" l="1"/>
  <c r="I25" i="9" s="1"/>
  <c r="D24" i="6"/>
  <c r="G44" i="8"/>
  <c r="C45" i="8" s="1"/>
  <c r="F45" i="8"/>
  <c r="E14" i="6"/>
  <c r="U6" i="9"/>
  <c r="U8" i="9" s="1"/>
  <c r="V4" i="9"/>
  <c r="W4" i="9" l="1"/>
  <c r="V6" i="9"/>
  <c r="V8" i="9" s="1"/>
  <c r="G45" i="8"/>
  <c r="C46" i="8" s="1"/>
  <c r="F46" i="8"/>
  <c r="D25" i="6"/>
  <c r="I27" i="9"/>
  <c r="I28" i="9" s="1"/>
  <c r="J9" i="9"/>
  <c r="J10" i="9" s="1"/>
  <c r="F14" i="6"/>
  <c r="J17" i="9" l="1"/>
  <c r="J23" i="9" s="1"/>
  <c r="G14" i="6"/>
  <c r="C15" i="6" s="1"/>
  <c r="J11" i="9"/>
  <c r="J13" i="9" s="1"/>
  <c r="J15" i="9" s="1"/>
  <c r="D26" i="6"/>
  <c r="W6" i="9"/>
  <c r="W8" i="9" s="1"/>
  <c r="X4" i="9"/>
  <c r="G46" i="8"/>
  <c r="C47" i="8" s="1"/>
  <c r="F47" i="8"/>
  <c r="B12" i="10" l="1"/>
  <c r="E37" i="13" s="1"/>
  <c r="X6" i="9"/>
  <c r="Y4" i="9"/>
  <c r="G47" i="8"/>
  <c r="C48" i="8" s="1"/>
  <c r="F48" i="8"/>
  <c r="G48" i="8" s="1"/>
  <c r="D27" i="6"/>
  <c r="E15" i="6"/>
  <c r="J25" i="9"/>
  <c r="J27" i="9" s="1"/>
  <c r="J28" i="9" s="1"/>
  <c r="K9" i="9" l="1"/>
  <c r="K10" i="9" s="1"/>
  <c r="F15" i="6"/>
  <c r="K16" i="8"/>
  <c r="I17" i="8"/>
  <c r="D28" i="6"/>
  <c r="X8" i="9"/>
  <c r="Y6" i="9"/>
  <c r="K18" i="8" l="1"/>
  <c r="I19" i="8"/>
  <c r="X18" i="9" s="1"/>
  <c r="Y18" i="9" s="1"/>
  <c r="Y8" i="9"/>
  <c r="K17" i="9"/>
  <c r="K23" i="9" s="1"/>
  <c r="G15" i="6"/>
  <c r="C16" i="6" s="1"/>
  <c r="K11" i="9"/>
  <c r="K13" i="9" s="1"/>
  <c r="K15" i="9" s="1"/>
  <c r="E16" i="6" l="1"/>
  <c r="K25" i="9"/>
  <c r="K27" i="9" s="1"/>
  <c r="K28" i="9" s="1"/>
  <c r="L9" i="9" l="1"/>
  <c r="L10" i="9" s="1"/>
  <c r="F16" i="6"/>
  <c r="L17" i="9" l="1"/>
  <c r="L23" i="9" s="1"/>
  <c r="G16" i="6"/>
  <c r="C17" i="6" s="1"/>
  <c r="L11" i="9"/>
  <c r="L13" i="9" s="1"/>
  <c r="L15" i="9" s="1"/>
  <c r="E17" i="6" l="1"/>
  <c r="L25" i="9"/>
  <c r="L27" i="9" s="1"/>
  <c r="L28" i="9" s="1"/>
  <c r="M9" i="9" l="1"/>
  <c r="M10" i="9" s="1"/>
  <c r="F17" i="6"/>
  <c r="M17" i="9" l="1"/>
  <c r="M23" i="9" s="1"/>
  <c r="G17" i="6"/>
  <c r="C18" i="6" s="1"/>
  <c r="M11" i="9"/>
  <c r="M13" i="9" s="1"/>
  <c r="M15" i="9" s="1"/>
  <c r="E18" i="6" l="1"/>
  <c r="M25" i="9"/>
  <c r="M27" i="9" s="1"/>
  <c r="M28" i="9" s="1"/>
  <c r="N9" i="9" l="1"/>
  <c r="N10" i="9" s="1"/>
  <c r="F18" i="6"/>
  <c r="N11" i="9" l="1"/>
  <c r="N13" i="9" s="1"/>
  <c r="N15" i="9" s="1"/>
  <c r="N17" i="9"/>
  <c r="N23" i="9" s="1"/>
  <c r="G18" i="6"/>
  <c r="C19" i="6" s="1"/>
  <c r="N25" i="9" l="1"/>
  <c r="N27" i="9" s="1"/>
  <c r="N28" i="9" s="1"/>
  <c r="E19" i="6"/>
  <c r="O9" i="9" l="1"/>
  <c r="O10" i="9" s="1"/>
  <c r="F19" i="6"/>
  <c r="O17" i="9" l="1"/>
  <c r="O23" i="9" s="1"/>
  <c r="G19" i="6"/>
  <c r="C20" i="6" s="1"/>
  <c r="O11" i="9"/>
  <c r="O13" i="9" s="1"/>
  <c r="O15" i="9" s="1"/>
  <c r="O25" i="9" l="1"/>
  <c r="O27" i="9" s="1"/>
  <c r="O28" i="9" s="1"/>
  <c r="E20" i="6"/>
  <c r="P9" i="9" l="1"/>
  <c r="P10" i="9" s="1"/>
  <c r="F20" i="6"/>
  <c r="P17" i="9" l="1"/>
  <c r="P23" i="9" s="1"/>
  <c r="G20" i="6"/>
  <c r="C21" i="6" s="1"/>
  <c r="P11" i="9"/>
  <c r="P13" i="9" s="1"/>
  <c r="P15" i="9" s="1"/>
  <c r="E21" i="6" l="1"/>
  <c r="P25" i="9"/>
  <c r="P27" i="9" s="1"/>
  <c r="P28" i="9" s="1"/>
  <c r="Q9" i="9" l="1"/>
  <c r="Q10" i="9" s="1"/>
  <c r="F21" i="6"/>
  <c r="Q11" i="9" l="1"/>
  <c r="Q13" i="9" s="1"/>
  <c r="Q15" i="9" s="1"/>
  <c r="Q17" i="9"/>
  <c r="Q23" i="9" s="1"/>
  <c r="G21" i="6"/>
  <c r="C22" i="6" s="1"/>
  <c r="E22" i="6" l="1"/>
  <c r="Q25" i="9"/>
  <c r="Q27" i="9" s="1"/>
  <c r="Q28" i="9" s="1"/>
  <c r="R9" i="9" l="1"/>
  <c r="R10" i="9" s="1"/>
  <c r="F22" i="6"/>
  <c r="R17" i="9" l="1"/>
  <c r="R23" i="9" s="1"/>
  <c r="G22" i="6"/>
  <c r="C23" i="6" s="1"/>
  <c r="R11" i="9"/>
  <c r="R13" i="9" s="1"/>
  <c r="R15" i="9" s="1"/>
  <c r="E23" i="6" l="1"/>
  <c r="R25" i="9"/>
  <c r="R27" i="9" s="1"/>
  <c r="R28" i="9" s="1"/>
  <c r="S9" i="9" l="1"/>
  <c r="S10" i="9" s="1"/>
  <c r="F23" i="6"/>
  <c r="S17" i="9" l="1"/>
  <c r="S23" i="9" s="1"/>
  <c r="G23" i="6"/>
  <c r="C24" i="6" s="1"/>
  <c r="S11" i="9"/>
  <c r="S13" i="9" s="1"/>
  <c r="S15" i="9" s="1"/>
  <c r="S25" i="9" l="1"/>
  <c r="S27" i="9" s="1"/>
  <c r="S28" i="9" s="1"/>
  <c r="E24" i="6"/>
  <c r="T9" i="9" l="1"/>
  <c r="T10" i="9" s="1"/>
  <c r="F24" i="6"/>
  <c r="T11" i="9" l="1"/>
  <c r="T13" i="9" s="1"/>
  <c r="T15" i="9" s="1"/>
  <c r="T17" i="9"/>
  <c r="T23" i="9" s="1"/>
  <c r="G24" i="6"/>
  <c r="C25" i="6" s="1"/>
  <c r="E25" i="6" l="1"/>
  <c r="T25" i="9"/>
  <c r="T27" i="9" s="1"/>
  <c r="T28" i="9" s="1"/>
  <c r="U9" i="9" l="1"/>
  <c r="U10" i="9" s="1"/>
  <c r="F25" i="6"/>
  <c r="U17" i="9" l="1"/>
  <c r="U23" i="9" s="1"/>
  <c r="G25" i="6"/>
  <c r="C26" i="6" s="1"/>
  <c r="U11" i="9"/>
  <c r="U13" i="9" s="1"/>
  <c r="U15" i="9" s="1"/>
  <c r="E26" i="6" l="1"/>
  <c r="U25" i="9"/>
  <c r="U27" i="9" s="1"/>
  <c r="U28" i="9" s="1"/>
  <c r="V9" i="9" l="1"/>
  <c r="V10" i="9" s="1"/>
  <c r="F26" i="6"/>
  <c r="V17" i="9" l="1"/>
  <c r="V23" i="9" s="1"/>
  <c r="G26" i="6"/>
  <c r="C27" i="6" s="1"/>
  <c r="V11" i="9"/>
  <c r="V13" i="9" s="1"/>
  <c r="V15" i="9" s="1"/>
  <c r="V25" i="9" l="1"/>
  <c r="V27" i="9" s="1"/>
  <c r="V28" i="9" s="1"/>
  <c r="E27" i="6"/>
  <c r="W9" i="9" l="1"/>
  <c r="W10" i="9" s="1"/>
  <c r="F27" i="6"/>
  <c r="W17" i="9" l="1"/>
  <c r="W23" i="9" s="1"/>
  <c r="G27" i="6"/>
  <c r="C28" i="6" s="1"/>
  <c r="W11" i="9"/>
  <c r="W13" i="9" s="1"/>
  <c r="W15" i="9" s="1"/>
  <c r="W25" i="9" l="1"/>
  <c r="W27" i="9" s="1"/>
  <c r="W28" i="9" s="1"/>
  <c r="E28" i="6"/>
  <c r="X9" i="9" l="1"/>
  <c r="E29" i="6"/>
  <c r="F28" i="6"/>
  <c r="X17" i="9" l="1"/>
  <c r="F29" i="6"/>
  <c r="G28" i="6"/>
  <c r="Y9" i="9"/>
  <c r="X10" i="9"/>
  <c r="X11" i="9" l="1"/>
  <c r="Y11" i="9" s="1"/>
  <c r="Y10" i="9"/>
  <c r="X23" i="9"/>
  <c r="Y17" i="9"/>
  <c r="Y23" i="9" s="1"/>
  <c r="X13" i="9" l="1"/>
  <c r="X15" i="9" l="1"/>
  <c r="X25" i="9" s="1"/>
  <c r="Y13" i="9"/>
  <c r="Y15" i="9" s="1"/>
  <c r="X27" i="9" l="1"/>
  <c r="C33" i="9"/>
  <c r="B5" i="10" s="1"/>
  <c r="Y25" i="9"/>
  <c r="E36" i="13" l="1"/>
  <c r="E25" i="13"/>
  <c r="Y27" i="9"/>
  <c r="B3" i="10" s="1"/>
  <c r="X28" i="9"/>
  <c r="E35" i="13" l="1"/>
  <c r="E24" i="13"/>
</calcChain>
</file>

<file path=xl/sharedStrings.xml><?xml version="1.0" encoding="utf-8"?>
<sst xmlns="http://schemas.openxmlformats.org/spreadsheetml/2006/main" count="288" uniqueCount="233">
  <si>
    <t>Lab #7</t>
  </si>
  <si>
    <t>Initial Inputs Worksheet</t>
  </si>
  <si>
    <t>Introduction</t>
  </si>
  <si>
    <t>Instructions</t>
  </si>
  <si>
    <t>Income Worksheet</t>
  </si>
  <si>
    <t>Expenses Worksheet</t>
  </si>
  <si>
    <t>Mortgage Worksheet</t>
  </si>
  <si>
    <t>Insurance</t>
  </si>
  <si>
    <t>Utilities: Water / Sewage</t>
  </si>
  <si>
    <t>Utilities: Gas / Heat *</t>
  </si>
  <si>
    <t>Utilities: Electricity *</t>
  </si>
  <si>
    <t>Commissions</t>
  </si>
  <si>
    <t>Professional Fees</t>
  </si>
  <si>
    <t>Management Fees</t>
  </si>
  <si>
    <t>Property Taxes</t>
  </si>
  <si>
    <t>Trash Removal</t>
  </si>
  <si>
    <t>Repairs</t>
  </si>
  <si>
    <t>Capital and Depreciation Worksheet</t>
  </si>
  <si>
    <t>Question</t>
  </si>
  <si>
    <t>Parameter Changes</t>
  </si>
  <si>
    <t>FOMs and Acceptance Criteria</t>
  </si>
  <si>
    <t>NPV</t>
  </si>
  <si>
    <t>IRR</t>
  </si>
  <si>
    <t>Cap Rate EOY 20</t>
  </si>
  <si>
    <t>Part II</t>
  </si>
  <si>
    <t>Min: Positive</t>
  </si>
  <si>
    <t>Max : 11%</t>
  </si>
  <si>
    <t>Name:</t>
  </si>
  <si>
    <t>Change the Rent Growth rate to 5%</t>
  </si>
  <si>
    <t>Change the Expense Growth rate to 7%</t>
  </si>
  <si>
    <t>Use the Real Estate model you created in Part I of this lab to answer these questions.  Answer them directly on this document.  When you are done, submit this completed document AND your Real Estate Model spreadsheet via Canvas.</t>
  </si>
  <si>
    <t>You may wish to review the Lab7 Introduction PowerPoint and MP4 presentations.</t>
  </si>
  <si>
    <t>Change the Occupancy rate to 70%</t>
  </si>
  <si>
    <t xml:space="preserve">Use 2 digits in your answers or risk loss of points! Percentages responses should be correctly formated! </t>
  </si>
  <si>
    <t xml:space="preserve">Note that a low (below 8%) EOY 20 cap rate is attractive to you as the seller, but may make it difficult for you to find a buyer. </t>
  </si>
  <si>
    <t>Questions</t>
  </si>
  <si>
    <r>
      <rPr>
        <b/>
        <sz val="10"/>
        <rFont val="Arial"/>
        <family val="2"/>
        <charset val="1"/>
      </rPr>
      <t>7.</t>
    </r>
    <r>
      <rPr>
        <sz val="10"/>
        <rFont val="Arial"/>
        <family val="2"/>
        <charset val="1"/>
      </rPr>
      <t xml:space="preserve">  Sensitivity Analysis summary and ranking.</t>
    </r>
  </si>
  <si>
    <r>
      <rPr>
        <b/>
        <sz val="10"/>
        <rFont val="Arial"/>
        <family val="2"/>
        <charset val="1"/>
      </rPr>
      <t>1.</t>
    </r>
    <r>
      <rPr>
        <sz val="10"/>
        <rFont val="Arial"/>
        <family val="2"/>
        <charset val="1"/>
      </rPr>
      <t xml:space="preserve">	The model as you set it up in Part I represents the Base Case.  Look at the Figures of Merit (FoMs) that result from this model.  Enter your NPV, IRR, and EOY 0 Cap Rates into the table below.  For each of the three FoMs, enter Yes or No in the box below it to indicate whether it is acceptable.</t>
    </r>
  </si>
  <si>
    <t>a.	Enter the Sensitivity Ratios you calculated in questions 3 to 6 into the table below:
(If you filled in the table under the Sensitivity Analysis tab, the calculation was done for you)</t>
  </si>
  <si>
    <t>NOTE:  As a buyer, you will seek a minimum cap rate of 8%.</t>
  </si>
  <si>
    <t>Parameter</t>
  </si>
  <si>
    <t>Sensitivity Ratio</t>
  </si>
  <si>
    <t>Figures of Merit</t>
  </si>
  <si>
    <t>Base Case Values</t>
  </si>
  <si>
    <t>Acceptance Criteria – As Buyer EOY 0</t>
  </si>
  <si>
    <t>Rental Income Growth</t>
  </si>
  <si>
    <t>* Use 2 digits of significance</t>
  </si>
  <si>
    <t>Expense Growth</t>
  </si>
  <si>
    <t>Minimum: Positive Value</t>
  </si>
  <si>
    <t>Land/Building Appreciation</t>
  </si>
  <si>
    <t>Occupancy Rate</t>
  </si>
  <si>
    <t>CAP Rate EOY 0</t>
  </si>
  <si>
    <t>Minimum: 8%</t>
  </si>
  <si>
    <t xml:space="preserve">The parameter with the highest sensitivity ratio would represent the greatest risk due to an inaccurate prediction, because a small change for good or bad can have a large impact on the profitability of the investment.  </t>
  </si>
  <si>
    <r>
      <rPr>
        <b/>
        <sz val="10"/>
        <rFont val="Arial"/>
        <family val="2"/>
        <charset val="1"/>
      </rPr>
      <t>NOTE</t>
    </r>
    <r>
      <rPr>
        <sz val="10"/>
        <rFont val="Arial"/>
        <family val="2"/>
        <charset val="1"/>
      </rPr>
      <t xml:space="preserve">: For questions 2-8, you are answering as the </t>
    </r>
    <r>
      <rPr>
        <b/>
        <sz val="10"/>
        <rFont val="Arial"/>
        <family val="2"/>
        <charset val="1"/>
      </rPr>
      <t>Seller</t>
    </r>
    <r>
      <rPr>
        <sz val="10"/>
        <rFont val="Arial"/>
        <family val="2"/>
        <charset val="1"/>
      </rPr>
      <t xml:space="preserve">, at the end of year 20. The seller will seek a maximum cap rate of 11%.  </t>
    </r>
  </si>
  <si>
    <r>
      <rPr>
        <b/>
        <sz val="10"/>
        <rFont val="Arial"/>
        <family val="2"/>
        <charset val="1"/>
      </rPr>
      <t>2.</t>
    </r>
    <r>
      <rPr>
        <sz val="10"/>
        <rFont val="Arial"/>
        <family val="2"/>
        <charset val="1"/>
      </rPr>
      <t xml:space="preserve">	Base Case, from the seller’s perspective. Look at the FoMs that you used to answer question 1, but now consider the Cap Rate at EOY 20.  Fill in the Accept/Reject boxes for the FoMs with </t>
    </r>
    <r>
      <rPr>
        <b/>
        <sz val="10"/>
        <rFont val="Arial"/>
        <family val="2"/>
        <charset val="1"/>
      </rPr>
      <t>Yes</t>
    </r>
    <r>
      <rPr>
        <sz val="10"/>
        <rFont val="Arial"/>
        <family val="2"/>
        <charset val="1"/>
      </rPr>
      <t xml:space="preserve"> or </t>
    </r>
    <r>
      <rPr>
        <b/>
        <sz val="10"/>
        <rFont val="Arial"/>
        <family val="2"/>
        <charset val="1"/>
      </rPr>
      <t>No</t>
    </r>
    <r>
      <rPr>
        <sz val="10"/>
        <rFont val="Arial"/>
        <family val="2"/>
        <charset val="1"/>
      </rPr>
      <t>.</t>
    </r>
  </si>
  <si>
    <t xml:space="preserve">b. Which parameter is the most sensitive in your model? </t>
  </si>
  <si>
    <t>Answer:</t>
  </si>
  <si>
    <t>Worst Case Scenario</t>
  </si>
  <si>
    <t>Maximum: 11%</t>
  </si>
  <si>
    <t>Parameters to change</t>
  </si>
  <si>
    <t>Rent Growth rate: 5%</t>
  </si>
  <si>
    <r>
      <rPr>
        <b/>
        <sz val="10"/>
        <rFont val="Arial"/>
        <family val="2"/>
        <charset val="1"/>
      </rPr>
      <t xml:space="preserve">NOTE: </t>
    </r>
    <r>
      <rPr>
        <sz val="10"/>
        <rFont val="Arial"/>
        <family val="2"/>
        <charset val="1"/>
      </rPr>
      <t xml:space="preserve">For questions 3 to 6, you will be performing a sensitivity analysis. For these questions, you will vary one of the parameters in the investment situation and see how that changes the FoMs.  Remember that you must turn in the Real Estate Model as set up for the base case.  If you have not already done so, you may want to save a copy now, before you start changing things.  </t>
    </r>
  </si>
  <si>
    <t>Expense Growth rate: 7%</t>
  </si>
  <si>
    <t>Occupancy Rate: 70%</t>
  </si>
  <si>
    <r>
      <rPr>
        <sz val="10"/>
        <rFont val="Arial"/>
        <family val="2"/>
        <charset val="1"/>
      </rPr>
      <t xml:space="preserve">Is the FoM acceptable? Answer </t>
    </r>
    <r>
      <rPr>
        <b/>
        <sz val="10"/>
        <rFont val="Arial"/>
        <family val="2"/>
        <charset val="1"/>
      </rPr>
      <t>Yes</t>
    </r>
    <r>
      <rPr>
        <sz val="10"/>
        <rFont val="Arial"/>
        <family val="2"/>
        <charset val="1"/>
      </rPr>
      <t xml:space="preserve"> or </t>
    </r>
    <r>
      <rPr>
        <b/>
        <sz val="10"/>
        <rFont val="Arial"/>
        <family val="2"/>
        <charset val="1"/>
      </rPr>
      <t>No</t>
    </r>
  </si>
  <si>
    <t xml:space="preserve">3. – 6. In the table below, change the parameter in your Excel model as indicated.  Look at the resulting model.  Put the FoM figures into the top row of boxes for the question, and put Yes or No in the row below (to the right of “Is the FoM acceptable? “). </t>
  </si>
  <si>
    <t>In addition, enter your Before and After NPVs after every parameter change into the table under the Sensitivity Analysis tab in your Excel spreadsheet. You will need that information for later questions.</t>
  </si>
  <si>
    <t>Remember to return your model to the base case after each parameter change.  You must only vary one parameter at a time.</t>
  </si>
  <si>
    <t>REAL ESTATE AFTER TAX ANALYSIS MODEL</t>
  </si>
  <si>
    <t>Prepared by:</t>
  </si>
  <si>
    <t>Dr. Donald Merino, PhD., PE</t>
  </si>
  <si>
    <t>Alexander Crombie Humphreys</t>
  </si>
  <si>
    <t>Professor of Economics of Engineering</t>
  </si>
  <si>
    <t>Stevens Institute of Technology, Hoboken, NJ 07030</t>
  </si>
  <si>
    <t>This model was designed to demonstrate how economics of engineering is used for Real Estate investments.</t>
  </si>
  <si>
    <t>This model is provided to the students at Stevens Institute of Technology as a part of E 355 lab, Mgt. 618 and EM 600</t>
  </si>
  <si>
    <r>
      <rPr>
        <sz val="12"/>
        <rFont val="Arial"/>
        <family val="2"/>
        <charset val="1"/>
      </rPr>
      <t xml:space="preserve">The text </t>
    </r>
    <r>
      <rPr>
        <i/>
        <sz val="12"/>
        <rFont val="Arial"/>
        <family val="2"/>
        <charset val="1"/>
      </rPr>
      <t>"The Selection Process for Capital Projects"</t>
    </r>
    <r>
      <rPr>
        <sz val="12"/>
        <rFont val="Arial"/>
        <family val="2"/>
        <charset val="1"/>
      </rPr>
      <t xml:space="preserve"> by Hans Lang and Donald Merino - chap 16</t>
    </r>
  </si>
  <si>
    <t>on after tax analysis covers the material in this model</t>
  </si>
  <si>
    <t xml:space="preserve">The output of this model include after-tax analysis of the cash flows and provide figures of merit such as </t>
  </si>
  <si>
    <t>net present value (NPV) and internal rate of return (IRR).</t>
  </si>
  <si>
    <t>It is expected that the model will prove to be a powerful tool for the students to understand the driving forces</t>
  </si>
  <si>
    <t>of the business and thereby improve their decision-making for Capital Projects.</t>
  </si>
  <si>
    <t>Legend</t>
  </si>
  <si>
    <t xml:space="preserve"> - User defined inputs.</t>
  </si>
  <si>
    <t>Rest of the cells carry some logical formula. However, you may overwrite these cells.</t>
  </si>
  <si>
    <t>Copyright © - Do not use or copy without the permission of Dr. D. N. Merino</t>
  </si>
  <si>
    <t>Property Name:</t>
  </si>
  <si>
    <t>Address:</t>
  </si>
  <si>
    <t>Case:</t>
  </si>
  <si>
    <t>Capital Costs:</t>
  </si>
  <si>
    <t>Depreciable Capital</t>
  </si>
  <si>
    <t>Building Costs</t>
  </si>
  <si>
    <t>Other depreciable capital costs</t>
  </si>
  <si>
    <t>Sub-Total</t>
  </si>
  <si>
    <t>Non-Depreciable Capital</t>
  </si>
  <si>
    <t>Land Cost</t>
  </si>
  <si>
    <t>Other non-depreciable capital costs</t>
  </si>
  <si>
    <t>Total</t>
  </si>
  <si>
    <t>Project Life (in yrs.)</t>
  </si>
  <si>
    <t>MARR</t>
  </si>
  <si>
    <t>Income Tax Rate</t>
  </si>
  <si>
    <t>Unit</t>
  </si>
  <si>
    <t>Initial Monthly
Rent (Year 0)</t>
  </si>
  <si>
    <t>Total Monthly Rent</t>
  </si>
  <si>
    <t>Total Annual Rent</t>
  </si>
  <si>
    <t>Projected Annual Rental Income Growth Rate</t>
  </si>
  <si>
    <t>Occupancy Rate (% occupied)</t>
  </si>
  <si>
    <r>
      <rPr>
        <b/>
        <sz val="12"/>
        <rFont val="Arial"/>
        <family val="2"/>
        <charset val="1"/>
      </rPr>
      <t xml:space="preserve">Assumptions: </t>
    </r>
    <r>
      <rPr>
        <sz val="12"/>
        <rFont val="Arial"/>
        <family val="2"/>
        <charset val="1"/>
      </rPr>
      <t xml:space="preserve">Owner pays all the expenses except gas, </t>
    </r>
  </si>
  <si>
    <t>electricity and phone for apartments</t>
  </si>
  <si>
    <t>Debt/Equity Ratio</t>
  </si>
  <si>
    <t>Principal</t>
  </si>
  <si>
    <t>Annual Interest on Loan</t>
  </si>
  <si>
    <t>Loan Period (in yrs.)</t>
  </si>
  <si>
    <t>Year</t>
  </si>
  <si>
    <t>Beginning
Balance</t>
  </si>
  <si>
    <t>Annual
Payments</t>
  </si>
  <si>
    <t>Interest</t>
  </si>
  <si>
    <t>Principal
Repayment</t>
  </si>
  <si>
    <t>EOY
Balance</t>
  </si>
  <si>
    <t>Note:</t>
  </si>
  <si>
    <t>In our model, we have assumed that mortgage payments are made on annual basis.</t>
  </si>
  <si>
    <t>However, in practice, the payments are made on monthly basis in real estate business.</t>
  </si>
  <si>
    <t>We used yearly retes to practice KISS</t>
  </si>
  <si>
    <t>Initial Monthly
Expenses (Yr 0)</t>
  </si>
  <si>
    <t>Others</t>
  </si>
  <si>
    <t>Total Monthly Expenses</t>
  </si>
  <si>
    <t>Total Annual Expenses</t>
  </si>
  <si>
    <t>Projected Annual Expenses
Growth Rate</t>
  </si>
  <si>
    <t>Working Capital **
(3 months of 5 yrs average expenses and mortgage)</t>
  </si>
  <si>
    <t>* denote the utility expenses for common areas</t>
  </si>
  <si>
    <t>** means it is assumed that the Working Capital is repaid in 20 years</t>
  </si>
  <si>
    <t>monthly year 1-5 average expense</t>
  </si>
  <si>
    <t>Property Resale</t>
  </si>
  <si>
    <t>Projected annual building appreciation rate</t>
  </si>
  <si>
    <t>Projected annual land appreciation rate</t>
  </si>
  <si>
    <t>Appreciated Market Value of the asset at end of project life:</t>
  </si>
  <si>
    <t>Depreciable Asset</t>
  </si>
  <si>
    <t>Non-depreciable Asset</t>
  </si>
  <si>
    <t>Depreciation Method *</t>
  </si>
  <si>
    <t>Straight Line</t>
  </si>
  <si>
    <t>Depreciation Rate</t>
  </si>
  <si>
    <t>Depreciation Expense (per year)</t>
  </si>
  <si>
    <t>After-Tax Cash Flows from Depreciable Capital:</t>
  </si>
  <si>
    <t>Taxes =</t>
  </si>
  <si>
    <t>(FMV - BV) * (TR)</t>
  </si>
  <si>
    <t>= (</t>
  </si>
  <si>
    <t>-</t>
  </si>
  <si>
    <t xml:space="preserve">) * ( </t>
  </si>
  <si>
    <t>)</t>
  </si>
  <si>
    <t xml:space="preserve">= </t>
  </si>
  <si>
    <t xml:space="preserve">Total AT Cash Flows = </t>
  </si>
  <si>
    <t>(FMV - Taxes)</t>
  </si>
  <si>
    <t>After-Tax Cash Flows from Non-Depreciable Capital =</t>
  </si>
  <si>
    <t>(FMV - IC) * (1 - TR)</t>
  </si>
  <si>
    <t>(FMV - IC) * (TR)</t>
  </si>
  <si>
    <t>Beginning
BV</t>
  </si>
  <si>
    <t>Depr.
Rates</t>
  </si>
  <si>
    <t>Dep.
Exp</t>
  </si>
  <si>
    <t>Accum.
Dep</t>
  </si>
  <si>
    <t>Ending
BV</t>
  </si>
  <si>
    <t xml:space="preserve">Total </t>
  </si>
  <si>
    <t>*</t>
  </si>
  <si>
    <t>The depreciation method used in the Real Estate business is Straight Line Depreciation method</t>
  </si>
  <si>
    <t>After Tax Analysis Worksheet</t>
  </si>
  <si>
    <t>TOTAL</t>
  </si>
  <si>
    <t>Operating Revenue</t>
  </si>
  <si>
    <t>Cash Expenses</t>
  </si>
  <si>
    <t>Oper. Income</t>
  </si>
  <si>
    <t>Depreciation</t>
  </si>
  <si>
    <t>Interest expense</t>
  </si>
  <si>
    <t>Pretax Net Income</t>
  </si>
  <si>
    <t>Income taxes*</t>
  </si>
  <si>
    <t>Investment Tax Credit</t>
  </si>
  <si>
    <t>Net Income AT</t>
  </si>
  <si>
    <t>Net C.F. from Oper.</t>
  </si>
  <si>
    <t>Principal Repayment</t>
  </si>
  <si>
    <t>14a</t>
  </si>
  <si>
    <t>14b</t>
  </si>
  <si>
    <t>Non-depreciable capital</t>
  </si>
  <si>
    <t>14c</t>
  </si>
  <si>
    <t>Loan Proceeds</t>
  </si>
  <si>
    <t>Capital Gains/Losses</t>
  </si>
  <si>
    <t>Working Capital</t>
  </si>
  <si>
    <t>Net Capital Cash Flow</t>
  </si>
  <si>
    <t>Total Cash Flow</t>
  </si>
  <si>
    <t>Discount Factor</t>
  </si>
  <si>
    <t>Net present value</t>
  </si>
  <si>
    <t>Cumulative NPV</t>
  </si>
  <si>
    <t>Line 8 assumes that operating loss can be offset against</t>
  </si>
  <si>
    <t>other income so that taxes are positive and not negative.</t>
  </si>
  <si>
    <t>Summary of Economic Analysis</t>
  </si>
  <si>
    <t>Net Present Value at end of year 20</t>
  </si>
  <si>
    <t>Internal Rate of Return</t>
  </si>
  <si>
    <t>Minimum Acceptable Rate of Return</t>
  </si>
  <si>
    <t>Cap Rates:</t>
  </si>
  <si>
    <t>Initial Income/Initial Capital 
(end of year 0)</t>
  </si>
  <si>
    <t>Use it in question 1</t>
  </si>
  <si>
    <t>Ending Income/Ending Capital 
(end of project life)</t>
  </si>
  <si>
    <t>Use it in question 2 to 9</t>
  </si>
  <si>
    <t>Sensitivity Analysis</t>
  </si>
  <si>
    <t>Ref:</t>
  </si>
  <si>
    <t>Parameter Change</t>
  </si>
  <si>
    <t>FOM change (NPV)</t>
  </si>
  <si>
    <t>Rank*</t>
  </si>
  <si>
    <t>(Prev. Ques.)</t>
  </si>
  <si>
    <t>Before</t>
  </si>
  <si>
    <t>After</t>
  </si>
  <si>
    <t>% change in parameter</t>
  </si>
  <si>
    <t>% change in NPV</t>
  </si>
  <si>
    <t>A</t>
  </si>
  <si>
    <t>B</t>
  </si>
  <si>
    <t>C=(B-  A)/A</t>
  </si>
  <si>
    <t>D</t>
  </si>
  <si>
    <t>E</t>
  </si>
  <si>
    <t>F=(E –D)/D</t>
  </si>
  <si>
    <t>|F/C|</t>
  </si>
  <si>
    <t>Land/ Building Appreciation</t>
  </si>
  <si>
    <t>9.  Returning to the base case, change the Land and Building appreciation rates to 3%.  This should make the EOY 20 Cap Rate unacceptable.  Since one way to an acceptable Cap Rate is by selling at a higher price, at what annual Land and Building appreciation rate would the Cap Rate become acceptable?  (You may use trial and error, but be correct to the nearest .1% (or 0.001). Enter your answer using decimal format e.g., 0.12 for 12%.)</t>
  </si>
  <si>
    <t>Is the FoM acceptable? (Answer Yes or No)</t>
  </si>
  <si>
    <t>Is the FoM acceptable?  (Answer Yes or No)</t>
  </si>
  <si>
    <t>Stevens Honor Code Pledge</t>
  </si>
  <si>
    <t>CAP Rate EOY 20</t>
  </si>
  <si>
    <t>Min: 12%</t>
  </si>
  <si>
    <t>Change the Land&amp;Building Growth Rates to 7%</t>
  </si>
  <si>
    <t>E 355 Engineering Economics Spring 2021</t>
  </si>
  <si>
    <t>Building &amp; Land Growth Rate: 7%</t>
  </si>
  <si>
    <t>Minimum: 12%</t>
  </si>
  <si>
    <t>8.  Worst Case Analysis: What if everything is less desirable than you expect?  How bad might it be?  Change the parameters as indicated, and fill in the table below. (Obs.: Use just one row to enter the answer.)</t>
  </si>
  <si>
    <t>Gabriela Onelli</t>
  </si>
  <si>
    <t>I pledge my honor that I have abided by the Stevens Honor System</t>
  </si>
  <si>
    <t>Yes</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</si>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</sst>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_(\$* \(#,##0\);_(\$* \-??_);_(@_)"/>
    <numFmt numFmtId="165" formatCode="_([$$-409]* #,##0_);_([$$-409]* \(#,##0\);_([$$-409]* \-??_);_(@_)"/>
    <numFmt numFmtId="166" formatCode="\$#,##0_);[Red]&quot;($&quot;#,##0\)"/>
    <numFmt numFmtId="167" formatCode="_(\$* #,##0.00_);_(\$* \(#,##0.00\);_(\$* \-??_);_(@_)"/>
    <numFmt numFmtId="168" formatCode="0.0%"/>
    <numFmt numFmtId="169" formatCode="\$#,##0"/>
    <numFmt numFmtId="170" formatCode="_(* #,##0.00_);_(* \(#,##0.00\);_(* \-??_);_(@_)"/>
    <numFmt numFmtId="171" formatCode="_(* #,##0_);_(* \(#,##0\);_(* \-??_);_(@_)"/>
    <numFmt numFmtId="172" formatCode="_(* #,##0.0000_);_(* \(#,##0.0000\);_(* \-??_);_(@_)"/>
    <numFmt numFmtId="173" formatCode="\$#,##0.00"/>
    <numFmt numFmtId="174" formatCode="#,##0.0000"/>
    <numFmt numFmtId="175" formatCode="0_);[Red]\(0\)"/>
  </numFmts>
  <fonts count="19" x14ac:knownFonts="1">
    <font>
      <sz val="10"/>
      <name val="Arial"/>
      <family val="2"/>
      <charset val="1"/>
    </font>
    <font>
      <b/>
      <sz val="10"/>
      <name val="Arial"/>
      <family val="2"/>
      <charset val="1"/>
    </font>
    <font>
      <b/>
      <sz val="12"/>
      <name val="Arial"/>
      <family val="2"/>
      <charset val="1"/>
    </font>
    <font>
      <sz val="10"/>
      <color rgb="FFFF0000"/>
      <name val="Arial"/>
      <family val="2"/>
      <charset val="1"/>
    </font>
    <font>
      <b/>
      <sz val="9.5"/>
      <name val="Arial"/>
      <family val="2"/>
      <charset val="1"/>
    </font>
    <font>
      <sz val="9.5"/>
      <name val="Arial"/>
      <family val="2"/>
      <charset val="1"/>
    </font>
    <font>
      <sz val="12"/>
      <name val="Arial"/>
      <family val="2"/>
      <charset val="1"/>
    </font>
    <font>
      <b/>
      <sz val="12"/>
      <color rgb="FFDD0806"/>
      <name val="Arial"/>
      <family val="2"/>
      <charset val="1"/>
    </font>
    <font>
      <sz val="12"/>
      <color rgb="FFDD0806"/>
      <name val="Arial"/>
      <family val="2"/>
      <charset val="1"/>
    </font>
    <font>
      <b/>
      <sz val="14"/>
      <color rgb="FFDD0806"/>
      <name val="Arial"/>
      <family val="2"/>
      <charset val="1"/>
    </font>
    <font>
      <i/>
      <sz val="12"/>
      <name val="Arial"/>
      <family val="2"/>
      <charset val="1"/>
    </font>
    <font>
      <sz val="12"/>
      <color rgb="FFB9CDE5"/>
      <name val="Arial"/>
      <family val="2"/>
      <charset val="1"/>
    </font>
    <font>
      <sz val="10"/>
      <color rgb="FFDD0806"/>
      <name val="Arial"/>
      <family val="2"/>
      <charset val="1"/>
    </font>
    <font>
      <b/>
      <i/>
      <sz val="10"/>
      <name val="Arial"/>
      <family val="2"/>
      <charset val="1"/>
    </font>
    <font>
      <b/>
      <sz val="9"/>
      <name val="Arial"/>
      <family val="2"/>
      <charset val="1"/>
    </font>
    <font>
      <sz val="9"/>
      <name val="Arial"/>
      <family val="2"/>
      <charset val="1"/>
    </font>
    <font>
      <sz val="10"/>
      <name val="Arial"/>
      <family val="2"/>
      <charset val="1"/>
    </font>
    <font>
      <sz val="10"/>
      <color theme="1"/>
      <name val="Arial"/>
      <family val="2"/>
      <charset val="1"/>
    </font>
    <font>
      <b/>
      <sz val="11"/>
      <name val="Arial"/>
      <family val="2"/>
    </font>
  </fonts>
  <fills count="4">
    <fill>
      <patternFill patternType="none"/>
    </fill>
    <fill>
      <patternFill patternType="gray125"/>
    </fill>
    <fill>
      <patternFill patternType="solid">
        <fgColor rgb="FFFFFFFF"/>
        <bgColor rgb="FFFFFFCC"/>
      </patternFill>
    </fill>
    <fill>
      <patternFill patternType="solid">
        <fgColor theme="5" tint="0.39997558519241921"/>
        <bgColor rgb="FFB9CDE5"/>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bottom style="thick">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indexed="64"/>
      </left>
      <right style="thin">
        <color indexed="64"/>
      </right>
      <top/>
      <bottom/>
      <diagonal/>
    </border>
    <border>
      <left style="thin">
        <color theme="1"/>
      </left>
      <right style="thin">
        <color theme="1"/>
      </right>
      <top style="thin">
        <color theme="1"/>
      </top>
      <bottom style="thin">
        <color theme="1"/>
      </bottom>
      <diagonal/>
    </border>
  </borders>
  <cellStyleXfs count="5">
    <xf numFmtId="0" fontId="0" fillId="0" borderId="0"/>
    <xf numFmtId="170" fontId="16" fillId="0" borderId="0" applyBorder="0" applyProtection="0"/>
    <xf numFmtId="167" fontId="16" fillId="0" borderId="0" applyBorder="0" applyProtection="0"/>
    <xf numFmtId="9" fontId="16" fillId="0" borderId="0" applyBorder="0" applyProtection="0"/>
    <xf numFmtId="0" fontId="16" fillId="0" borderId="0"/>
  </cellStyleXfs>
  <cellXfs count="301">
    <xf numFmtId="0" fontId="0" fillId="0" borderId="0" xfId="0"/>
    <xf numFmtId="0" fontId="16" fillId="0" borderId="0" xfId="4" applyAlignment="1"/>
    <xf numFmtId="0" fontId="0" fillId="0" borderId="0" xfId="4" applyFont="1" applyBorder="1" applyAlignment="1"/>
    <xf numFmtId="0" fontId="0" fillId="0" borderId="0" xfId="4" applyFont="1" applyBorder="1" applyAlignment="1">
      <alignment vertical="center" wrapText="1"/>
    </xf>
    <xf numFmtId="0" fontId="1" fillId="0" borderId="0" xfId="4" applyFont="1" applyBorder="1" applyAlignment="1"/>
    <xf numFmtId="0" fontId="16" fillId="0" borderId="0" xfId="4" applyBorder="1"/>
    <xf numFmtId="0" fontId="0" fillId="0" borderId="0" xfId="4" applyFont="1" applyBorder="1"/>
    <xf numFmtId="0" fontId="0" fillId="0" borderId="0" xfId="4" applyFont="1" applyBorder="1" applyAlignment="1">
      <alignment vertical="center"/>
    </xf>
    <xf numFmtId="0" fontId="16" fillId="0" borderId="0" xfId="4" applyBorder="1" applyAlignment="1">
      <alignment vertical="center" wrapText="1"/>
    </xf>
    <xf numFmtId="0" fontId="16" fillId="0" borderId="0" xfId="4" applyAlignment="1">
      <alignment vertical="center" wrapText="1"/>
    </xf>
    <xf numFmtId="0" fontId="16" fillId="0" borderId="0" xfId="4" applyBorder="1" applyAlignment="1">
      <alignment vertical="center"/>
    </xf>
    <xf numFmtId="165" fontId="16" fillId="0" borderId="0" xfId="4" applyNumberFormat="1" applyBorder="1" applyAlignment="1">
      <alignment vertical="center"/>
    </xf>
    <xf numFmtId="0" fontId="1" fillId="0" borderId="0" xfId="4" applyFont="1" applyBorder="1"/>
    <xf numFmtId="0" fontId="16" fillId="0" borderId="0" xfId="4" applyBorder="1" applyAlignment="1">
      <alignment wrapText="1"/>
    </xf>
    <xf numFmtId="0" fontId="2" fillId="0" borderId="0" xfId="4" applyFont="1" applyBorder="1" applyAlignment="1">
      <alignment vertical="center"/>
    </xf>
    <xf numFmtId="0" fontId="1" fillId="0" borderId="0" xfId="4" applyFont="1"/>
    <xf numFmtId="0" fontId="2" fillId="0" borderId="0" xfId="4" applyFont="1" applyAlignment="1">
      <alignment vertical="center" wrapText="1"/>
    </xf>
    <xf numFmtId="0" fontId="0" fillId="0" borderId="3" xfId="4" applyFont="1" applyBorder="1" applyAlignment="1">
      <alignment vertical="center"/>
    </xf>
    <xf numFmtId="0" fontId="0" fillId="0" borderId="4" xfId="4" applyFont="1" applyBorder="1" applyAlignment="1">
      <alignment vertical="center"/>
    </xf>
    <xf numFmtId="0" fontId="0" fillId="0" borderId="5" xfId="4" applyFont="1" applyBorder="1" applyAlignment="1">
      <alignment vertical="center"/>
    </xf>
    <xf numFmtId="0" fontId="0" fillId="0" borderId="7" xfId="4" applyFont="1" applyBorder="1" applyAlignment="1">
      <alignment vertical="center"/>
    </xf>
    <xf numFmtId="0" fontId="0" fillId="0" borderId="8" xfId="4" applyFont="1" applyBorder="1" applyAlignment="1">
      <alignment vertical="center"/>
    </xf>
    <xf numFmtId="0" fontId="0" fillId="0" borderId="6" xfId="4" applyFont="1" applyBorder="1" applyAlignment="1">
      <alignment vertical="center"/>
    </xf>
    <xf numFmtId="0" fontId="0" fillId="0" borderId="9" xfId="4" applyFont="1" applyBorder="1" applyAlignment="1">
      <alignment vertical="center"/>
    </xf>
    <xf numFmtId="0" fontId="0" fillId="0" borderId="10" xfId="4" applyFont="1" applyBorder="1" applyAlignment="1">
      <alignment vertical="center"/>
    </xf>
    <xf numFmtId="0" fontId="0" fillId="0" borderId="11" xfId="4" applyFont="1" applyBorder="1" applyAlignment="1">
      <alignment vertical="center"/>
    </xf>
    <xf numFmtId="0" fontId="3" fillId="0" borderId="0" xfId="4" applyFont="1" applyAlignment="1"/>
    <xf numFmtId="0" fontId="1" fillId="0" borderId="0" xfId="4" applyFont="1" applyAlignment="1"/>
    <xf numFmtId="0" fontId="0" fillId="0" borderId="0" xfId="4" applyFont="1" applyAlignment="1">
      <alignment vertical="center"/>
    </xf>
    <xf numFmtId="0" fontId="3" fillId="0" borderId="0" xfId="4" applyFont="1" applyBorder="1" applyAlignment="1">
      <alignment vertical="center" wrapText="1"/>
    </xf>
    <xf numFmtId="0" fontId="0" fillId="0" borderId="0" xfId="4" applyFont="1" applyAlignment="1">
      <alignment horizontal="left" vertical="center"/>
    </xf>
    <xf numFmtId="0" fontId="6" fillId="0" borderId="0" xfId="0" applyFont="1"/>
    <xf numFmtId="0" fontId="7" fillId="0" borderId="0" xfId="0" applyFont="1"/>
    <xf numFmtId="0" fontId="8" fillId="0" borderId="0" xfId="0" applyFont="1"/>
    <xf numFmtId="0" fontId="2" fillId="0" borderId="0" xfId="0" applyFont="1"/>
    <xf numFmtId="0" fontId="9" fillId="0" borderId="0" xfId="0" applyFont="1"/>
    <xf numFmtId="0" fontId="6" fillId="0" borderId="0" xfId="0" applyFont="1" applyAlignment="1"/>
    <xf numFmtId="0" fontId="6" fillId="0" borderId="0" xfId="0" applyFont="1" applyBorder="1"/>
    <xf numFmtId="0" fontId="6" fillId="0" borderId="13" xfId="0" applyFont="1" applyBorder="1"/>
    <xf numFmtId="0" fontId="7" fillId="0" borderId="14" xfId="0" applyFont="1" applyBorder="1"/>
    <xf numFmtId="0" fontId="7" fillId="0" borderId="16" xfId="0" applyFont="1" applyBorder="1"/>
    <xf numFmtId="0" fontId="7" fillId="0" borderId="18" xfId="0" applyFont="1" applyBorder="1"/>
    <xf numFmtId="0" fontId="2" fillId="0" borderId="20" xfId="0" applyFont="1" applyBorder="1"/>
    <xf numFmtId="0" fontId="6" fillId="0" borderId="21" xfId="0" applyFont="1" applyBorder="1"/>
    <xf numFmtId="0" fontId="6" fillId="0" borderId="14" xfId="0" applyFont="1" applyBorder="1"/>
    <xf numFmtId="0" fontId="6" fillId="0" borderId="18" xfId="0" applyFont="1" applyBorder="1"/>
    <xf numFmtId="169" fontId="6" fillId="0" borderId="21" xfId="0" applyNumberFormat="1" applyFont="1" applyBorder="1"/>
    <xf numFmtId="169" fontId="6" fillId="0" borderId="0" xfId="0" applyNumberFormat="1" applyFont="1"/>
    <xf numFmtId="169" fontId="6" fillId="0" borderId="21" xfId="0" applyNumberFormat="1" applyFont="1" applyBorder="1"/>
    <xf numFmtId="0" fontId="6" fillId="0" borderId="0" xfId="0" applyFont="1" applyAlignment="1">
      <alignment horizontal="center"/>
    </xf>
    <xf numFmtId="0" fontId="6" fillId="0" borderId="20" xfId="0" applyFont="1" applyBorder="1" applyAlignment="1">
      <alignment horizontal="center"/>
    </xf>
    <xf numFmtId="0" fontId="6" fillId="0" borderId="21" xfId="0" applyFont="1" applyBorder="1" applyAlignment="1">
      <alignment horizontal="center" wrapText="1"/>
    </xf>
    <xf numFmtId="9" fontId="6" fillId="0" borderId="0" xfId="3" applyFont="1" applyBorder="1" applyAlignment="1" applyProtection="1"/>
    <xf numFmtId="0" fontId="6" fillId="0" borderId="14" xfId="0" applyFont="1" applyBorder="1" applyAlignment="1">
      <alignment horizontal="center"/>
    </xf>
    <xf numFmtId="0" fontId="6" fillId="0" borderId="16" xfId="0" applyFont="1" applyBorder="1" applyAlignment="1">
      <alignment horizontal="center"/>
    </xf>
    <xf numFmtId="0" fontId="6" fillId="0" borderId="18" xfId="0" applyFont="1" applyBorder="1" applyAlignment="1">
      <alignment horizontal="center"/>
    </xf>
    <xf numFmtId="0" fontId="6" fillId="0" borderId="0" xfId="0" applyFont="1" applyBorder="1" applyAlignment="1">
      <alignment horizontal="center"/>
    </xf>
    <xf numFmtId="169" fontId="6" fillId="0" borderId="0" xfId="0" applyNumberFormat="1" applyFont="1" applyBorder="1"/>
    <xf numFmtId="0" fontId="6" fillId="0" borderId="20" xfId="0" applyFont="1" applyBorder="1" applyAlignment="1">
      <alignment horizontal="left"/>
    </xf>
    <xf numFmtId="169" fontId="6" fillId="0" borderId="21" xfId="0" applyNumberFormat="1" applyFont="1" applyBorder="1" applyAlignment="1">
      <alignment horizontal="right"/>
    </xf>
    <xf numFmtId="0" fontId="6" fillId="0" borderId="0" xfId="0" applyFont="1" applyAlignment="1">
      <alignment horizontal="left"/>
    </xf>
    <xf numFmtId="169" fontId="6" fillId="0" borderId="0" xfId="0" applyNumberFormat="1" applyFont="1" applyAlignment="1">
      <alignment horizontal="right"/>
    </xf>
    <xf numFmtId="0" fontId="2" fillId="0" borderId="0" xfId="0" applyFont="1" applyBorder="1" applyAlignment="1">
      <alignment horizontal="left"/>
    </xf>
    <xf numFmtId="0" fontId="0" fillId="0" borderId="0" xfId="0" applyFont="1"/>
    <xf numFmtId="0" fontId="0" fillId="0" borderId="0" xfId="0" applyFont="1" applyAlignment="1">
      <alignment horizontal="center"/>
    </xf>
    <xf numFmtId="0" fontId="9" fillId="0" borderId="0" xfId="0" applyFont="1" applyAlignment="1">
      <alignment horizontal="left"/>
    </xf>
    <xf numFmtId="0" fontId="0" fillId="0" borderId="0" xfId="0" applyFont="1" applyAlignment="1">
      <alignment horizontal="center" wrapText="1"/>
    </xf>
    <xf numFmtId="171" fontId="0" fillId="0" borderId="0" xfId="1" applyNumberFormat="1" applyFont="1" applyBorder="1" applyAlignment="1" applyProtection="1">
      <alignment horizontal="center" wrapText="1"/>
    </xf>
    <xf numFmtId="0" fontId="0" fillId="0" borderId="0" xfId="0" applyFont="1" applyBorder="1" applyAlignment="1">
      <alignment horizontal="center"/>
    </xf>
    <xf numFmtId="9" fontId="0" fillId="0" borderId="0" xfId="3" applyFont="1" applyBorder="1" applyAlignment="1" applyProtection="1">
      <alignment horizontal="center" wrapText="1"/>
    </xf>
    <xf numFmtId="0" fontId="1" fillId="0" borderId="0" xfId="0" applyFont="1" applyAlignment="1">
      <alignment horizontal="left"/>
    </xf>
    <xf numFmtId="172" fontId="0" fillId="0" borderId="0" xfId="1" applyNumberFormat="1" applyFont="1" applyBorder="1" applyAlignment="1" applyProtection="1">
      <alignment wrapText="1"/>
    </xf>
    <xf numFmtId="172" fontId="0" fillId="0" borderId="0" xfId="1" applyNumberFormat="1" applyFont="1" applyBorder="1" applyAlignment="1" applyProtection="1">
      <alignment horizontal="center" wrapText="1"/>
    </xf>
    <xf numFmtId="170" fontId="0" fillId="0" borderId="0" xfId="1" applyFont="1" applyBorder="1" applyAlignment="1" applyProtection="1">
      <alignment horizontal="center"/>
    </xf>
    <xf numFmtId="170" fontId="0" fillId="0" borderId="0" xfId="0" applyNumberFormat="1" applyFont="1" applyBorder="1" applyAlignment="1">
      <alignment horizontal="center"/>
    </xf>
    <xf numFmtId="0" fontId="6" fillId="0" borderId="14" xfId="0" applyFont="1" applyBorder="1" applyAlignment="1">
      <alignment horizontal="left"/>
    </xf>
    <xf numFmtId="169" fontId="0" fillId="0" borderId="0" xfId="1" applyNumberFormat="1" applyFont="1" applyBorder="1" applyAlignment="1" applyProtection="1"/>
    <xf numFmtId="171" fontId="0" fillId="0" borderId="0" xfId="1" applyNumberFormat="1" applyFont="1" applyBorder="1" applyAlignment="1" applyProtection="1"/>
    <xf numFmtId="0" fontId="0" fillId="0" borderId="0" xfId="0" applyFont="1" applyBorder="1"/>
    <xf numFmtId="0" fontId="6" fillId="0" borderId="16" xfId="0" applyFont="1" applyBorder="1" applyAlignment="1">
      <alignment horizontal="left"/>
    </xf>
    <xf numFmtId="169" fontId="6" fillId="0" borderId="17" xfId="3" applyNumberFormat="1" applyFont="1" applyBorder="1" applyAlignment="1" applyProtection="1"/>
    <xf numFmtId="3" fontId="0" fillId="0" borderId="0" xfId="1" applyNumberFormat="1" applyFont="1" applyBorder="1" applyAlignment="1" applyProtection="1"/>
    <xf numFmtId="0" fontId="6" fillId="0" borderId="18" xfId="0" applyFont="1" applyBorder="1" applyAlignment="1">
      <alignment horizontal="left"/>
    </xf>
    <xf numFmtId="0" fontId="1" fillId="0" borderId="20" xfId="0" applyFont="1" applyBorder="1" applyAlignment="1">
      <alignment horizontal="center"/>
    </xf>
    <xf numFmtId="0" fontId="1" fillId="0" borderId="23" xfId="0" applyFont="1" applyBorder="1" applyAlignment="1">
      <alignment horizontal="center" wrapText="1"/>
    </xf>
    <xf numFmtId="169" fontId="1" fillId="0" borderId="23" xfId="1" applyNumberFormat="1" applyFont="1" applyBorder="1" applyAlignment="1" applyProtection="1">
      <alignment horizontal="center" wrapText="1"/>
    </xf>
    <xf numFmtId="169" fontId="1" fillId="0" borderId="23" xfId="1" applyNumberFormat="1" applyFont="1" applyBorder="1" applyAlignment="1" applyProtection="1">
      <alignment horizontal="center"/>
    </xf>
    <xf numFmtId="169" fontId="1" fillId="0" borderId="21" xfId="1" applyNumberFormat="1" applyFont="1" applyBorder="1" applyAlignment="1" applyProtection="1">
      <alignment horizontal="center" wrapText="1"/>
    </xf>
    <xf numFmtId="171" fontId="0" fillId="0" borderId="0" xfId="1" applyNumberFormat="1" applyFont="1" applyBorder="1" applyAlignment="1" applyProtection="1">
      <alignment horizontal="center"/>
    </xf>
    <xf numFmtId="0" fontId="0" fillId="0" borderId="14" xfId="0" applyFont="1" applyBorder="1" applyAlignment="1">
      <alignment horizontal="center"/>
    </xf>
    <xf numFmtId="169" fontId="0" fillId="0" borderId="24" xfId="0" applyNumberFormat="1" applyFont="1" applyBorder="1" applyAlignment="1">
      <alignment horizontal="center"/>
    </xf>
    <xf numFmtId="169" fontId="0" fillId="0" borderId="24" xfId="1" applyNumberFormat="1" applyFont="1" applyBorder="1" applyAlignment="1" applyProtection="1"/>
    <xf numFmtId="169" fontId="0" fillId="0" borderId="15" xfId="1" applyNumberFormat="1" applyFont="1" applyBorder="1" applyAlignment="1" applyProtection="1"/>
    <xf numFmtId="10" fontId="0" fillId="0" borderId="0" xfId="0" applyNumberFormat="1" applyFont="1" applyBorder="1" applyAlignment="1">
      <alignment wrapText="1"/>
    </xf>
    <xf numFmtId="0" fontId="0" fillId="0" borderId="16" xfId="0" applyFont="1" applyBorder="1" applyAlignment="1">
      <alignment horizontal="center"/>
    </xf>
    <xf numFmtId="169" fontId="0" fillId="0" borderId="1" xfId="0" applyNumberFormat="1" applyFont="1" applyBorder="1" applyAlignment="1">
      <alignment horizontal="center"/>
    </xf>
    <xf numFmtId="169" fontId="0" fillId="0" borderId="1" xfId="1" applyNumberFormat="1" applyFont="1" applyBorder="1" applyAlignment="1" applyProtection="1"/>
    <xf numFmtId="169" fontId="0" fillId="0" borderId="17" xfId="1" applyNumberFormat="1" applyFont="1" applyBorder="1" applyAlignment="1" applyProtection="1"/>
    <xf numFmtId="170" fontId="0" fillId="0" borderId="0" xfId="1" applyFont="1" applyBorder="1" applyAlignment="1" applyProtection="1"/>
    <xf numFmtId="169" fontId="0" fillId="0" borderId="0" xfId="0" applyNumberFormat="1" applyFont="1"/>
    <xf numFmtId="0" fontId="0" fillId="0" borderId="18" xfId="0" applyFont="1" applyBorder="1" applyAlignment="1">
      <alignment horizontal="center"/>
    </xf>
    <xf numFmtId="169" fontId="0" fillId="0" borderId="25" xfId="0" applyNumberFormat="1" applyFont="1" applyBorder="1" applyAlignment="1">
      <alignment horizontal="center"/>
    </xf>
    <xf numFmtId="169" fontId="0" fillId="0" borderId="25" xfId="1" applyNumberFormat="1" applyFont="1" applyBorder="1" applyAlignment="1" applyProtection="1"/>
    <xf numFmtId="169" fontId="0" fillId="0" borderId="19" xfId="1" applyNumberFormat="1" applyFont="1" applyBorder="1" applyAlignment="1" applyProtection="1"/>
    <xf numFmtId="0" fontId="0" fillId="0" borderId="26" xfId="0" applyFont="1" applyBorder="1" applyAlignment="1">
      <alignment horizontal="center"/>
    </xf>
    <xf numFmtId="169" fontId="0" fillId="0" borderId="26" xfId="0" applyNumberFormat="1" applyFont="1" applyBorder="1" applyAlignment="1">
      <alignment horizontal="center"/>
    </xf>
    <xf numFmtId="169" fontId="0" fillId="0" borderId="26" xfId="1" applyNumberFormat="1" applyFont="1" applyBorder="1" applyAlignment="1" applyProtection="1"/>
    <xf numFmtId="0" fontId="1" fillId="0" borderId="0" xfId="0" applyFont="1" applyAlignment="1">
      <alignment horizontal="center"/>
    </xf>
    <xf numFmtId="0" fontId="0" fillId="0" borderId="0" xfId="0" applyFont="1" applyAlignment="1">
      <alignment horizontal="left"/>
    </xf>
    <xf numFmtId="173" fontId="6" fillId="0" borderId="0" xfId="0" applyNumberFormat="1" applyFont="1"/>
    <xf numFmtId="169" fontId="6" fillId="0" borderId="21" xfId="3" applyNumberFormat="1" applyFont="1" applyBorder="1" applyAlignment="1" applyProtection="1">
      <alignment horizontal="right"/>
    </xf>
    <xf numFmtId="9" fontId="6" fillId="0" borderId="0" xfId="3" applyFont="1" applyBorder="1" applyAlignment="1" applyProtection="1">
      <alignment horizontal="center"/>
    </xf>
    <xf numFmtId="0" fontId="6" fillId="0" borderId="20" xfId="0" applyFont="1" applyBorder="1" applyAlignment="1">
      <alignment horizontal="left" wrapText="1"/>
    </xf>
    <xf numFmtId="0" fontId="6" fillId="0" borderId="12" xfId="0" applyFont="1" applyBorder="1" applyAlignment="1">
      <alignment horizontal="left" wrapText="1"/>
    </xf>
    <xf numFmtId="169" fontId="6" fillId="2" borderId="21" xfId="3" applyNumberFormat="1" applyFont="1" applyFill="1" applyBorder="1" applyAlignment="1" applyProtection="1"/>
    <xf numFmtId="2" fontId="6" fillId="0" borderId="0" xfId="0" applyNumberFormat="1" applyFont="1" applyAlignment="1">
      <alignment horizontal="center"/>
    </xf>
    <xf numFmtId="0" fontId="0" fillId="0" borderId="0" xfId="0" applyFont="1" applyAlignment="1">
      <alignment wrapText="1"/>
    </xf>
    <xf numFmtId="0" fontId="12" fillId="0" borderId="0" xfId="0" applyFont="1" applyAlignment="1">
      <alignment horizontal="left"/>
    </xf>
    <xf numFmtId="169" fontId="0" fillId="0" borderId="15" xfId="0" applyNumberFormat="1" applyFont="1" applyBorder="1"/>
    <xf numFmtId="169" fontId="0" fillId="0" borderId="19" xfId="0" applyNumberFormat="1" applyFont="1" applyBorder="1"/>
    <xf numFmtId="0" fontId="0" fillId="0" borderId="15" xfId="0" applyFont="1" applyBorder="1" applyAlignment="1">
      <alignment horizontal="center"/>
    </xf>
    <xf numFmtId="0" fontId="0" fillId="0" borderId="17" xfId="0" applyFont="1" applyBorder="1"/>
    <xf numFmtId="0" fontId="0" fillId="0" borderId="28" xfId="0" applyFont="1" applyBorder="1"/>
    <xf numFmtId="0" fontId="0" fillId="0" borderId="28" xfId="0" applyFont="1" applyBorder="1" applyAlignment="1">
      <alignment horizontal="right"/>
    </xf>
    <xf numFmtId="1" fontId="0" fillId="0" borderId="28" xfId="0" applyNumberFormat="1" applyFont="1" applyBorder="1"/>
    <xf numFmtId="0" fontId="0" fillId="0" borderId="28" xfId="0" applyFont="1" applyBorder="1" applyAlignment="1">
      <alignment horizontal="center"/>
    </xf>
    <xf numFmtId="3" fontId="0" fillId="0" borderId="28" xfId="0" applyNumberFormat="1" applyFont="1" applyBorder="1"/>
    <xf numFmtId="2" fontId="0" fillId="0" borderId="28" xfId="0" applyNumberFormat="1" applyFont="1" applyBorder="1"/>
    <xf numFmtId="0" fontId="0" fillId="0" borderId="29" xfId="0" applyFont="1" applyBorder="1"/>
    <xf numFmtId="0" fontId="0" fillId="0" borderId="30" xfId="0" applyFont="1" applyBorder="1" applyAlignment="1">
      <alignment horizontal="left"/>
    </xf>
    <xf numFmtId="0" fontId="0" fillId="0" borderId="0" xfId="0" applyFont="1" applyBorder="1" applyAlignment="1">
      <alignment horizontal="left"/>
    </xf>
    <xf numFmtId="0" fontId="0" fillId="0" borderId="0" xfId="0" applyFont="1" applyBorder="1" applyAlignment="1">
      <alignment horizontal="right"/>
    </xf>
    <xf numFmtId="169" fontId="0" fillId="0" borderId="0" xfId="0" applyNumberFormat="1" applyFont="1" applyBorder="1"/>
    <xf numFmtId="3" fontId="0" fillId="0" borderId="0" xfId="0" applyNumberFormat="1" applyFont="1" applyBorder="1"/>
    <xf numFmtId="2" fontId="0" fillId="0" borderId="0" xfId="0" applyNumberFormat="1" applyFont="1" applyBorder="1"/>
    <xf numFmtId="0" fontId="0" fillId="0" borderId="31" xfId="0" applyFont="1" applyBorder="1"/>
    <xf numFmtId="0" fontId="0" fillId="0" borderId="32" xfId="0" applyFont="1" applyBorder="1" applyAlignment="1">
      <alignment horizontal="left"/>
    </xf>
    <xf numFmtId="0" fontId="0" fillId="0" borderId="33" xfId="0" applyFont="1" applyBorder="1" applyAlignment="1">
      <alignment horizontal="left"/>
    </xf>
    <xf numFmtId="0" fontId="0" fillId="0" borderId="33" xfId="0" applyFont="1" applyBorder="1"/>
    <xf numFmtId="169" fontId="0" fillId="0" borderId="33" xfId="0" applyNumberFormat="1" applyFont="1" applyBorder="1"/>
    <xf numFmtId="0" fontId="0" fillId="0" borderId="33" xfId="0" applyFont="1" applyBorder="1" applyAlignment="1">
      <alignment horizontal="right"/>
    </xf>
    <xf numFmtId="0" fontId="0" fillId="0" borderId="34" xfId="0" applyFont="1" applyBorder="1"/>
    <xf numFmtId="0" fontId="0" fillId="0" borderId="32" xfId="0" applyFont="1" applyBorder="1"/>
    <xf numFmtId="1" fontId="0" fillId="0" borderId="0" xfId="0" applyNumberFormat="1" applyFont="1"/>
    <xf numFmtId="0" fontId="1" fillId="0" borderId="21" xfId="0" applyFont="1" applyBorder="1" applyAlignment="1">
      <alignment horizontal="center" wrapText="1"/>
    </xf>
    <xf numFmtId="0" fontId="1" fillId="0" borderId="35" xfId="0" applyFont="1" applyBorder="1" applyAlignment="1">
      <alignment horizontal="center"/>
    </xf>
    <xf numFmtId="0" fontId="1" fillId="0" borderId="26" xfId="0" applyFont="1" applyBorder="1" applyAlignment="1">
      <alignment horizontal="center"/>
    </xf>
    <xf numFmtId="0" fontId="0" fillId="0" borderId="26" xfId="0" applyFont="1" applyBorder="1"/>
    <xf numFmtId="0" fontId="0" fillId="0" borderId="22" xfId="0" applyFont="1" applyBorder="1"/>
    <xf numFmtId="169" fontId="0" fillId="0" borderId="1" xfId="0" applyNumberFormat="1" applyFont="1" applyBorder="1" applyAlignment="1">
      <alignment horizontal="right"/>
    </xf>
    <xf numFmtId="9" fontId="0" fillId="0" borderId="1" xfId="0" applyNumberFormat="1" applyFont="1" applyBorder="1" applyAlignment="1">
      <alignment horizontal="right"/>
    </xf>
    <xf numFmtId="169" fontId="0" fillId="0" borderId="17" xfId="0" applyNumberFormat="1" applyFont="1" applyBorder="1" applyAlignment="1">
      <alignment horizontal="right"/>
    </xf>
    <xf numFmtId="0" fontId="0" fillId="0" borderId="36" xfId="0" applyFont="1" applyBorder="1" applyAlignment="1">
      <alignment horizontal="center"/>
    </xf>
    <xf numFmtId="9" fontId="0" fillId="0" borderId="2" xfId="0" applyNumberFormat="1" applyFont="1" applyBorder="1" applyAlignment="1">
      <alignment horizontal="right"/>
    </xf>
    <xf numFmtId="0" fontId="0" fillId="0" borderId="20" xfId="0" applyFont="1" applyBorder="1" applyAlignment="1">
      <alignment horizontal="center"/>
    </xf>
    <xf numFmtId="0" fontId="0" fillId="0" borderId="23" xfId="0" applyFont="1" applyBorder="1" applyAlignment="1">
      <alignment horizontal="right"/>
    </xf>
    <xf numFmtId="169" fontId="0" fillId="0" borderId="23" xfId="0" applyNumberFormat="1" applyFont="1" applyBorder="1" applyAlignment="1">
      <alignment horizontal="right"/>
    </xf>
    <xf numFmtId="0" fontId="0" fillId="0" borderId="21" xfId="0" applyFont="1" applyBorder="1" applyAlignment="1">
      <alignment horizontal="right"/>
    </xf>
    <xf numFmtId="0" fontId="0" fillId="0" borderId="0" xfId="0" applyFont="1" applyAlignment="1">
      <alignment horizontal="right"/>
    </xf>
    <xf numFmtId="0" fontId="0" fillId="0" borderId="0" xfId="0" applyFont="1"/>
    <xf numFmtId="0" fontId="7" fillId="0" borderId="0" xfId="0" applyFont="1"/>
    <xf numFmtId="0" fontId="0" fillId="0" borderId="20" xfId="0" applyFont="1" applyBorder="1"/>
    <xf numFmtId="0" fontId="0" fillId="0" borderId="23" xfId="0" applyFont="1" applyBorder="1" applyAlignment="1">
      <alignment horizontal="center"/>
    </xf>
    <xf numFmtId="0" fontId="1" fillId="0" borderId="23" xfId="0" applyFont="1" applyBorder="1" applyAlignment="1">
      <alignment horizontal="center"/>
    </xf>
    <xf numFmtId="0" fontId="1" fillId="0" borderId="37" xfId="0" applyFont="1" applyBorder="1" applyAlignment="1">
      <alignment horizontal="center"/>
    </xf>
    <xf numFmtId="0" fontId="1" fillId="0" borderId="21" xfId="0" applyFont="1" applyBorder="1" applyAlignment="1">
      <alignment horizontal="center"/>
    </xf>
    <xf numFmtId="0" fontId="0" fillId="0" borderId="14" xfId="0" applyFont="1" applyBorder="1" applyAlignment="1">
      <alignment horizontal="center"/>
    </xf>
    <xf numFmtId="0" fontId="0" fillId="0" borderId="24" xfId="0" applyFont="1" applyBorder="1" applyAlignment="1">
      <alignment horizontal="center"/>
    </xf>
    <xf numFmtId="169" fontId="0" fillId="0" borderId="24" xfId="0" applyNumberFormat="1" applyFont="1" applyBorder="1" applyAlignment="1">
      <alignment horizontal="right"/>
    </xf>
    <xf numFmtId="169" fontId="0" fillId="0" borderId="15" xfId="0" applyNumberFormat="1" applyFont="1" applyBorder="1" applyAlignment="1">
      <alignment horizontal="right"/>
    </xf>
    <xf numFmtId="0" fontId="0" fillId="0" borderId="16" xfId="0" applyFont="1" applyBorder="1" applyAlignment="1">
      <alignment horizontal="center"/>
    </xf>
    <xf numFmtId="0" fontId="0" fillId="0" borderId="1" xfId="0" applyFont="1" applyBorder="1" applyAlignment="1">
      <alignment horizontal="center"/>
    </xf>
    <xf numFmtId="169" fontId="0" fillId="0" borderId="1" xfId="0" applyNumberFormat="1" applyFont="1" applyBorder="1" applyAlignment="1">
      <alignment horizontal="right"/>
    </xf>
    <xf numFmtId="169" fontId="0" fillId="0" borderId="17" xfId="0" applyNumberFormat="1" applyFont="1" applyBorder="1" applyAlignment="1">
      <alignment horizontal="right"/>
    </xf>
    <xf numFmtId="169" fontId="0" fillId="0" borderId="1" xfId="1" applyNumberFormat="1" applyFont="1" applyBorder="1" applyAlignment="1" applyProtection="1">
      <alignment horizontal="right"/>
    </xf>
    <xf numFmtId="169" fontId="0" fillId="0" borderId="2" xfId="0" applyNumberFormat="1" applyFont="1" applyBorder="1" applyAlignment="1">
      <alignment horizontal="right"/>
    </xf>
    <xf numFmtId="0" fontId="0" fillId="0" borderId="18" xfId="0" applyFont="1" applyBorder="1" applyAlignment="1">
      <alignment horizontal="center"/>
    </xf>
    <xf numFmtId="0" fontId="0" fillId="0" borderId="25" xfId="0" applyFont="1" applyBorder="1" applyAlignment="1">
      <alignment horizontal="center"/>
    </xf>
    <xf numFmtId="169" fontId="0" fillId="0" borderId="25" xfId="0" applyNumberFormat="1" applyFont="1" applyBorder="1" applyAlignment="1">
      <alignment horizontal="right"/>
    </xf>
    <xf numFmtId="169" fontId="0" fillId="0" borderId="19" xfId="0" applyNumberFormat="1" applyFont="1" applyBorder="1" applyAlignment="1">
      <alignment horizontal="right"/>
    </xf>
    <xf numFmtId="0" fontId="0" fillId="0" borderId="0" xfId="0" applyFont="1" applyBorder="1" applyAlignment="1">
      <alignment horizontal="center"/>
    </xf>
    <xf numFmtId="169" fontId="0" fillId="0" borderId="0" xfId="0" applyNumberFormat="1" applyFont="1" applyBorder="1" applyAlignment="1">
      <alignment horizontal="right"/>
    </xf>
    <xf numFmtId="169" fontId="0" fillId="0" borderId="38" xfId="0" applyNumberFormat="1" applyFont="1" applyBorder="1" applyAlignment="1">
      <alignment horizontal="right"/>
    </xf>
    <xf numFmtId="169" fontId="0" fillId="0" borderId="39" xfId="0" applyNumberFormat="1" applyFont="1" applyBorder="1" applyAlignment="1">
      <alignment horizontal="right"/>
    </xf>
    <xf numFmtId="169" fontId="0" fillId="0" borderId="0" xfId="0" applyNumberFormat="1" applyFont="1" applyAlignment="1">
      <alignment horizontal="right"/>
    </xf>
    <xf numFmtId="174" fontId="0" fillId="0" borderId="1" xfId="0" applyNumberFormat="1" applyFont="1" applyBorder="1" applyAlignment="1">
      <alignment horizontal="right"/>
    </xf>
    <xf numFmtId="169" fontId="0" fillId="0" borderId="40" xfId="0" applyNumberFormat="1" applyFont="1" applyBorder="1" applyAlignment="1">
      <alignment horizontal="right"/>
    </xf>
    <xf numFmtId="169" fontId="0" fillId="0" borderId="7" xfId="0" applyNumberFormat="1" applyFont="1" applyBorder="1" applyAlignment="1">
      <alignment horizontal="right"/>
    </xf>
    <xf numFmtId="169" fontId="13" fillId="0" borderId="17" xfId="0" applyNumberFormat="1" applyFont="1" applyBorder="1" applyAlignment="1">
      <alignment horizontal="right"/>
    </xf>
    <xf numFmtId="175" fontId="0" fillId="0" borderId="0" xfId="0" applyNumberFormat="1" applyFont="1"/>
    <xf numFmtId="169" fontId="0" fillId="0" borderId="41" xfId="0" applyNumberFormat="1" applyFont="1" applyBorder="1" applyAlignment="1">
      <alignment horizontal="right"/>
    </xf>
    <xf numFmtId="0" fontId="1" fillId="0" borderId="0" xfId="0" applyFont="1" applyAlignment="1">
      <alignment horizontal="right"/>
    </xf>
    <xf numFmtId="169" fontId="0" fillId="0" borderId="0" xfId="0" applyNumberFormat="1" applyFont="1"/>
    <xf numFmtId="169" fontId="1" fillId="0" borderId="20" xfId="0" applyNumberFormat="1" applyFont="1" applyBorder="1" applyAlignment="1">
      <alignment horizontal="right"/>
    </xf>
    <xf numFmtId="10" fontId="1" fillId="0" borderId="21" xfId="0" applyNumberFormat="1" applyFont="1" applyBorder="1"/>
    <xf numFmtId="0" fontId="6" fillId="0" borderId="20" xfId="0" applyFont="1" applyBorder="1"/>
    <xf numFmtId="169" fontId="6" fillId="0" borderId="21" xfId="2" applyNumberFormat="1" applyFont="1" applyBorder="1" applyAlignment="1" applyProtection="1"/>
    <xf numFmtId="10" fontId="6" fillId="0" borderId="21" xfId="0" applyNumberFormat="1" applyFont="1" applyBorder="1"/>
    <xf numFmtId="168" fontId="6" fillId="0" borderId="21" xfId="0" applyNumberFormat="1" applyFont="1" applyBorder="1"/>
    <xf numFmtId="0" fontId="6" fillId="0" borderId="14" xfId="0" applyFont="1" applyBorder="1" applyAlignment="1">
      <alignment wrapText="1"/>
    </xf>
    <xf numFmtId="10" fontId="6" fillId="0" borderId="15" xfId="3" applyNumberFormat="1" applyFont="1" applyBorder="1" applyAlignment="1" applyProtection="1">
      <alignment vertical="center"/>
    </xf>
    <xf numFmtId="0" fontId="6" fillId="0" borderId="18" xfId="0" applyFont="1" applyBorder="1" applyAlignment="1">
      <alignment wrapText="1"/>
    </xf>
    <xf numFmtId="10" fontId="6" fillId="0" borderId="19" xfId="3" applyNumberFormat="1" applyFont="1" applyBorder="1" applyAlignment="1" applyProtection="1">
      <alignment vertical="center"/>
    </xf>
    <xf numFmtId="0" fontId="6" fillId="0" borderId="0" xfId="0" applyFont="1" applyAlignment="1">
      <alignment vertical="center"/>
    </xf>
    <xf numFmtId="0" fontId="9" fillId="0" borderId="0" xfId="0" applyFont="1" applyAlignment="1">
      <alignment vertical="center"/>
    </xf>
    <xf numFmtId="0" fontId="6" fillId="0" borderId="0" xfId="0" applyFont="1" applyAlignment="1">
      <alignment horizontal="center" vertical="center"/>
    </xf>
    <xf numFmtId="0" fontId="0" fillId="0" borderId="42" xfId="0" applyFont="1" applyBorder="1" applyAlignment="1">
      <alignment horizontal="center" vertical="center" wrapText="1"/>
    </xf>
    <xf numFmtId="0" fontId="15" fillId="0" borderId="42" xfId="0" applyFont="1" applyBorder="1" applyAlignment="1">
      <alignment vertical="center" wrapText="1"/>
    </xf>
    <xf numFmtId="10" fontId="0" fillId="0" borderId="42" xfId="0" applyNumberFormat="1" applyFont="1" applyBorder="1" applyAlignment="1">
      <alignment horizontal="center" vertical="center" wrapText="1"/>
    </xf>
    <xf numFmtId="2" fontId="0" fillId="0" borderId="42" xfId="0" applyNumberFormat="1" applyFont="1" applyBorder="1" applyAlignment="1">
      <alignment horizontal="center" vertical="center" wrapText="1"/>
    </xf>
    <xf numFmtId="10" fontId="0" fillId="0" borderId="1" xfId="3" applyNumberFormat="1" applyFont="1" applyBorder="1" applyAlignment="1" applyProtection="1">
      <alignment horizontal="center" vertical="center"/>
    </xf>
    <xf numFmtId="2" fontId="0" fillId="0" borderId="6" xfId="4" applyNumberFormat="1" applyFont="1" applyBorder="1" applyAlignment="1">
      <alignment horizontal="center" vertical="center" wrapText="1"/>
    </xf>
    <xf numFmtId="0" fontId="16" fillId="0" borderId="0" xfId="4"/>
    <xf numFmtId="0" fontId="4" fillId="0" borderId="6" xfId="4" applyFont="1" applyBorder="1" applyAlignment="1">
      <alignment horizontal="center" vertical="center"/>
    </xf>
    <xf numFmtId="0" fontId="4" fillId="0" borderId="1" xfId="4" applyFont="1" applyBorder="1" applyAlignment="1">
      <alignment horizontal="center" vertical="center"/>
    </xf>
    <xf numFmtId="0" fontId="1" fillId="0" borderId="1" xfId="4" applyFont="1" applyBorder="1" applyAlignment="1">
      <alignment horizontal="center" vertical="center" wrapText="1"/>
    </xf>
    <xf numFmtId="0" fontId="0" fillId="0" borderId="1" xfId="4" applyFont="1" applyBorder="1" applyAlignment="1">
      <alignment horizontal="center" vertical="center"/>
    </xf>
    <xf numFmtId="0" fontId="0" fillId="0" borderId="1" xfId="4" applyFont="1" applyBorder="1" applyAlignment="1"/>
    <xf numFmtId="0" fontId="1" fillId="0" borderId="1" xfId="4" applyFont="1" applyBorder="1" applyAlignment="1">
      <alignment vertical="center" wrapText="1"/>
    </xf>
    <xf numFmtId="167" fontId="0" fillId="0" borderId="1" xfId="4" applyNumberFormat="1" applyFont="1" applyBorder="1" applyAlignment="1">
      <alignment vertical="center"/>
    </xf>
    <xf numFmtId="0" fontId="16" fillId="0" borderId="0" xfId="4" applyAlignment="1">
      <alignment vertical="center"/>
    </xf>
    <xf numFmtId="0" fontId="0" fillId="0" borderId="0" xfId="0" applyAlignment="1">
      <alignment vertical="center"/>
    </xf>
    <xf numFmtId="167" fontId="16" fillId="0" borderId="1" xfId="4" applyNumberFormat="1" applyBorder="1" applyAlignment="1">
      <alignment vertical="center"/>
    </xf>
    <xf numFmtId="167" fontId="16" fillId="0" borderId="1" xfId="4" applyNumberFormat="1" applyBorder="1" applyAlignment="1">
      <alignment horizontal="center" vertical="center"/>
    </xf>
    <xf numFmtId="0" fontId="4" fillId="0" borderId="2" xfId="4" applyFont="1" applyBorder="1" applyAlignment="1">
      <alignment horizontal="center" vertical="center"/>
    </xf>
    <xf numFmtId="0" fontId="0" fillId="0" borderId="1" xfId="4" applyFont="1" applyBorder="1" applyAlignment="1">
      <alignment horizontal="center" vertical="center" wrapText="1"/>
    </xf>
    <xf numFmtId="0" fontId="4" fillId="0" borderId="5" xfId="4" applyFont="1" applyBorder="1" applyAlignment="1">
      <alignment horizontal="center" vertical="center"/>
    </xf>
    <xf numFmtId="0" fontId="3" fillId="0" borderId="0" xfId="4" applyFont="1" applyBorder="1" applyAlignment="1">
      <alignment vertical="center"/>
    </xf>
    <xf numFmtId="43" fontId="16" fillId="0" borderId="0" xfId="4" applyNumberFormat="1"/>
    <xf numFmtId="171" fontId="16" fillId="0" borderId="0" xfId="1" applyNumberFormat="1"/>
    <xf numFmtId="0" fontId="1" fillId="0" borderId="1" xfId="4" applyFont="1" applyBorder="1" applyAlignment="1">
      <alignment horizontal="center" vertical="center" wrapText="1"/>
    </xf>
    <xf numFmtId="0" fontId="17" fillId="0" borderId="1" xfId="4" applyFont="1" applyBorder="1" applyAlignment="1">
      <alignment horizontal="center" vertical="center" wrapText="1"/>
    </xf>
    <xf numFmtId="0" fontId="16" fillId="0" borderId="0" xfId="4"/>
    <xf numFmtId="0" fontId="1" fillId="0" borderId="44" xfId="4" applyFont="1" applyBorder="1" applyAlignment="1">
      <alignment vertical="center"/>
    </xf>
    <xf numFmtId="0" fontId="6" fillId="3" borderId="0" xfId="0" applyFont="1" applyFill="1" applyBorder="1"/>
    <xf numFmtId="0" fontId="11" fillId="3" borderId="15" xfId="0" applyFont="1" applyFill="1" applyBorder="1"/>
    <xf numFmtId="0" fontId="6" fillId="3" borderId="17" xfId="0" applyFont="1" applyFill="1" applyBorder="1"/>
    <xf numFmtId="0" fontId="6" fillId="3" borderId="19" xfId="0" applyFont="1" applyFill="1" applyBorder="1"/>
    <xf numFmtId="169" fontId="6" fillId="3" borderId="15" xfId="0" applyNumberFormat="1" applyFont="1" applyFill="1" applyBorder="1"/>
    <xf numFmtId="169" fontId="6" fillId="3" borderId="19" xfId="0" applyNumberFormat="1" applyFont="1" applyFill="1" applyBorder="1"/>
    <xf numFmtId="3" fontId="6" fillId="3" borderId="21" xfId="0" applyNumberFormat="1" applyFont="1" applyFill="1" applyBorder="1"/>
    <xf numFmtId="9" fontId="6" fillId="3" borderId="21" xfId="3" applyFont="1" applyFill="1" applyBorder="1" applyAlignment="1" applyProtection="1"/>
    <xf numFmtId="9" fontId="6" fillId="3" borderId="21" xfId="3" applyFont="1" applyFill="1" applyBorder="1" applyAlignment="1" applyProtection="1">
      <alignment horizontal="right"/>
    </xf>
    <xf numFmtId="9" fontId="6" fillId="3" borderId="15" xfId="3" applyFont="1" applyFill="1" applyBorder="1" applyAlignment="1" applyProtection="1"/>
    <xf numFmtId="1" fontId="6" fillId="3" borderId="19" xfId="3" applyNumberFormat="1" applyFont="1" applyFill="1" applyBorder="1" applyAlignment="1" applyProtection="1"/>
    <xf numFmtId="169" fontId="6" fillId="3" borderId="15" xfId="0" applyNumberFormat="1" applyFont="1" applyFill="1" applyBorder="1" applyAlignment="1">
      <alignment horizontal="right"/>
    </xf>
    <xf numFmtId="168" fontId="0" fillId="3" borderId="15" xfId="3" applyNumberFormat="1" applyFont="1" applyFill="1" applyBorder="1" applyAlignment="1" applyProtection="1"/>
    <xf numFmtId="0" fontId="1" fillId="3" borderId="42" xfId="0" applyFont="1" applyFill="1" applyBorder="1" applyAlignment="1">
      <alignment horizontal="center" vertical="center" wrapText="1"/>
    </xf>
    <xf numFmtId="0" fontId="1" fillId="0" borderId="42" xfId="0" applyFont="1" applyFill="1" applyBorder="1" applyAlignment="1">
      <alignment horizontal="center" vertical="center" wrapText="1"/>
    </xf>
    <xf numFmtId="0" fontId="14" fillId="0" borderId="42" xfId="0" applyFont="1" applyFill="1" applyBorder="1" applyAlignment="1">
      <alignment horizontal="center" vertical="center" wrapText="1"/>
    </xf>
    <xf numFmtId="0" fontId="0" fillId="0" borderId="1" xfId="4" applyFont="1" applyBorder="1" applyAlignment="1">
      <alignment horizontal="center" vertical="center"/>
    </xf>
    <xf numFmtId="168" fontId="6" fillId="3" borderId="21" xfId="3" applyNumberFormat="1" applyFont="1" applyFill="1" applyBorder="1" applyAlignment="1" applyProtection="1">
      <alignment horizontal="right"/>
    </xf>
    <xf numFmtId="168" fontId="6" fillId="3" borderId="17" xfId="3" applyNumberFormat="1" applyFont="1" applyFill="1" applyBorder="1" applyAlignment="1" applyProtection="1"/>
    <xf numFmtId="0" fontId="0" fillId="0" borderId="1" xfId="4" applyFont="1" applyBorder="1" applyAlignment="1">
      <alignment horizontal="center" vertical="center"/>
    </xf>
    <xf numFmtId="166" fontId="0" fillId="3" borderId="42" xfId="0" applyNumberFormat="1" applyFill="1" applyBorder="1" applyAlignment="1">
      <alignment horizontal="center" vertical="center" wrapText="1"/>
    </xf>
    <xf numFmtId="168" fontId="0" fillId="0" borderId="42" xfId="0" applyNumberFormat="1" applyBorder="1" applyAlignment="1">
      <alignment horizontal="center" vertical="center" wrapText="1"/>
    </xf>
    <xf numFmtId="0" fontId="0" fillId="0" borderId="26" xfId="4" applyFont="1" applyBorder="1" applyAlignment="1">
      <alignment horizontal="center"/>
    </xf>
    <xf numFmtId="0" fontId="0" fillId="0" borderId="1" xfId="4" applyFont="1" applyBorder="1" applyAlignment="1">
      <alignment horizontal="left"/>
    </xf>
    <xf numFmtId="0" fontId="0" fillId="0" borderId="0" xfId="4" applyFont="1" applyBorder="1" applyAlignment="1">
      <alignment horizontal="left" vertical="top" wrapText="1"/>
    </xf>
    <xf numFmtId="0" fontId="3" fillId="0" borderId="0" xfId="4" applyFont="1" applyBorder="1" applyAlignment="1">
      <alignment horizontal="center" vertical="center" wrapText="1"/>
    </xf>
    <xf numFmtId="0" fontId="0" fillId="0" borderId="0" xfId="4" applyFont="1" applyBorder="1" applyAlignment="1">
      <alignment horizontal="justify" vertical="center" wrapText="1"/>
    </xf>
    <xf numFmtId="0" fontId="1" fillId="0" borderId="1" xfId="4" applyFont="1" applyBorder="1" applyAlignment="1">
      <alignment horizontal="center" vertical="center"/>
    </xf>
    <xf numFmtId="0" fontId="4" fillId="0" borderId="7" xfId="4" applyFont="1" applyBorder="1" applyAlignment="1">
      <alignment horizontal="center" vertical="center"/>
    </xf>
    <xf numFmtId="0" fontId="4" fillId="0" borderId="8" xfId="4" applyFont="1" applyBorder="1" applyAlignment="1">
      <alignment horizontal="center" vertical="center"/>
    </xf>
    <xf numFmtId="0" fontId="4" fillId="0" borderId="6" xfId="4" applyFont="1" applyBorder="1" applyAlignment="1">
      <alignment horizontal="center" vertical="center"/>
    </xf>
    <xf numFmtId="0" fontId="1" fillId="0" borderId="1" xfId="4" applyFont="1" applyBorder="1" applyAlignment="1">
      <alignment horizontal="center" vertical="center" textRotation="90" wrapText="1"/>
    </xf>
    <xf numFmtId="0" fontId="0" fillId="0" borderId="7" xfId="4" applyFont="1" applyBorder="1" applyAlignment="1">
      <alignment horizontal="left"/>
    </xf>
    <xf numFmtId="164" fontId="16" fillId="0" borderId="2" xfId="4" applyNumberFormat="1" applyBorder="1" applyAlignment="1">
      <alignment horizontal="center" vertical="center"/>
    </xf>
    <xf numFmtId="164" fontId="16" fillId="0" borderId="43" xfId="4" applyNumberFormat="1" applyBorder="1" applyAlignment="1">
      <alignment horizontal="center" vertical="center"/>
    </xf>
    <xf numFmtId="164" fontId="16" fillId="0" borderId="26" xfId="4" applyNumberFormat="1" applyBorder="1" applyAlignment="1">
      <alignment horizontal="center" vertical="center"/>
    </xf>
    <xf numFmtId="168" fontId="0" fillId="0" borderId="2" xfId="3" applyNumberFormat="1" applyFont="1" applyBorder="1" applyAlignment="1" applyProtection="1">
      <alignment horizontal="center" vertical="center"/>
    </xf>
    <xf numFmtId="168" fontId="0" fillId="0" borderId="43" xfId="3" applyNumberFormat="1" applyFont="1" applyBorder="1" applyAlignment="1" applyProtection="1">
      <alignment horizontal="center" vertical="center"/>
    </xf>
    <xf numFmtId="168" fontId="0" fillId="0" borderId="26" xfId="3" applyNumberFormat="1" applyFont="1" applyBorder="1" applyAlignment="1" applyProtection="1">
      <alignment horizontal="center" vertical="center"/>
    </xf>
    <xf numFmtId="0" fontId="1" fillId="0" borderId="2" xfId="4" applyFont="1" applyBorder="1" applyAlignment="1">
      <alignment horizontal="center" vertical="center" wrapText="1"/>
    </xf>
    <xf numFmtId="0" fontId="0" fillId="0" borderId="1" xfId="4" applyFont="1" applyBorder="1" applyAlignment="1">
      <alignment horizontal="center" vertical="center"/>
    </xf>
    <xf numFmtId="0" fontId="5" fillId="0" borderId="1" xfId="4" applyFont="1" applyBorder="1" applyAlignment="1">
      <alignment horizontal="left"/>
    </xf>
    <xf numFmtId="0" fontId="1" fillId="0" borderId="0" xfId="4" applyFont="1" applyBorder="1" applyAlignment="1">
      <alignment horizontal="justify" vertical="center" wrapText="1"/>
    </xf>
    <xf numFmtId="0" fontId="1" fillId="0" borderId="7" xfId="4" applyFont="1" applyBorder="1" applyAlignment="1">
      <alignment horizontal="center" vertical="center" wrapText="1"/>
    </xf>
    <xf numFmtId="0" fontId="1" fillId="0" borderId="8" xfId="4" applyFont="1" applyBorder="1" applyAlignment="1">
      <alignment horizontal="center" vertical="center" wrapText="1"/>
    </xf>
    <xf numFmtId="0" fontId="1" fillId="0" borderId="6" xfId="4" applyFont="1" applyBorder="1" applyAlignment="1">
      <alignment horizontal="center" vertical="center" wrapText="1"/>
    </xf>
    <xf numFmtId="0" fontId="1" fillId="0" borderId="0" xfId="0" applyFont="1" applyBorder="1" applyAlignment="1">
      <alignment horizontal="justify" vertical="center" wrapText="1"/>
    </xf>
    <xf numFmtId="0" fontId="4" fillId="0" borderId="1" xfId="4" applyFont="1" applyBorder="1" applyAlignment="1">
      <alignment horizontal="center" vertical="center"/>
    </xf>
    <xf numFmtId="0" fontId="0" fillId="0" borderId="0" xfId="4" applyFont="1" applyBorder="1" applyAlignment="1">
      <alignment horizontal="center"/>
    </xf>
    <xf numFmtId="0" fontId="1" fillId="0" borderId="0" xfId="4" applyFont="1" applyBorder="1" applyAlignment="1">
      <alignment horizontal="center"/>
    </xf>
    <xf numFmtId="0" fontId="2" fillId="0" borderId="0" xfId="4" applyFont="1" applyBorder="1" applyAlignment="1">
      <alignment horizontal="center" vertical="center" wrapText="1"/>
    </xf>
    <xf numFmtId="0" fontId="2" fillId="0" borderId="0" xfId="4" applyFont="1" applyBorder="1" applyAlignment="1">
      <alignment horizontal="center" vertical="center"/>
    </xf>
    <xf numFmtId="0" fontId="2" fillId="0" borderId="44" xfId="4" applyFont="1" applyFill="1" applyBorder="1" applyAlignment="1">
      <alignment horizontal="center" vertical="center"/>
    </xf>
    <xf numFmtId="0" fontId="18" fillId="0" borderId="44" xfId="0" applyFont="1" applyBorder="1" applyAlignment="1">
      <alignment horizontal="center" vertical="center"/>
    </xf>
    <xf numFmtId="0" fontId="1" fillId="0" borderId="1" xfId="4" applyFont="1" applyBorder="1" applyAlignment="1">
      <alignment horizontal="center" vertical="center" wrapText="1"/>
    </xf>
    <xf numFmtId="0" fontId="6" fillId="0" borderId="20" xfId="0" applyFont="1" applyBorder="1" applyAlignment="1">
      <alignment horizontal="left"/>
    </xf>
    <xf numFmtId="166" fontId="0" fillId="0" borderId="0" xfId="0" applyNumberFormat="1" applyFont="1" applyBorder="1" applyAlignment="1">
      <alignment horizontal="center" vertical="top" wrapText="1"/>
    </xf>
    <xf numFmtId="166" fontId="0" fillId="0" borderId="0" xfId="0" applyNumberFormat="1" applyFont="1" applyBorder="1" applyAlignment="1">
      <alignment horizontal="center" wrapText="1"/>
    </xf>
    <xf numFmtId="0" fontId="6" fillId="0" borderId="18" xfId="0" applyFont="1" applyBorder="1" applyAlignment="1">
      <alignment horizontal="left"/>
    </xf>
    <xf numFmtId="0" fontId="6" fillId="0" borderId="14" xfId="0" applyFont="1" applyBorder="1" applyAlignment="1">
      <alignment horizontal="left"/>
    </xf>
    <xf numFmtId="0" fontId="6" fillId="0" borderId="16" xfId="0" applyFont="1" applyBorder="1" applyAlignment="1">
      <alignment horizontal="left"/>
    </xf>
    <xf numFmtId="0" fontId="0" fillId="0" borderId="14" xfId="0" applyFont="1" applyBorder="1" applyAlignment="1">
      <alignment horizontal="left"/>
    </xf>
    <xf numFmtId="0" fontId="0" fillId="0" borderId="16" xfId="0" applyFont="1" applyBorder="1" applyAlignment="1">
      <alignment horizontal="left"/>
    </xf>
    <xf numFmtId="0" fontId="0" fillId="0" borderId="18" xfId="0" applyFont="1" applyBorder="1" applyAlignment="1">
      <alignment horizontal="left"/>
    </xf>
    <xf numFmtId="0" fontId="0" fillId="0" borderId="27" xfId="0" applyFont="1" applyBorder="1" applyAlignment="1">
      <alignment horizontal="left"/>
    </xf>
    <xf numFmtId="0" fontId="12" fillId="0" borderId="0" xfId="0" applyFont="1" applyBorder="1" applyAlignment="1">
      <alignment horizontal="left"/>
    </xf>
    <xf numFmtId="0" fontId="1" fillId="0" borderId="42" xfId="0" applyFont="1" applyFill="1" applyBorder="1" applyAlignment="1">
      <alignment horizontal="center" vertical="center" wrapText="1"/>
    </xf>
  </cellXfs>
  <cellStyles count="5">
    <cellStyle name="Comma" xfId="1" builtinId="3"/>
    <cellStyle name="Currency" xfId="2" builtinId="4"/>
    <cellStyle name="Explanatory Text" xfId="4" builtinId="53" customBuiltin="1"/>
    <cellStyle name="Normal" xfId="0" builtinId="0"/>
    <cellStyle name="Percent" xfId="3"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9D9D9"/>
      <rgbColor rgb="FF808080"/>
      <rgbColor rgb="FF9999FF"/>
      <rgbColor rgb="FF993366"/>
      <rgbColor rgb="FFFFFFCC"/>
      <rgbColor rgb="FFCCFFFF"/>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FAC090"/>
      <rgbColor rgb="FF3366FF"/>
      <rgbColor rgb="FF33CCCC"/>
      <rgbColor rgb="FF92D050"/>
      <rgbColor rgb="FFFFCC00"/>
      <rgbColor rgb="FFFF9900"/>
      <rgbColor rgb="FFFF6600"/>
      <rgbColor rgb="FF666699"/>
      <rgbColor rgb="FF969696"/>
      <rgbColor rgb="FF003366"/>
      <rgbColor rgb="FF339966"/>
      <rgbColor rgb="FF003300"/>
      <rgbColor rgb="FF333300"/>
      <rgbColor rgb="FFDD0806"/>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428760</xdr:colOff>
      <xdr:row>1</xdr:row>
      <xdr:rowOff>99360</xdr:rowOff>
    </xdr:to>
    <xdr:sp macro="" textlink="">
      <xdr:nvSpPr>
        <xdr:cNvPr id="2" name="CustomShape 1">
          <a:extLst>
            <a:ext uri="{FF2B5EF4-FFF2-40B4-BE49-F238E27FC236}">
              <a16:creationId xmlns:a16="http://schemas.microsoft.com/office/drawing/2014/main" id="{F7B821F3-4DB7-744D-8F5F-87C0986675AA}"/>
            </a:ext>
          </a:extLst>
        </xdr:cNvPr>
        <xdr:cNvSpPr/>
      </xdr:nvSpPr>
      <xdr:spPr>
        <a:xfrm>
          <a:off x="0" y="0"/>
          <a:ext cx="110186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3" name="CustomShape 1">
          <a:extLst>
            <a:ext uri="{FF2B5EF4-FFF2-40B4-BE49-F238E27FC236}">
              <a16:creationId xmlns:a16="http://schemas.microsoft.com/office/drawing/2014/main" id="{6669FDE1-E26D-CC4E-8D8A-757112A18D8E}"/>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4" name="CustomShape 1">
          <a:extLst>
            <a:ext uri="{FF2B5EF4-FFF2-40B4-BE49-F238E27FC236}">
              <a16:creationId xmlns:a16="http://schemas.microsoft.com/office/drawing/2014/main" id="{6744BCBC-FE6A-4D4E-9577-BF434908F8F5}"/>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5" name="CustomShape 1">
          <a:extLst>
            <a:ext uri="{FF2B5EF4-FFF2-40B4-BE49-F238E27FC236}">
              <a16:creationId xmlns:a16="http://schemas.microsoft.com/office/drawing/2014/main" id="{B9E99683-B808-664A-B8FB-95F3F27438B4}"/>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6" name="CustomShape 1">
          <a:extLst>
            <a:ext uri="{FF2B5EF4-FFF2-40B4-BE49-F238E27FC236}">
              <a16:creationId xmlns:a16="http://schemas.microsoft.com/office/drawing/2014/main" id="{97A78D24-F98D-304D-A465-47F3426A2809}"/>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7" name="CustomShape 1">
          <a:extLst>
            <a:ext uri="{FF2B5EF4-FFF2-40B4-BE49-F238E27FC236}">
              <a16:creationId xmlns:a16="http://schemas.microsoft.com/office/drawing/2014/main" id="{C9998774-F61B-7B47-A4F4-036E5C6789C6}"/>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8" name="CustomShape 1">
          <a:extLst>
            <a:ext uri="{FF2B5EF4-FFF2-40B4-BE49-F238E27FC236}">
              <a16:creationId xmlns:a16="http://schemas.microsoft.com/office/drawing/2014/main" id="{F4454DD2-21D5-864D-82BF-BDC71BB20FB8}"/>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9" name="CustomShape 1">
          <a:extLst>
            <a:ext uri="{FF2B5EF4-FFF2-40B4-BE49-F238E27FC236}">
              <a16:creationId xmlns:a16="http://schemas.microsoft.com/office/drawing/2014/main" id="{8300D191-BF16-A743-BCFC-A2AA7C06BD35}"/>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0" name="CustomShape 1">
          <a:extLst>
            <a:ext uri="{FF2B5EF4-FFF2-40B4-BE49-F238E27FC236}">
              <a16:creationId xmlns:a16="http://schemas.microsoft.com/office/drawing/2014/main" id="{3837E8DA-0DCD-D547-A8CF-3517865E4333}"/>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1</xdr:col>
      <xdr:colOff>428761</xdr:colOff>
      <xdr:row>85</xdr:row>
      <xdr:rowOff>99001</xdr:rowOff>
    </xdr:to>
    <xdr:sp macro="" textlink="">
      <xdr:nvSpPr>
        <xdr:cNvPr id="11" name="CustomShape 1">
          <a:extLst>
            <a:ext uri="{FF2B5EF4-FFF2-40B4-BE49-F238E27FC236}">
              <a16:creationId xmlns:a16="http://schemas.microsoft.com/office/drawing/2014/main" id="{189E4DA1-15DC-804A-92E9-107B50B073F4}"/>
            </a:ext>
          </a:extLst>
        </xdr:cNvPr>
        <xdr:cNvSpPr/>
      </xdr:nvSpPr>
      <xdr:spPr>
        <a:xfrm>
          <a:off x="0" y="14160500"/>
          <a:ext cx="1101861"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2" name="CustomShape 1">
          <a:extLst>
            <a:ext uri="{FF2B5EF4-FFF2-40B4-BE49-F238E27FC236}">
              <a16:creationId xmlns:a16="http://schemas.microsoft.com/office/drawing/2014/main" id="{0976A045-F667-A742-A09E-BBEBC1659E67}"/>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3" name="CustomShape 1">
          <a:extLst>
            <a:ext uri="{FF2B5EF4-FFF2-40B4-BE49-F238E27FC236}">
              <a16:creationId xmlns:a16="http://schemas.microsoft.com/office/drawing/2014/main" id="{0B9DC293-3394-7C48-89F8-AA22968F217C}"/>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1</xdr:col>
      <xdr:colOff>428761</xdr:colOff>
      <xdr:row>85</xdr:row>
      <xdr:rowOff>99001</xdr:rowOff>
    </xdr:to>
    <xdr:sp macro="" textlink="">
      <xdr:nvSpPr>
        <xdr:cNvPr id="14" name="CustomShape 1">
          <a:extLst>
            <a:ext uri="{FF2B5EF4-FFF2-40B4-BE49-F238E27FC236}">
              <a16:creationId xmlns:a16="http://schemas.microsoft.com/office/drawing/2014/main" id="{1B7D373A-EA6C-A241-9260-FACC26865F27}"/>
            </a:ext>
          </a:extLst>
        </xdr:cNvPr>
        <xdr:cNvSpPr/>
      </xdr:nvSpPr>
      <xdr:spPr>
        <a:xfrm>
          <a:off x="0" y="14160500"/>
          <a:ext cx="1101861"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5" name="CustomShape 1">
          <a:extLst>
            <a:ext uri="{FF2B5EF4-FFF2-40B4-BE49-F238E27FC236}">
              <a16:creationId xmlns:a16="http://schemas.microsoft.com/office/drawing/2014/main" id="{FF8BC01A-9663-9D49-8A30-F89F4F545B85}"/>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84</xdr:row>
      <xdr:rowOff>0</xdr:rowOff>
    </xdr:from>
    <xdr:to>
      <xdr:col>2</xdr:col>
      <xdr:colOff>51120</xdr:colOff>
      <xdr:row>85</xdr:row>
      <xdr:rowOff>99001</xdr:rowOff>
    </xdr:to>
    <xdr:sp macro="" textlink="">
      <xdr:nvSpPr>
        <xdr:cNvPr id="16" name="CustomShape 1">
          <a:extLst>
            <a:ext uri="{FF2B5EF4-FFF2-40B4-BE49-F238E27FC236}">
              <a16:creationId xmlns:a16="http://schemas.microsoft.com/office/drawing/2014/main" id="{D6FE7338-B3DF-0D4A-BBF1-C988DD33EEC1}"/>
            </a:ext>
          </a:extLst>
        </xdr:cNvPr>
        <xdr:cNvSpPr/>
      </xdr:nvSpPr>
      <xdr:spPr>
        <a:xfrm>
          <a:off x="0" y="141605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17" name="CustomShape 1">
          <a:extLst>
            <a:ext uri="{FF2B5EF4-FFF2-40B4-BE49-F238E27FC236}">
              <a16:creationId xmlns:a16="http://schemas.microsoft.com/office/drawing/2014/main" id="{A338B63E-2E7A-7A4D-9C25-A22452DA2283}"/>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8" name="CustomShape 1">
          <a:extLst>
            <a:ext uri="{FF2B5EF4-FFF2-40B4-BE49-F238E27FC236}">
              <a16:creationId xmlns:a16="http://schemas.microsoft.com/office/drawing/2014/main" id="{4F1415C1-2BBD-CB43-8806-5C010D73946B}"/>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19" name="CustomShape 1">
          <a:extLst>
            <a:ext uri="{FF2B5EF4-FFF2-40B4-BE49-F238E27FC236}">
              <a16:creationId xmlns:a16="http://schemas.microsoft.com/office/drawing/2014/main" id="{8E2771D5-8309-9547-A916-F01937D0141C}"/>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1</xdr:col>
      <xdr:colOff>428760</xdr:colOff>
      <xdr:row>1</xdr:row>
      <xdr:rowOff>99360</xdr:rowOff>
    </xdr:to>
    <xdr:sp macro="" textlink="">
      <xdr:nvSpPr>
        <xdr:cNvPr id="20" name="CustomShape 1">
          <a:extLst>
            <a:ext uri="{FF2B5EF4-FFF2-40B4-BE49-F238E27FC236}">
              <a16:creationId xmlns:a16="http://schemas.microsoft.com/office/drawing/2014/main" id="{FFA0205E-0CB5-9342-A936-952E7457FF17}"/>
            </a:ext>
          </a:extLst>
        </xdr:cNvPr>
        <xdr:cNvSpPr/>
      </xdr:nvSpPr>
      <xdr:spPr>
        <a:xfrm>
          <a:off x="0" y="0"/>
          <a:ext cx="110186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21" name="CustomShape 1">
          <a:extLst>
            <a:ext uri="{FF2B5EF4-FFF2-40B4-BE49-F238E27FC236}">
              <a16:creationId xmlns:a16="http://schemas.microsoft.com/office/drawing/2014/main" id="{3C979DF0-6B2D-B842-8427-FB55D5D1E857}"/>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51480</xdr:colOff>
      <xdr:row>1</xdr:row>
      <xdr:rowOff>99360</xdr:rowOff>
    </xdr:to>
    <xdr:sp macro="" textlink="">
      <xdr:nvSpPr>
        <xdr:cNvPr id="22" name="CustomShape 1">
          <a:extLst>
            <a:ext uri="{FF2B5EF4-FFF2-40B4-BE49-F238E27FC236}">
              <a16:creationId xmlns:a16="http://schemas.microsoft.com/office/drawing/2014/main" id="{265519EA-D608-6D4D-B3A3-0C6D0732CB34}"/>
            </a:ext>
          </a:extLst>
        </xdr:cNvPr>
        <xdr:cNvSpPr/>
      </xdr:nvSpPr>
      <xdr:spPr>
        <a:xfrm>
          <a:off x="0" y="0"/>
          <a:ext cx="139768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23" name="CustomShape 1">
          <a:extLst>
            <a:ext uri="{FF2B5EF4-FFF2-40B4-BE49-F238E27FC236}">
              <a16:creationId xmlns:a16="http://schemas.microsoft.com/office/drawing/2014/main" id="{F74D1C7D-528D-8A42-82E2-17473DDB7275}"/>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4" name="CustomShape 1">
          <a:extLst>
            <a:ext uri="{FF2B5EF4-FFF2-40B4-BE49-F238E27FC236}">
              <a16:creationId xmlns:a16="http://schemas.microsoft.com/office/drawing/2014/main" id="{F5BA44E5-E98E-5E44-9131-68A9A618A320}"/>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5" name="CustomShape 1">
          <a:extLst>
            <a:ext uri="{FF2B5EF4-FFF2-40B4-BE49-F238E27FC236}">
              <a16:creationId xmlns:a16="http://schemas.microsoft.com/office/drawing/2014/main" id="{3CFD2122-F140-AE4B-95D2-1A0EF27F8B5B}"/>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1</xdr:col>
      <xdr:colOff>428760</xdr:colOff>
      <xdr:row>44</xdr:row>
      <xdr:rowOff>60841</xdr:rowOff>
    </xdr:to>
    <xdr:sp macro="" textlink="">
      <xdr:nvSpPr>
        <xdr:cNvPr id="26" name="CustomShape 1">
          <a:extLst>
            <a:ext uri="{FF2B5EF4-FFF2-40B4-BE49-F238E27FC236}">
              <a16:creationId xmlns:a16="http://schemas.microsoft.com/office/drawing/2014/main" id="{F85A54CD-F5CD-B74F-9564-90FE6B80EB05}"/>
            </a:ext>
          </a:extLst>
        </xdr:cNvPr>
        <xdr:cNvSpPr/>
      </xdr:nvSpPr>
      <xdr:spPr>
        <a:xfrm>
          <a:off x="0" y="7353300"/>
          <a:ext cx="110186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7" name="CustomShape 1">
          <a:extLst>
            <a:ext uri="{FF2B5EF4-FFF2-40B4-BE49-F238E27FC236}">
              <a16:creationId xmlns:a16="http://schemas.microsoft.com/office/drawing/2014/main" id="{AF7A11B6-F5D8-0A46-9690-B6179C0B5C1D}"/>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43</xdr:row>
      <xdr:rowOff>0</xdr:rowOff>
    </xdr:from>
    <xdr:to>
      <xdr:col>2</xdr:col>
      <xdr:colOff>51480</xdr:colOff>
      <xdr:row>44</xdr:row>
      <xdr:rowOff>60841</xdr:rowOff>
    </xdr:to>
    <xdr:sp macro="" textlink="">
      <xdr:nvSpPr>
        <xdr:cNvPr id="28" name="CustomShape 1">
          <a:extLst>
            <a:ext uri="{FF2B5EF4-FFF2-40B4-BE49-F238E27FC236}">
              <a16:creationId xmlns:a16="http://schemas.microsoft.com/office/drawing/2014/main" id="{1958045C-80D9-F346-A7C4-2A57E8F1DBEE}"/>
            </a:ext>
          </a:extLst>
        </xdr:cNvPr>
        <xdr:cNvSpPr/>
      </xdr:nvSpPr>
      <xdr:spPr>
        <a:xfrm>
          <a:off x="0" y="7353300"/>
          <a:ext cx="1397680" cy="26404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1</xdr:col>
      <xdr:colOff>428760</xdr:colOff>
      <xdr:row>46</xdr:row>
      <xdr:rowOff>98999</xdr:rowOff>
    </xdr:to>
    <xdr:sp macro="" textlink="">
      <xdr:nvSpPr>
        <xdr:cNvPr id="29" name="CustomShape 1">
          <a:extLst>
            <a:ext uri="{FF2B5EF4-FFF2-40B4-BE49-F238E27FC236}">
              <a16:creationId xmlns:a16="http://schemas.microsoft.com/office/drawing/2014/main" id="{09E309EB-9D69-B841-999F-ABCFED371198}"/>
            </a:ext>
          </a:extLst>
        </xdr:cNvPr>
        <xdr:cNvSpPr/>
      </xdr:nvSpPr>
      <xdr:spPr>
        <a:xfrm>
          <a:off x="0" y="77216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0" name="CustomShape 1">
          <a:extLst>
            <a:ext uri="{FF2B5EF4-FFF2-40B4-BE49-F238E27FC236}">
              <a16:creationId xmlns:a16="http://schemas.microsoft.com/office/drawing/2014/main" id="{AAEAC0F6-5112-EC4D-8A03-BF68EF7B9F28}"/>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1" name="CustomShape 1">
          <a:extLst>
            <a:ext uri="{FF2B5EF4-FFF2-40B4-BE49-F238E27FC236}">
              <a16:creationId xmlns:a16="http://schemas.microsoft.com/office/drawing/2014/main" id="{47E9EE9C-8DEC-F64B-98C8-9D3588F96C7A}"/>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1</xdr:col>
      <xdr:colOff>428760</xdr:colOff>
      <xdr:row>46</xdr:row>
      <xdr:rowOff>98999</xdr:rowOff>
    </xdr:to>
    <xdr:sp macro="" textlink="">
      <xdr:nvSpPr>
        <xdr:cNvPr id="32" name="CustomShape 1">
          <a:extLst>
            <a:ext uri="{FF2B5EF4-FFF2-40B4-BE49-F238E27FC236}">
              <a16:creationId xmlns:a16="http://schemas.microsoft.com/office/drawing/2014/main" id="{F40E563E-1039-A74A-9DDB-DCEC5D7D41A4}"/>
            </a:ext>
          </a:extLst>
        </xdr:cNvPr>
        <xdr:cNvSpPr/>
      </xdr:nvSpPr>
      <xdr:spPr>
        <a:xfrm>
          <a:off x="0" y="77216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45</xdr:row>
      <xdr:rowOff>0</xdr:rowOff>
    </xdr:from>
    <xdr:to>
      <xdr:col>2</xdr:col>
      <xdr:colOff>51480</xdr:colOff>
      <xdr:row>46</xdr:row>
      <xdr:rowOff>98999</xdr:rowOff>
    </xdr:to>
    <xdr:sp macro="" textlink="">
      <xdr:nvSpPr>
        <xdr:cNvPr id="33" name="CustomShape 1">
          <a:extLst>
            <a:ext uri="{FF2B5EF4-FFF2-40B4-BE49-F238E27FC236}">
              <a16:creationId xmlns:a16="http://schemas.microsoft.com/office/drawing/2014/main" id="{8126B69F-E1C5-DF49-B7C7-40BE8DF08B7C}"/>
            </a:ext>
          </a:extLst>
        </xdr:cNvPr>
        <xdr:cNvSpPr/>
      </xdr:nvSpPr>
      <xdr:spPr>
        <a:xfrm>
          <a:off x="0" y="77216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99361</xdr:rowOff>
    </xdr:to>
    <xdr:sp macro="" textlink="">
      <xdr:nvSpPr>
        <xdr:cNvPr id="34" name="CustomShape 1">
          <a:extLst>
            <a:ext uri="{FF2B5EF4-FFF2-40B4-BE49-F238E27FC236}">
              <a16:creationId xmlns:a16="http://schemas.microsoft.com/office/drawing/2014/main" id="{15FC29E0-A02C-9C41-A353-19E49A14F35C}"/>
            </a:ext>
          </a:extLst>
        </xdr:cNvPr>
        <xdr:cNvSpPr/>
      </xdr:nvSpPr>
      <xdr:spPr>
        <a:xfrm>
          <a:off x="0" y="17297400"/>
          <a:ext cx="110186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5" name="CustomShape 1">
          <a:extLst>
            <a:ext uri="{FF2B5EF4-FFF2-40B4-BE49-F238E27FC236}">
              <a16:creationId xmlns:a16="http://schemas.microsoft.com/office/drawing/2014/main" id="{DEA25852-8B4B-6042-BA40-465CB0E893F1}"/>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6" name="CustomShape 1">
          <a:extLst>
            <a:ext uri="{FF2B5EF4-FFF2-40B4-BE49-F238E27FC236}">
              <a16:creationId xmlns:a16="http://schemas.microsoft.com/office/drawing/2014/main" id="{0096D08D-16A4-3942-9F7C-A43F75681D23}"/>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99361</xdr:rowOff>
    </xdr:to>
    <xdr:sp macro="" textlink="">
      <xdr:nvSpPr>
        <xdr:cNvPr id="37" name="CustomShape 1">
          <a:extLst>
            <a:ext uri="{FF2B5EF4-FFF2-40B4-BE49-F238E27FC236}">
              <a16:creationId xmlns:a16="http://schemas.microsoft.com/office/drawing/2014/main" id="{89E368D3-C4CA-1B4F-ACC1-1BB09E9A859D}"/>
            </a:ext>
          </a:extLst>
        </xdr:cNvPr>
        <xdr:cNvSpPr/>
      </xdr:nvSpPr>
      <xdr:spPr>
        <a:xfrm>
          <a:off x="0" y="17297400"/>
          <a:ext cx="110186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8" name="CustomShape 1">
          <a:extLst>
            <a:ext uri="{FF2B5EF4-FFF2-40B4-BE49-F238E27FC236}">
              <a16:creationId xmlns:a16="http://schemas.microsoft.com/office/drawing/2014/main" id="{A9E52DBE-2CE7-B94A-BAC3-5C2B0D6A5657}"/>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51480</xdr:colOff>
      <xdr:row>104</xdr:row>
      <xdr:rowOff>99361</xdr:rowOff>
    </xdr:to>
    <xdr:sp macro="" textlink="">
      <xdr:nvSpPr>
        <xdr:cNvPr id="39" name="CustomShape 1">
          <a:extLst>
            <a:ext uri="{FF2B5EF4-FFF2-40B4-BE49-F238E27FC236}">
              <a16:creationId xmlns:a16="http://schemas.microsoft.com/office/drawing/2014/main" id="{42795876-3650-C342-BB5E-15EEF51BFECD}"/>
            </a:ext>
          </a:extLst>
        </xdr:cNvPr>
        <xdr:cNvSpPr/>
      </xdr:nvSpPr>
      <xdr:spPr>
        <a:xfrm>
          <a:off x="0" y="17297400"/>
          <a:ext cx="1397680" cy="26445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0" name="CustomShape 1">
          <a:extLst>
            <a:ext uri="{FF2B5EF4-FFF2-40B4-BE49-F238E27FC236}">
              <a16:creationId xmlns:a16="http://schemas.microsoft.com/office/drawing/2014/main" id="{77789522-74BC-A144-8B76-2F1C5E177B51}"/>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1" name="CustomShape 1">
          <a:extLst>
            <a:ext uri="{FF2B5EF4-FFF2-40B4-BE49-F238E27FC236}">
              <a16:creationId xmlns:a16="http://schemas.microsoft.com/office/drawing/2014/main" id="{D630176D-1E3F-C148-9346-44CDAEB137CA}"/>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2" name="CustomShape 1">
          <a:extLst>
            <a:ext uri="{FF2B5EF4-FFF2-40B4-BE49-F238E27FC236}">
              <a16:creationId xmlns:a16="http://schemas.microsoft.com/office/drawing/2014/main" id="{1A3B1972-1EDE-CB4D-9214-639121F03E17}"/>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3" name="CustomShape 1">
          <a:extLst>
            <a:ext uri="{FF2B5EF4-FFF2-40B4-BE49-F238E27FC236}">
              <a16:creationId xmlns:a16="http://schemas.microsoft.com/office/drawing/2014/main" id="{5EAE20B4-8960-914D-B997-42F4AFE11809}"/>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4" name="CustomShape 1">
          <a:extLst>
            <a:ext uri="{FF2B5EF4-FFF2-40B4-BE49-F238E27FC236}">
              <a16:creationId xmlns:a16="http://schemas.microsoft.com/office/drawing/2014/main" id="{CBECE177-68E3-C24E-8D6D-13F8F94C3D4D}"/>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5" name="CustomShape 1">
          <a:extLst>
            <a:ext uri="{FF2B5EF4-FFF2-40B4-BE49-F238E27FC236}">
              <a16:creationId xmlns:a16="http://schemas.microsoft.com/office/drawing/2014/main" id="{FB53C0BC-EFCF-2E4D-9268-F61A6999594A}"/>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6" name="CustomShape 1">
          <a:extLst>
            <a:ext uri="{FF2B5EF4-FFF2-40B4-BE49-F238E27FC236}">
              <a16:creationId xmlns:a16="http://schemas.microsoft.com/office/drawing/2014/main" id="{652CBBB3-B780-DE48-9DC0-EE57720DC817}"/>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7" name="CustomShape 1">
          <a:extLst>
            <a:ext uri="{FF2B5EF4-FFF2-40B4-BE49-F238E27FC236}">
              <a16:creationId xmlns:a16="http://schemas.microsoft.com/office/drawing/2014/main" id="{66347F76-9E37-7B46-A8EF-1E77ECECE60D}"/>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48" name="CustomShape 1">
          <a:extLst>
            <a:ext uri="{FF2B5EF4-FFF2-40B4-BE49-F238E27FC236}">
              <a16:creationId xmlns:a16="http://schemas.microsoft.com/office/drawing/2014/main" id="{EBB290EB-D211-DB4B-B6CA-7E348B41C1D1}"/>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49" name="CustomShape 1">
          <a:extLst>
            <a:ext uri="{FF2B5EF4-FFF2-40B4-BE49-F238E27FC236}">
              <a16:creationId xmlns:a16="http://schemas.microsoft.com/office/drawing/2014/main" id="{61670544-99C0-234B-B282-9AA776A4ECF0}"/>
            </a:ext>
          </a:extLst>
        </xdr:cNvPr>
        <xdr:cNvSpPr/>
      </xdr:nvSpPr>
      <xdr:spPr>
        <a:xfrm>
          <a:off x="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50" name="CustomShape 1">
          <a:extLst>
            <a:ext uri="{FF2B5EF4-FFF2-40B4-BE49-F238E27FC236}">
              <a16:creationId xmlns:a16="http://schemas.microsoft.com/office/drawing/2014/main" id="{475419D4-4B3A-F944-9E72-85F5EFCDD845}"/>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51480</xdr:colOff>
      <xdr:row>142</xdr:row>
      <xdr:rowOff>98999</xdr:rowOff>
    </xdr:to>
    <xdr:sp macro="" textlink="">
      <xdr:nvSpPr>
        <xdr:cNvPr id="51" name="CustomShape 1">
          <a:extLst>
            <a:ext uri="{FF2B5EF4-FFF2-40B4-BE49-F238E27FC236}">
              <a16:creationId xmlns:a16="http://schemas.microsoft.com/office/drawing/2014/main" id="{13C1594A-D6DF-5B47-8F1E-FF06B868C5D1}"/>
            </a:ext>
          </a:extLst>
        </xdr:cNvPr>
        <xdr:cNvSpPr/>
      </xdr:nvSpPr>
      <xdr:spPr>
        <a:xfrm>
          <a:off x="0" y="24041100"/>
          <a:ext cx="139768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1</xdr:col>
      <xdr:colOff>428760</xdr:colOff>
      <xdr:row>104</xdr:row>
      <xdr:rowOff>99363</xdr:rowOff>
    </xdr:to>
    <xdr:sp macro="" textlink="">
      <xdr:nvSpPr>
        <xdr:cNvPr id="52" name="CustomShape 1">
          <a:extLst>
            <a:ext uri="{FF2B5EF4-FFF2-40B4-BE49-F238E27FC236}">
              <a16:creationId xmlns:a16="http://schemas.microsoft.com/office/drawing/2014/main" id="{4DFF295B-C47E-584E-93D3-358801780D0A}"/>
            </a:ext>
          </a:extLst>
        </xdr:cNvPr>
        <xdr:cNvSpPr/>
      </xdr:nvSpPr>
      <xdr:spPr>
        <a:xfrm>
          <a:off x="9156700" y="17297400"/>
          <a:ext cx="110186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51119</xdr:colOff>
      <xdr:row>104</xdr:row>
      <xdr:rowOff>99363</xdr:rowOff>
    </xdr:to>
    <xdr:sp macro="" textlink="">
      <xdr:nvSpPr>
        <xdr:cNvPr id="53" name="CustomShape 1">
          <a:extLst>
            <a:ext uri="{FF2B5EF4-FFF2-40B4-BE49-F238E27FC236}">
              <a16:creationId xmlns:a16="http://schemas.microsoft.com/office/drawing/2014/main" id="{6D24CE45-2645-8D4E-A91F-C80F90D6BB17}"/>
            </a:ext>
          </a:extLst>
        </xdr:cNvPr>
        <xdr:cNvSpPr/>
      </xdr:nvSpPr>
      <xdr:spPr>
        <a:xfrm>
          <a:off x="9156700" y="17297400"/>
          <a:ext cx="139732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103</xdr:row>
      <xdr:rowOff>0</xdr:rowOff>
    </xdr:from>
    <xdr:to>
      <xdr:col>2</xdr:col>
      <xdr:colOff>51119</xdr:colOff>
      <xdr:row>104</xdr:row>
      <xdr:rowOff>99363</xdr:rowOff>
    </xdr:to>
    <xdr:sp macro="" textlink="">
      <xdr:nvSpPr>
        <xdr:cNvPr id="54" name="CustomShape 1">
          <a:extLst>
            <a:ext uri="{FF2B5EF4-FFF2-40B4-BE49-F238E27FC236}">
              <a16:creationId xmlns:a16="http://schemas.microsoft.com/office/drawing/2014/main" id="{48F3160D-1BFC-A444-BA01-EABCD286A316}"/>
            </a:ext>
          </a:extLst>
        </xdr:cNvPr>
        <xdr:cNvSpPr/>
      </xdr:nvSpPr>
      <xdr:spPr>
        <a:xfrm>
          <a:off x="9156700" y="17297400"/>
          <a:ext cx="1397320" cy="264461"/>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106</xdr:row>
      <xdr:rowOff>56030</xdr:rowOff>
    </xdr:from>
    <xdr:to>
      <xdr:col>2</xdr:col>
      <xdr:colOff>51119</xdr:colOff>
      <xdr:row>107</xdr:row>
      <xdr:rowOff>155389</xdr:rowOff>
    </xdr:to>
    <xdr:sp macro="" textlink="">
      <xdr:nvSpPr>
        <xdr:cNvPr id="55" name="CustomShape 1">
          <a:extLst>
            <a:ext uri="{FF2B5EF4-FFF2-40B4-BE49-F238E27FC236}">
              <a16:creationId xmlns:a16="http://schemas.microsoft.com/office/drawing/2014/main" id="{4F0E3150-D804-7746-B206-93E93F226EB3}"/>
            </a:ext>
          </a:extLst>
        </xdr:cNvPr>
        <xdr:cNvSpPr/>
      </xdr:nvSpPr>
      <xdr:spPr>
        <a:xfrm>
          <a:off x="9548906" y="17886830"/>
          <a:ext cx="1397320" cy="26446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102</xdr:row>
      <xdr:rowOff>130257</xdr:rowOff>
    </xdr:from>
    <xdr:to>
      <xdr:col>2</xdr:col>
      <xdr:colOff>45834</xdr:colOff>
      <xdr:row>104</xdr:row>
      <xdr:rowOff>66796</xdr:rowOff>
    </xdr:to>
    <xdr:sp macro="" textlink="">
      <xdr:nvSpPr>
        <xdr:cNvPr id="56" name="CustomShape 1">
          <a:extLst>
            <a:ext uri="{FF2B5EF4-FFF2-40B4-BE49-F238E27FC236}">
              <a16:creationId xmlns:a16="http://schemas.microsoft.com/office/drawing/2014/main" id="{8D280D0D-EBE0-4E4E-80FE-C3C76CADC63F}"/>
            </a:ext>
          </a:extLst>
        </xdr:cNvPr>
        <xdr:cNvSpPr/>
      </xdr:nvSpPr>
      <xdr:spPr>
        <a:xfrm>
          <a:off x="12450016" y="17262557"/>
          <a:ext cx="1394877" cy="266739"/>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57" name="CustomShape 1">
          <a:extLst>
            <a:ext uri="{FF2B5EF4-FFF2-40B4-BE49-F238E27FC236}">
              <a16:creationId xmlns:a16="http://schemas.microsoft.com/office/drawing/2014/main" id="{C14081C9-2EA0-334F-82A4-1D3CC728C651}"/>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58" name="CustomShape 1">
          <a:extLst>
            <a:ext uri="{FF2B5EF4-FFF2-40B4-BE49-F238E27FC236}">
              <a16:creationId xmlns:a16="http://schemas.microsoft.com/office/drawing/2014/main" id="{FDC2B446-09F9-7245-9838-925C41726A51}"/>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59" name="CustomShape 1">
          <a:extLst>
            <a:ext uri="{FF2B5EF4-FFF2-40B4-BE49-F238E27FC236}">
              <a16:creationId xmlns:a16="http://schemas.microsoft.com/office/drawing/2014/main" id="{918F834A-0E06-F040-988F-DCC3537A11F7}"/>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0" name="CustomShape 1">
          <a:extLst>
            <a:ext uri="{FF2B5EF4-FFF2-40B4-BE49-F238E27FC236}">
              <a16:creationId xmlns:a16="http://schemas.microsoft.com/office/drawing/2014/main" id="{AD43A9EB-9567-3B4B-AC47-E5FA8C745A74}"/>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1" name="CustomShape 1">
          <a:extLst>
            <a:ext uri="{FF2B5EF4-FFF2-40B4-BE49-F238E27FC236}">
              <a16:creationId xmlns:a16="http://schemas.microsoft.com/office/drawing/2014/main" id="{95FCBE0C-EBD4-2E4D-93A5-2F561006827E}"/>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2" name="CustomShape 1">
          <a:extLst>
            <a:ext uri="{FF2B5EF4-FFF2-40B4-BE49-F238E27FC236}">
              <a16:creationId xmlns:a16="http://schemas.microsoft.com/office/drawing/2014/main" id="{5F0FE577-3A23-C445-B579-D14020212542}"/>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3" name="CustomShape 1">
          <a:extLst>
            <a:ext uri="{FF2B5EF4-FFF2-40B4-BE49-F238E27FC236}">
              <a16:creationId xmlns:a16="http://schemas.microsoft.com/office/drawing/2014/main" id="{A88D4AE8-2054-6041-B3D9-6C9C378EA8BA}"/>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4" name="CustomShape 1">
          <a:extLst>
            <a:ext uri="{FF2B5EF4-FFF2-40B4-BE49-F238E27FC236}">
              <a16:creationId xmlns:a16="http://schemas.microsoft.com/office/drawing/2014/main" id="{B8AAE203-9BAE-9D4F-8AD8-29F18CCF574D}"/>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2</xdr:col>
      <xdr:colOff>51119</xdr:colOff>
      <xdr:row>142</xdr:row>
      <xdr:rowOff>98999</xdr:rowOff>
    </xdr:to>
    <xdr:sp macro="" textlink="">
      <xdr:nvSpPr>
        <xdr:cNvPr id="65" name="CustomShape 1">
          <a:extLst>
            <a:ext uri="{FF2B5EF4-FFF2-40B4-BE49-F238E27FC236}">
              <a16:creationId xmlns:a16="http://schemas.microsoft.com/office/drawing/2014/main" id="{3D9E1FC4-F215-7849-AFA8-CF8DE2BC52B1}"/>
            </a:ext>
          </a:extLst>
        </xdr:cNvPr>
        <xdr:cNvSpPr/>
      </xdr:nvSpPr>
      <xdr:spPr>
        <a:xfrm>
          <a:off x="9156700" y="24041100"/>
          <a:ext cx="139732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141</xdr:row>
      <xdr:rowOff>0</xdr:rowOff>
    </xdr:from>
    <xdr:to>
      <xdr:col>1</xdr:col>
      <xdr:colOff>428760</xdr:colOff>
      <xdr:row>142</xdr:row>
      <xdr:rowOff>98999</xdr:rowOff>
    </xdr:to>
    <xdr:sp macro="" textlink="">
      <xdr:nvSpPr>
        <xdr:cNvPr id="66" name="CustomShape 1">
          <a:extLst>
            <a:ext uri="{FF2B5EF4-FFF2-40B4-BE49-F238E27FC236}">
              <a16:creationId xmlns:a16="http://schemas.microsoft.com/office/drawing/2014/main" id="{0B84AEED-3F00-3F42-B291-64F9AEE3208F}"/>
            </a:ext>
          </a:extLst>
        </xdr:cNvPr>
        <xdr:cNvSpPr/>
      </xdr:nvSpPr>
      <xdr:spPr>
        <a:xfrm>
          <a:off x="9156700" y="24041100"/>
          <a:ext cx="1101860" cy="264100"/>
        </a:xfrm>
        <a:prstGeom prst="rect">
          <a:avLst/>
        </a:prstGeom>
        <a:noFill/>
        <a:ln>
          <a:noFill/>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190440</xdr:colOff>
      <xdr:row>10</xdr:row>
      <xdr:rowOff>228600</xdr:rowOff>
    </xdr:from>
    <xdr:to>
      <xdr:col>2</xdr:col>
      <xdr:colOff>733320</xdr:colOff>
      <xdr:row>10</xdr:row>
      <xdr:rowOff>228600</xdr:rowOff>
    </xdr:to>
    <xdr:sp macro="" textlink="">
      <xdr:nvSpPr>
        <xdr:cNvPr id="118" name="Line 1">
          <a:extLst>
            <a:ext uri="{FF2B5EF4-FFF2-40B4-BE49-F238E27FC236}">
              <a16:creationId xmlns:a16="http://schemas.microsoft.com/office/drawing/2014/main" id="{00000000-0008-0000-0900-000076000000}"/>
            </a:ext>
          </a:extLst>
        </xdr:cNvPr>
        <xdr:cNvSpPr/>
      </xdr:nvSpPr>
      <xdr:spPr>
        <a:xfrm>
          <a:off x="4305240" y="2374560"/>
          <a:ext cx="542880" cy="0"/>
        </a:xfrm>
        <a:prstGeom prst="line">
          <a:avLst/>
        </a:prstGeom>
        <a:ln w="9360">
          <a:solidFill>
            <a:srgbClr val="0000D4"/>
          </a:solidFill>
          <a:round/>
          <a:tailEnd type="triangle" w="med" len="med"/>
        </a:ln>
      </xdr:spPr>
      <xdr:style>
        <a:lnRef idx="0">
          <a:scrgbClr r="0" g="0" b="0"/>
        </a:lnRef>
        <a:fillRef idx="0">
          <a:scrgbClr r="0" g="0" b="0"/>
        </a:fillRef>
        <a:effectRef idx="0">
          <a:scrgbClr r="0" g="0" b="0"/>
        </a:effectRef>
        <a:fontRef idx="minor"/>
      </xdr:style>
    </xdr:sp>
    <xdr:clientData/>
  </xdr:twoCellAnchor>
  <xdr:twoCellAnchor editAs="oneCell">
    <xdr:from>
      <xdr:col>2</xdr:col>
      <xdr:colOff>161640</xdr:colOff>
      <xdr:row>11</xdr:row>
      <xdr:rowOff>228600</xdr:rowOff>
    </xdr:from>
    <xdr:to>
      <xdr:col>2</xdr:col>
      <xdr:colOff>704520</xdr:colOff>
      <xdr:row>11</xdr:row>
      <xdr:rowOff>228600</xdr:rowOff>
    </xdr:to>
    <xdr:sp macro="" textlink="">
      <xdr:nvSpPr>
        <xdr:cNvPr id="119" name="Line 1">
          <a:extLst>
            <a:ext uri="{FF2B5EF4-FFF2-40B4-BE49-F238E27FC236}">
              <a16:creationId xmlns:a16="http://schemas.microsoft.com/office/drawing/2014/main" id="{00000000-0008-0000-0900-000077000000}"/>
            </a:ext>
          </a:extLst>
        </xdr:cNvPr>
        <xdr:cNvSpPr/>
      </xdr:nvSpPr>
      <xdr:spPr>
        <a:xfrm>
          <a:off x="4276440" y="2806560"/>
          <a:ext cx="542880" cy="0"/>
        </a:xfrm>
        <a:prstGeom prst="line">
          <a:avLst/>
        </a:prstGeom>
        <a:ln w="9360">
          <a:solidFill>
            <a:srgbClr val="0000D4"/>
          </a:solidFill>
          <a:round/>
          <a:tailEnd type="triangle" w="med" len="med"/>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0F972-F29D-AF4C-A275-F191EE9BAD1F}">
  <dimension ref="A1:AME158"/>
  <sheetViews>
    <sheetView showGridLines="0" tabSelected="1" topLeftCell="A55" zoomScale="134" zoomScaleNormal="80" workbookViewId="0">
      <selection activeCell="G103" sqref="G103"/>
    </sheetView>
  </sheetViews>
  <sheetFormatPr defaultColWidth="8.77734375" defaultRowHeight="13.2" x14ac:dyDescent="0.25"/>
  <cols>
    <col min="1" max="4" width="8.77734375" style="212"/>
    <col min="5" max="7" width="16.77734375" style="212" customWidth="1"/>
    <col min="8" max="8" width="16.6640625" style="212" customWidth="1"/>
    <col min="9" max="13" width="8.77734375" style="212"/>
    <col min="14" max="14" width="10.109375" style="212" bestFit="1" customWidth="1"/>
    <col min="15" max="18" width="16.77734375" style="212" customWidth="1"/>
    <col min="19" max="1019" width="8.77734375" style="212"/>
  </cols>
  <sheetData>
    <row r="1" spans="1:1019" ht="13.05" customHeight="1" x14ac:dyDescent="0.25">
      <c r="A1" s="282" t="s">
        <v>225</v>
      </c>
      <c r="B1" s="282"/>
      <c r="C1" s="282"/>
      <c r="D1" s="282"/>
      <c r="E1" s="282"/>
      <c r="F1" s="282"/>
      <c r="G1" s="282"/>
      <c r="H1" s="282"/>
      <c r="I1" s="282"/>
      <c r="K1" s="1"/>
      <c r="L1" s="1"/>
      <c r="M1" s="1"/>
      <c r="N1" s="1"/>
      <c r="O1" s="1"/>
      <c r="P1" s="1"/>
      <c r="Q1" s="1"/>
      <c r="R1" s="1"/>
      <c r="S1" s="1"/>
    </row>
    <row r="2" spans="1:1019" x14ac:dyDescent="0.25">
      <c r="A2" s="283" t="s">
        <v>0</v>
      </c>
      <c r="B2" s="283"/>
      <c r="C2" s="283"/>
      <c r="D2" s="283"/>
      <c r="E2" s="283"/>
      <c r="F2" s="283"/>
      <c r="G2" s="283"/>
      <c r="H2" s="283"/>
      <c r="I2" s="283"/>
      <c r="K2" s="1"/>
      <c r="L2" s="1"/>
      <c r="M2" s="1"/>
      <c r="N2" s="1"/>
      <c r="O2" s="1"/>
      <c r="P2" s="1"/>
      <c r="Q2" s="1"/>
      <c r="R2" s="1"/>
      <c r="S2" s="1"/>
    </row>
    <row r="3" spans="1:1019" ht="16.05" customHeight="1" x14ac:dyDescent="0.25">
      <c r="A3" s="284" t="s">
        <v>24</v>
      </c>
      <c r="B3" s="284"/>
      <c r="C3" s="284"/>
      <c r="D3" s="284"/>
      <c r="E3" s="284"/>
      <c r="F3" s="284"/>
      <c r="G3" s="284"/>
      <c r="H3" s="284"/>
      <c r="I3" s="284"/>
      <c r="K3" s="1"/>
      <c r="L3" s="1"/>
      <c r="M3" s="1"/>
      <c r="N3" s="1"/>
      <c r="O3" s="1"/>
      <c r="P3" s="1"/>
      <c r="Q3" s="1"/>
      <c r="R3" s="1"/>
      <c r="S3" s="1"/>
    </row>
    <row r="4" spans="1:1019" ht="13.05" customHeight="1" x14ac:dyDescent="0.25">
      <c r="A4" s="233" t="s">
        <v>27</v>
      </c>
      <c r="B4" s="286" t="s">
        <v>229</v>
      </c>
      <c r="C4" s="286"/>
      <c r="D4" s="286"/>
      <c r="E4" s="286"/>
      <c r="F4" s="286"/>
      <c r="G4" s="286"/>
      <c r="H4" s="16"/>
      <c r="I4" s="16"/>
      <c r="K4" s="1"/>
      <c r="L4" s="1"/>
      <c r="M4" s="1"/>
      <c r="N4" s="1"/>
      <c r="O4" s="1"/>
      <c r="P4" s="1"/>
      <c r="Q4" s="1"/>
      <c r="R4" s="1"/>
      <c r="S4" s="1"/>
    </row>
    <row r="5" spans="1:1019" ht="13.05" customHeight="1" x14ac:dyDescent="0.25">
      <c r="A5" s="287" t="s">
        <v>221</v>
      </c>
      <c r="B5" s="287"/>
      <c r="C5" s="287"/>
      <c r="D5" s="287"/>
      <c r="E5" s="287"/>
      <c r="F5" s="287"/>
      <c r="G5" s="287"/>
      <c r="H5" s="16" t="s">
        <v>230</v>
      </c>
      <c r="I5" s="16"/>
      <c r="J5" s="232"/>
      <c r="K5" s="1"/>
      <c r="L5" s="1"/>
      <c r="M5" s="1"/>
      <c r="N5" s="1"/>
      <c r="O5" s="1"/>
      <c r="P5" s="1"/>
      <c r="Q5" s="1"/>
      <c r="R5" s="1"/>
      <c r="S5" s="1"/>
      <c r="T5" s="232"/>
      <c r="U5" s="232"/>
      <c r="V5" s="232"/>
      <c r="W5" s="232"/>
      <c r="X5" s="232"/>
      <c r="Y5" s="232"/>
      <c r="Z5" s="232"/>
      <c r="AA5" s="232"/>
      <c r="AB5" s="232"/>
      <c r="AC5" s="232"/>
      <c r="AD5" s="232"/>
      <c r="AE5" s="232"/>
      <c r="AF5" s="232"/>
      <c r="AG5" s="232"/>
      <c r="AH5" s="232"/>
      <c r="AI5" s="232"/>
      <c r="AJ5" s="232"/>
      <c r="AK5" s="232"/>
      <c r="AL5" s="232"/>
      <c r="AM5" s="232"/>
      <c r="AN5" s="232"/>
      <c r="AO5" s="232"/>
      <c r="AP5" s="232"/>
      <c r="AQ5" s="232"/>
      <c r="AR5" s="232"/>
      <c r="AS5" s="232"/>
      <c r="AT5" s="232"/>
      <c r="AU5" s="232"/>
      <c r="AV5" s="232"/>
      <c r="AW5" s="232"/>
      <c r="AX5" s="232"/>
      <c r="AY5" s="232"/>
      <c r="AZ5" s="232"/>
      <c r="BA5" s="232"/>
      <c r="BB5" s="232"/>
      <c r="BC5" s="232"/>
      <c r="BD5" s="232"/>
      <c r="BE5" s="232"/>
      <c r="BF5" s="232"/>
      <c r="BG5" s="232"/>
      <c r="BH5" s="232"/>
      <c r="BI5" s="232"/>
      <c r="BJ5" s="232"/>
      <c r="BK5" s="232"/>
      <c r="BL5" s="232"/>
      <c r="BM5" s="232"/>
      <c r="BN5" s="232"/>
      <c r="BO5" s="232"/>
      <c r="BP5" s="232"/>
      <c r="BQ5" s="232"/>
      <c r="BR5" s="232"/>
      <c r="BS5" s="232"/>
      <c r="BT5" s="232"/>
      <c r="BU5" s="232"/>
      <c r="BV5" s="232"/>
      <c r="BW5" s="232"/>
      <c r="BX5" s="232"/>
      <c r="BY5" s="232"/>
      <c r="BZ5" s="232"/>
      <c r="CA5" s="232"/>
      <c r="CB5" s="232"/>
      <c r="CC5" s="232"/>
      <c r="CD5" s="232"/>
      <c r="CE5" s="232"/>
      <c r="CF5" s="232"/>
      <c r="CG5" s="232"/>
      <c r="CH5" s="232"/>
      <c r="CI5" s="232"/>
      <c r="CJ5" s="232"/>
      <c r="CK5" s="232"/>
      <c r="CL5" s="232"/>
      <c r="CM5" s="232"/>
      <c r="CN5" s="232"/>
      <c r="CO5" s="232"/>
      <c r="CP5" s="232"/>
      <c r="CQ5" s="232"/>
      <c r="CR5" s="232"/>
      <c r="CS5" s="232"/>
      <c r="CT5" s="232"/>
      <c r="CU5" s="232"/>
      <c r="CV5" s="232"/>
      <c r="CW5" s="232"/>
      <c r="CX5" s="232"/>
      <c r="CY5" s="232"/>
      <c r="CZ5" s="232"/>
      <c r="DA5" s="232"/>
      <c r="DB5" s="232"/>
      <c r="DC5" s="232"/>
      <c r="DD5" s="232"/>
      <c r="DE5" s="232"/>
      <c r="DF5" s="232"/>
      <c r="DG5" s="232"/>
      <c r="DH5" s="232"/>
      <c r="DI5" s="232"/>
      <c r="DJ5" s="232"/>
      <c r="DK5" s="232"/>
      <c r="DL5" s="232"/>
      <c r="DM5" s="232"/>
      <c r="DN5" s="232"/>
      <c r="DO5" s="232"/>
      <c r="DP5" s="232"/>
      <c r="DQ5" s="232"/>
      <c r="DR5" s="232"/>
      <c r="DS5" s="232"/>
      <c r="DT5" s="232"/>
      <c r="DU5" s="232"/>
      <c r="DV5" s="232"/>
      <c r="DW5" s="232"/>
      <c r="DX5" s="232"/>
      <c r="DY5" s="232"/>
      <c r="DZ5" s="232"/>
      <c r="EA5" s="232"/>
      <c r="EB5" s="232"/>
      <c r="EC5" s="232"/>
      <c r="ED5" s="232"/>
      <c r="EE5" s="232"/>
      <c r="EF5" s="232"/>
      <c r="EG5" s="232"/>
      <c r="EH5" s="232"/>
      <c r="EI5" s="232"/>
      <c r="EJ5" s="232"/>
      <c r="EK5" s="232"/>
      <c r="EL5" s="232"/>
      <c r="EM5" s="232"/>
      <c r="EN5" s="232"/>
      <c r="EO5" s="232"/>
      <c r="EP5" s="232"/>
      <c r="EQ5" s="232"/>
      <c r="ER5" s="232"/>
      <c r="ES5" s="232"/>
      <c r="ET5" s="232"/>
      <c r="EU5" s="232"/>
      <c r="EV5" s="232"/>
      <c r="EW5" s="232"/>
      <c r="EX5" s="232"/>
      <c r="EY5" s="232"/>
      <c r="EZ5" s="232"/>
      <c r="FA5" s="232"/>
      <c r="FB5" s="232"/>
      <c r="FC5" s="232"/>
      <c r="FD5" s="232"/>
      <c r="FE5" s="232"/>
      <c r="FF5" s="232"/>
      <c r="FG5" s="232"/>
      <c r="FH5" s="232"/>
      <c r="FI5" s="232"/>
      <c r="FJ5" s="232"/>
      <c r="FK5" s="232"/>
      <c r="FL5" s="232"/>
      <c r="FM5" s="232"/>
      <c r="FN5" s="232"/>
      <c r="FO5" s="232"/>
      <c r="FP5" s="232"/>
      <c r="FQ5" s="232"/>
      <c r="FR5" s="232"/>
      <c r="FS5" s="232"/>
      <c r="FT5" s="232"/>
      <c r="FU5" s="232"/>
      <c r="FV5" s="232"/>
      <c r="FW5" s="232"/>
      <c r="FX5" s="232"/>
      <c r="FY5" s="232"/>
      <c r="FZ5" s="232"/>
      <c r="GA5" s="232"/>
      <c r="GB5" s="232"/>
      <c r="GC5" s="232"/>
      <c r="GD5" s="232"/>
      <c r="GE5" s="232"/>
      <c r="GF5" s="232"/>
      <c r="GG5" s="232"/>
      <c r="GH5" s="232"/>
      <c r="GI5" s="232"/>
      <c r="GJ5" s="232"/>
      <c r="GK5" s="232"/>
      <c r="GL5" s="232"/>
      <c r="GM5" s="232"/>
      <c r="GN5" s="232"/>
      <c r="GO5" s="232"/>
      <c r="GP5" s="232"/>
      <c r="GQ5" s="232"/>
      <c r="GR5" s="232"/>
      <c r="GS5" s="232"/>
      <c r="GT5" s="232"/>
      <c r="GU5" s="232"/>
      <c r="GV5" s="232"/>
      <c r="GW5" s="232"/>
      <c r="GX5" s="232"/>
      <c r="GY5" s="232"/>
      <c r="GZ5" s="232"/>
      <c r="HA5" s="232"/>
      <c r="HB5" s="232"/>
      <c r="HC5" s="232"/>
      <c r="HD5" s="232"/>
      <c r="HE5" s="232"/>
      <c r="HF5" s="232"/>
      <c r="HG5" s="232"/>
      <c r="HH5" s="232"/>
      <c r="HI5" s="232"/>
      <c r="HJ5" s="232"/>
      <c r="HK5" s="232"/>
      <c r="HL5" s="232"/>
      <c r="HM5" s="232"/>
      <c r="HN5" s="232"/>
      <c r="HO5" s="232"/>
      <c r="HP5" s="232"/>
      <c r="HQ5" s="232"/>
      <c r="HR5" s="232"/>
      <c r="HS5" s="232"/>
      <c r="HT5" s="232"/>
      <c r="HU5" s="232"/>
      <c r="HV5" s="232"/>
      <c r="HW5" s="232"/>
      <c r="HX5" s="232"/>
      <c r="HY5" s="232"/>
      <c r="HZ5" s="232"/>
      <c r="IA5" s="232"/>
      <c r="IB5" s="232"/>
      <c r="IC5" s="232"/>
      <c r="ID5" s="232"/>
      <c r="IE5" s="232"/>
      <c r="IF5" s="232"/>
      <c r="IG5" s="232"/>
      <c r="IH5" s="232"/>
      <c r="II5" s="232"/>
      <c r="IJ5" s="232"/>
      <c r="IK5" s="232"/>
      <c r="IL5" s="232"/>
      <c r="IM5" s="232"/>
      <c r="IN5" s="232"/>
      <c r="IO5" s="232"/>
      <c r="IP5" s="232"/>
      <c r="IQ5" s="232"/>
      <c r="IR5" s="232"/>
      <c r="IS5" s="232"/>
      <c r="IT5" s="232"/>
      <c r="IU5" s="232"/>
      <c r="IV5" s="232"/>
      <c r="IW5" s="232"/>
      <c r="IX5" s="232"/>
      <c r="IY5" s="232"/>
      <c r="IZ5" s="232"/>
      <c r="JA5" s="232"/>
      <c r="JB5" s="232"/>
      <c r="JC5" s="232"/>
      <c r="JD5" s="232"/>
      <c r="JE5" s="232"/>
      <c r="JF5" s="232"/>
      <c r="JG5" s="232"/>
      <c r="JH5" s="232"/>
      <c r="JI5" s="232"/>
      <c r="JJ5" s="232"/>
      <c r="JK5" s="232"/>
      <c r="JL5" s="232"/>
      <c r="JM5" s="232"/>
      <c r="JN5" s="232"/>
      <c r="JO5" s="232"/>
      <c r="JP5" s="232"/>
      <c r="JQ5" s="232"/>
      <c r="JR5" s="232"/>
      <c r="JS5" s="232"/>
      <c r="JT5" s="232"/>
      <c r="JU5" s="232"/>
      <c r="JV5" s="232"/>
      <c r="JW5" s="232"/>
      <c r="JX5" s="232"/>
      <c r="JY5" s="232"/>
      <c r="JZ5" s="232"/>
      <c r="KA5" s="232"/>
      <c r="KB5" s="232"/>
      <c r="KC5" s="232"/>
      <c r="KD5" s="232"/>
      <c r="KE5" s="232"/>
      <c r="KF5" s="232"/>
      <c r="KG5" s="232"/>
      <c r="KH5" s="232"/>
      <c r="KI5" s="232"/>
      <c r="KJ5" s="232"/>
      <c r="KK5" s="232"/>
      <c r="KL5" s="232"/>
      <c r="KM5" s="232"/>
      <c r="KN5" s="232"/>
      <c r="KO5" s="232"/>
      <c r="KP5" s="232"/>
      <c r="KQ5" s="232"/>
      <c r="KR5" s="232"/>
      <c r="KS5" s="232"/>
      <c r="KT5" s="232"/>
      <c r="KU5" s="232"/>
      <c r="KV5" s="232"/>
      <c r="KW5" s="232"/>
      <c r="KX5" s="232"/>
      <c r="KY5" s="232"/>
      <c r="KZ5" s="232"/>
      <c r="LA5" s="232"/>
      <c r="LB5" s="232"/>
      <c r="LC5" s="232"/>
      <c r="LD5" s="232"/>
      <c r="LE5" s="232"/>
      <c r="LF5" s="232"/>
      <c r="LG5" s="232"/>
      <c r="LH5" s="232"/>
      <c r="LI5" s="232"/>
      <c r="LJ5" s="232"/>
      <c r="LK5" s="232"/>
      <c r="LL5" s="232"/>
      <c r="LM5" s="232"/>
      <c r="LN5" s="232"/>
      <c r="LO5" s="232"/>
      <c r="LP5" s="232"/>
      <c r="LQ5" s="232"/>
      <c r="LR5" s="232"/>
      <c r="LS5" s="232"/>
      <c r="LT5" s="232"/>
      <c r="LU5" s="232"/>
      <c r="LV5" s="232"/>
      <c r="LW5" s="232"/>
      <c r="LX5" s="232"/>
      <c r="LY5" s="232"/>
      <c r="LZ5" s="232"/>
      <c r="MA5" s="232"/>
      <c r="MB5" s="232"/>
      <c r="MC5" s="232"/>
      <c r="MD5" s="232"/>
      <c r="ME5" s="232"/>
      <c r="MF5" s="232"/>
      <c r="MG5" s="232"/>
      <c r="MH5" s="232"/>
      <c r="MI5" s="232"/>
      <c r="MJ5" s="232"/>
      <c r="MK5" s="232"/>
      <c r="ML5" s="232"/>
      <c r="MM5" s="232"/>
      <c r="MN5" s="232"/>
      <c r="MO5" s="232"/>
      <c r="MP5" s="232"/>
      <c r="MQ5" s="232"/>
      <c r="MR5" s="232"/>
      <c r="MS5" s="232"/>
      <c r="MT5" s="232"/>
      <c r="MU5" s="232"/>
      <c r="MV5" s="232"/>
      <c r="MW5" s="232"/>
      <c r="MX5" s="232"/>
      <c r="MY5" s="232"/>
      <c r="MZ5" s="232"/>
      <c r="NA5" s="232"/>
      <c r="NB5" s="232"/>
      <c r="NC5" s="232"/>
      <c r="ND5" s="232"/>
      <c r="NE5" s="232"/>
      <c r="NF5" s="232"/>
      <c r="NG5" s="232"/>
      <c r="NH5" s="232"/>
      <c r="NI5" s="232"/>
      <c r="NJ5" s="232"/>
      <c r="NK5" s="232"/>
      <c r="NL5" s="232"/>
      <c r="NM5" s="232"/>
      <c r="NN5" s="232"/>
      <c r="NO5" s="232"/>
      <c r="NP5" s="232"/>
      <c r="NQ5" s="232"/>
      <c r="NR5" s="232"/>
      <c r="NS5" s="232"/>
      <c r="NT5" s="232"/>
      <c r="NU5" s="232"/>
      <c r="NV5" s="232"/>
      <c r="NW5" s="232"/>
      <c r="NX5" s="232"/>
      <c r="NY5" s="232"/>
      <c r="NZ5" s="232"/>
      <c r="OA5" s="232"/>
      <c r="OB5" s="232"/>
      <c r="OC5" s="232"/>
      <c r="OD5" s="232"/>
      <c r="OE5" s="232"/>
      <c r="OF5" s="232"/>
      <c r="OG5" s="232"/>
      <c r="OH5" s="232"/>
      <c r="OI5" s="232"/>
      <c r="OJ5" s="232"/>
      <c r="OK5" s="232"/>
      <c r="OL5" s="232"/>
      <c r="OM5" s="232"/>
      <c r="ON5" s="232"/>
      <c r="OO5" s="232"/>
      <c r="OP5" s="232"/>
      <c r="OQ5" s="232"/>
      <c r="OR5" s="232"/>
      <c r="OS5" s="232"/>
      <c r="OT5" s="232"/>
      <c r="OU5" s="232"/>
      <c r="OV5" s="232"/>
      <c r="OW5" s="232"/>
      <c r="OX5" s="232"/>
      <c r="OY5" s="232"/>
      <c r="OZ5" s="232"/>
      <c r="PA5" s="232"/>
      <c r="PB5" s="232"/>
      <c r="PC5" s="232"/>
      <c r="PD5" s="232"/>
      <c r="PE5" s="232"/>
      <c r="PF5" s="232"/>
      <c r="PG5" s="232"/>
      <c r="PH5" s="232"/>
      <c r="PI5" s="232"/>
      <c r="PJ5" s="232"/>
      <c r="PK5" s="232"/>
      <c r="PL5" s="232"/>
      <c r="PM5" s="232"/>
      <c r="PN5" s="232"/>
      <c r="PO5" s="232"/>
      <c r="PP5" s="232"/>
      <c r="PQ5" s="232"/>
      <c r="PR5" s="232"/>
      <c r="PS5" s="232"/>
      <c r="PT5" s="232"/>
      <c r="PU5" s="232"/>
      <c r="PV5" s="232"/>
      <c r="PW5" s="232"/>
      <c r="PX5" s="232"/>
      <c r="PY5" s="232"/>
      <c r="PZ5" s="232"/>
      <c r="QA5" s="232"/>
      <c r="QB5" s="232"/>
      <c r="QC5" s="232"/>
      <c r="QD5" s="232"/>
      <c r="QE5" s="232"/>
      <c r="QF5" s="232"/>
      <c r="QG5" s="232"/>
      <c r="QH5" s="232"/>
      <c r="QI5" s="232"/>
      <c r="QJ5" s="232"/>
      <c r="QK5" s="232"/>
      <c r="QL5" s="232"/>
      <c r="QM5" s="232"/>
      <c r="QN5" s="232"/>
      <c r="QO5" s="232"/>
      <c r="QP5" s="232"/>
      <c r="QQ5" s="232"/>
      <c r="QR5" s="232"/>
      <c r="QS5" s="232"/>
      <c r="QT5" s="232"/>
      <c r="QU5" s="232"/>
      <c r="QV5" s="232"/>
      <c r="QW5" s="232"/>
      <c r="QX5" s="232"/>
      <c r="QY5" s="232"/>
      <c r="QZ5" s="232"/>
      <c r="RA5" s="232"/>
      <c r="RB5" s="232"/>
      <c r="RC5" s="232"/>
      <c r="RD5" s="232"/>
      <c r="RE5" s="232"/>
      <c r="RF5" s="232"/>
      <c r="RG5" s="232"/>
      <c r="RH5" s="232"/>
      <c r="RI5" s="232"/>
      <c r="RJ5" s="232"/>
      <c r="RK5" s="232"/>
      <c r="RL5" s="232"/>
      <c r="RM5" s="232"/>
      <c r="RN5" s="232"/>
      <c r="RO5" s="232"/>
      <c r="RP5" s="232"/>
      <c r="RQ5" s="232"/>
      <c r="RR5" s="232"/>
      <c r="RS5" s="232"/>
      <c r="RT5" s="232"/>
      <c r="RU5" s="232"/>
      <c r="RV5" s="232"/>
      <c r="RW5" s="232"/>
      <c r="RX5" s="232"/>
      <c r="RY5" s="232"/>
      <c r="RZ5" s="232"/>
      <c r="SA5" s="232"/>
      <c r="SB5" s="232"/>
      <c r="SC5" s="232"/>
      <c r="SD5" s="232"/>
      <c r="SE5" s="232"/>
      <c r="SF5" s="232"/>
      <c r="SG5" s="232"/>
      <c r="SH5" s="232"/>
      <c r="SI5" s="232"/>
      <c r="SJ5" s="232"/>
      <c r="SK5" s="232"/>
      <c r="SL5" s="232"/>
      <c r="SM5" s="232"/>
      <c r="SN5" s="232"/>
      <c r="SO5" s="232"/>
      <c r="SP5" s="232"/>
      <c r="SQ5" s="232"/>
      <c r="SR5" s="232"/>
      <c r="SS5" s="232"/>
      <c r="ST5" s="232"/>
      <c r="SU5" s="232"/>
      <c r="SV5" s="232"/>
      <c r="SW5" s="232"/>
      <c r="SX5" s="232"/>
      <c r="SY5" s="232"/>
      <c r="SZ5" s="232"/>
      <c r="TA5" s="232"/>
      <c r="TB5" s="232"/>
      <c r="TC5" s="232"/>
      <c r="TD5" s="232"/>
      <c r="TE5" s="232"/>
      <c r="TF5" s="232"/>
      <c r="TG5" s="232"/>
      <c r="TH5" s="232"/>
      <c r="TI5" s="232"/>
      <c r="TJ5" s="232"/>
      <c r="TK5" s="232"/>
      <c r="TL5" s="232"/>
      <c r="TM5" s="232"/>
      <c r="TN5" s="232"/>
      <c r="TO5" s="232"/>
      <c r="TP5" s="232"/>
      <c r="TQ5" s="232"/>
      <c r="TR5" s="232"/>
      <c r="TS5" s="232"/>
      <c r="TT5" s="232"/>
      <c r="TU5" s="232"/>
      <c r="TV5" s="232"/>
      <c r="TW5" s="232"/>
      <c r="TX5" s="232"/>
      <c r="TY5" s="232"/>
      <c r="TZ5" s="232"/>
      <c r="UA5" s="232"/>
      <c r="UB5" s="232"/>
      <c r="UC5" s="232"/>
      <c r="UD5" s="232"/>
      <c r="UE5" s="232"/>
      <c r="UF5" s="232"/>
      <c r="UG5" s="232"/>
      <c r="UH5" s="232"/>
      <c r="UI5" s="232"/>
      <c r="UJ5" s="232"/>
      <c r="UK5" s="232"/>
      <c r="UL5" s="232"/>
      <c r="UM5" s="232"/>
      <c r="UN5" s="232"/>
      <c r="UO5" s="232"/>
      <c r="UP5" s="232"/>
      <c r="UQ5" s="232"/>
      <c r="UR5" s="232"/>
      <c r="US5" s="232"/>
      <c r="UT5" s="232"/>
      <c r="UU5" s="232"/>
      <c r="UV5" s="232"/>
      <c r="UW5" s="232"/>
      <c r="UX5" s="232"/>
      <c r="UY5" s="232"/>
      <c r="UZ5" s="232"/>
      <c r="VA5" s="232"/>
      <c r="VB5" s="232"/>
      <c r="VC5" s="232"/>
      <c r="VD5" s="232"/>
      <c r="VE5" s="232"/>
      <c r="VF5" s="232"/>
      <c r="VG5" s="232"/>
      <c r="VH5" s="232"/>
      <c r="VI5" s="232"/>
      <c r="VJ5" s="232"/>
      <c r="VK5" s="232"/>
      <c r="VL5" s="232"/>
      <c r="VM5" s="232"/>
      <c r="VN5" s="232"/>
      <c r="VO5" s="232"/>
      <c r="VP5" s="232"/>
      <c r="VQ5" s="232"/>
      <c r="VR5" s="232"/>
      <c r="VS5" s="232"/>
      <c r="VT5" s="232"/>
      <c r="VU5" s="232"/>
      <c r="VV5" s="232"/>
      <c r="VW5" s="232"/>
      <c r="VX5" s="232"/>
      <c r="VY5" s="232"/>
      <c r="VZ5" s="232"/>
      <c r="WA5" s="232"/>
      <c r="WB5" s="232"/>
      <c r="WC5" s="232"/>
      <c r="WD5" s="232"/>
      <c r="WE5" s="232"/>
      <c r="WF5" s="232"/>
      <c r="WG5" s="232"/>
      <c r="WH5" s="232"/>
      <c r="WI5" s="232"/>
      <c r="WJ5" s="232"/>
      <c r="WK5" s="232"/>
      <c r="WL5" s="232"/>
      <c r="WM5" s="232"/>
      <c r="WN5" s="232"/>
      <c r="WO5" s="232"/>
      <c r="WP5" s="232"/>
      <c r="WQ5" s="232"/>
      <c r="WR5" s="232"/>
      <c r="WS5" s="232"/>
      <c r="WT5" s="232"/>
      <c r="WU5" s="232"/>
      <c r="WV5" s="232"/>
      <c r="WW5" s="232"/>
      <c r="WX5" s="232"/>
      <c r="WY5" s="232"/>
      <c r="WZ5" s="232"/>
      <c r="XA5" s="232"/>
      <c r="XB5" s="232"/>
      <c r="XC5" s="232"/>
      <c r="XD5" s="232"/>
      <c r="XE5" s="232"/>
      <c r="XF5" s="232"/>
      <c r="XG5" s="232"/>
      <c r="XH5" s="232"/>
      <c r="XI5" s="232"/>
      <c r="XJ5" s="232"/>
      <c r="XK5" s="232"/>
      <c r="XL5" s="232"/>
      <c r="XM5" s="232"/>
      <c r="XN5" s="232"/>
      <c r="XO5" s="232"/>
      <c r="XP5" s="232"/>
      <c r="XQ5" s="232"/>
      <c r="XR5" s="232"/>
      <c r="XS5" s="232"/>
      <c r="XT5" s="232"/>
      <c r="XU5" s="232"/>
      <c r="XV5" s="232"/>
      <c r="XW5" s="232"/>
      <c r="XX5" s="232"/>
      <c r="XY5" s="232"/>
      <c r="XZ5" s="232"/>
      <c r="YA5" s="232"/>
      <c r="YB5" s="232"/>
      <c r="YC5" s="232"/>
      <c r="YD5" s="232"/>
      <c r="YE5" s="232"/>
      <c r="YF5" s="232"/>
      <c r="YG5" s="232"/>
      <c r="YH5" s="232"/>
      <c r="YI5" s="232"/>
      <c r="YJ5" s="232"/>
      <c r="YK5" s="232"/>
      <c r="YL5" s="232"/>
      <c r="YM5" s="232"/>
      <c r="YN5" s="232"/>
      <c r="YO5" s="232"/>
      <c r="YP5" s="232"/>
      <c r="YQ5" s="232"/>
      <c r="YR5" s="232"/>
      <c r="YS5" s="232"/>
      <c r="YT5" s="232"/>
      <c r="YU5" s="232"/>
      <c r="YV5" s="232"/>
      <c r="YW5" s="232"/>
      <c r="YX5" s="232"/>
      <c r="YY5" s="232"/>
      <c r="YZ5" s="232"/>
      <c r="ZA5" s="232"/>
      <c r="ZB5" s="232"/>
      <c r="ZC5" s="232"/>
      <c r="ZD5" s="232"/>
      <c r="ZE5" s="232"/>
      <c r="ZF5" s="232"/>
      <c r="ZG5" s="232"/>
      <c r="ZH5" s="232"/>
      <c r="ZI5" s="232"/>
      <c r="ZJ5" s="232"/>
      <c r="ZK5" s="232"/>
      <c r="ZL5" s="232"/>
      <c r="ZM5" s="232"/>
      <c r="ZN5" s="232"/>
      <c r="ZO5" s="232"/>
      <c r="ZP5" s="232"/>
      <c r="ZQ5" s="232"/>
      <c r="ZR5" s="232"/>
      <c r="ZS5" s="232"/>
      <c r="ZT5" s="232"/>
      <c r="ZU5" s="232"/>
      <c r="ZV5" s="232"/>
      <c r="ZW5" s="232"/>
      <c r="ZX5" s="232"/>
      <c r="ZY5" s="232"/>
      <c r="ZZ5" s="232"/>
      <c r="AAA5" s="232"/>
      <c r="AAB5" s="232"/>
      <c r="AAC5" s="232"/>
      <c r="AAD5" s="232"/>
      <c r="AAE5" s="232"/>
      <c r="AAF5" s="232"/>
      <c r="AAG5" s="232"/>
      <c r="AAH5" s="232"/>
      <c r="AAI5" s="232"/>
      <c r="AAJ5" s="232"/>
      <c r="AAK5" s="232"/>
      <c r="AAL5" s="232"/>
      <c r="AAM5" s="232"/>
      <c r="AAN5" s="232"/>
      <c r="AAO5" s="232"/>
      <c r="AAP5" s="232"/>
      <c r="AAQ5" s="232"/>
      <c r="AAR5" s="232"/>
      <c r="AAS5" s="232"/>
      <c r="AAT5" s="232"/>
      <c r="AAU5" s="232"/>
      <c r="AAV5" s="232"/>
      <c r="AAW5" s="232"/>
      <c r="AAX5" s="232"/>
      <c r="AAY5" s="232"/>
      <c r="AAZ5" s="232"/>
      <c r="ABA5" s="232"/>
      <c r="ABB5" s="232"/>
      <c r="ABC5" s="232"/>
      <c r="ABD5" s="232"/>
      <c r="ABE5" s="232"/>
      <c r="ABF5" s="232"/>
      <c r="ABG5" s="232"/>
      <c r="ABH5" s="232"/>
      <c r="ABI5" s="232"/>
      <c r="ABJ5" s="232"/>
      <c r="ABK5" s="232"/>
      <c r="ABL5" s="232"/>
      <c r="ABM5" s="232"/>
      <c r="ABN5" s="232"/>
      <c r="ABO5" s="232"/>
      <c r="ABP5" s="232"/>
      <c r="ABQ5" s="232"/>
      <c r="ABR5" s="232"/>
      <c r="ABS5" s="232"/>
      <c r="ABT5" s="232"/>
      <c r="ABU5" s="232"/>
      <c r="ABV5" s="232"/>
      <c r="ABW5" s="232"/>
      <c r="ABX5" s="232"/>
      <c r="ABY5" s="232"/>
      <c r="ABZ5" s="232"/>
      <c r="ACA5" s="232"/>
      <c r="ACB5" s="232"/>
      <c r="ACC5" s="232"/>
      <c r="ACD5" s="232"/>
      <c r="ACE5" s="232"/>
      <c r="ACF5" s="232"/>
      <c r="ACG5" s="232"/>
      <c r="ACH5" s="232"/>
      <c r="ACI5" s="232"/>
      <c r="ACJ5" s="232"/>
      <c r="ACK5" s="232"/>
      <c r="ACL5" s="232"/>
      <c r="ACM5" s="232"/>
      <c r="ACN5" s="232"/>
      <c r="ACO5" s="232"/>
      <c r="ACP5" s="232"/>
      <c r="ACQ5" s="232"/>
      <c r="ACR5" s="232"/>
      <c r="ACS5" s="232"/>
      <c r="ACT5" s="232"/>
      <c r="ACU5" s="232"/>
      <c r="ACV5" s="232"/>
      <c r="ACW5" s="232"/>
      <c r="ACX5" s="232"/>
      <c r="ACY5" s="232"/>
      <c r="ACZ5" s="232"/>
      <c r="ADA5" s="232"/>
      <c r="ADB5" s="232"/>
      <c r="ADC5" s="232"/>
      <c r="ADD5" s="232"/>
      <c r="ADE5" s="232"/>
      <c r="ADF5" s="232"/>
      <c r="ADG5" s="232"/>
      <c r="ADH5" s="232"/>
      <c r="ADI5" s="232"/>
      <c r="ADJ5" s="232"/>
      <c r="ADK5" s="232"/>
      <c r="ADL5" s="232"/>
      <c r="ADM5" s="232"/>
      <c r="ADN5" s="232"/>
      <c r="ADO5" s="232"/>
      <c r="ADP5" s="232"/>
      <c r="ADQ5" s="232"/>
      <c r="ADR5" s="232"/>
      <c r="ADS5" s="232"/>
      <c r="ADT5" s="232"/>
      <c r="ADU5" s="232"/>
      <c r="ADV5" s="232"/>
      <c r="ADW5" s="232"/>
      <c r="ADX5" s="232"/>
      <c r="ADY5" s="232"/>
      <c r="ADZ5" s="232"/>
      <c r="AEA5" s="232"/>
      <c r="AEB5" s="232"/>
      <c r="AEC5" s="232"/>
      <c r="AED5" s="232"/>
      <c r="AEE5" s="232"/>
      <c r="AEF5" s="232"/>
      <c r="AEG5" s="232"/>
      <c r="AEH5" s="232"/>
      <c r="AEI5" s="232"/>
      <c r="AEJ5" s="232"/>
      <c r="AEK5" s="232"/>
      <c r="AEL5" s="232"/>
      <c r="AEM5" s="232"/>
      <c r="AEN5" s="232"/>
      <c r="AEO5" s="232"/>
      <c r="AEP5" s="232"/>
      <c r="AEQ5" s="232"/>
      <c r="AER5" s="232"/>
      <c r="AES5" s="232"/>
      <c r="AET5" s="232"/>
      <c r="AEU5" s="232"/>
      <c r="AEV5" s="232"/>
      <c r="AEW5" s="232"/>
      <c r="AEX5" s="232"/>
      <c r="AEY5" s="232"/>
      <c r="AEZ5" s="232"/>
      <c r="AFA5" s="232"/>
      <c r="AFB5" s="232"/>
      <c r="AFC5" s="232"/>
      <c r="AFD5" s="232"/>
      <c r="AFE5" s="232"/>
      <c r="AFF5" s="232"/>
      <c r="AFG5" s="232"/>
      <c r="AFH5" s="232"/>
      <c r="AFI5" s="232"/>
      <c r="AFJ5" s="232"/>
      <c r="AFK5" s="232"/>
      <c r="AFL5" s="232"/>
      <c r="AFM5" s="232"/>
      <c r="AFN5" s="232"/>
      <c r="AFO5" s="232"/>
      <c r="AFP5" s="232"/>
      <c r="AFQ5" s="232"/>
      <c r="AFR5" s="232"/>
      <c r="AFS5" s="232"/>
      <c r="AFT5" s="232"/>
      <c r="AFU5" s="232"/>
      <c r="AFV5" s="232"/>
      <c r="AFW5" s="232"/>
      <c r="AFX5" s="232"/>
      <c r="AFY5" s="232"/>
      <c r="AFZ5" s="232"/>
      <c r="AGA5" s="232"/>
      <c r="AGB5" s="232"/>
      <c r="AGC5" s="232"/>
      <c r="AGD5" s="232"/>
      <c r="AGE5" s="232"/>
      <c r="AGF5" s="232"/>
      <c r="AGG5" s="232"/>
      <c r="AGH5" s="232"/>
      <c r="AGI5" s="232"/>
      <c r="AGJ5" s="232"/>
      <c r="AGK5" s="232"/>
      <c r="AGL5" s="232"/>
      <c r="AGM5" s="232"/>
      <c r="AGN5" s="232"/>
      <c r="AGO5" s="232"/>
      <c r="AGP5" s="232"/>
      <c r="AGQ5" s="232"/>
      <c r="AGR5" s="232"/>
      <c r="AGS5" s="232"/>
      <c r="AGT5" s="232"/>
      <c r="AGU5" s="232"/>
      <c r="AGV5" s="232"/>
      <c r="AGW5" s="232"/>
      <c r="AGX5" s="232"/>
      <c r="AGY5" s="232"/>
      <c r="AGZ5" s="232"/>
      <c r="AHA5" s="232"/>
      <c r="AHB5" s="232"/>
      <c r="AHC5" s="232"/>
      <c r="AHD5" s="232"/>
      <c r="AHE5" s="232"/>
      <c r="AHF5" s="232"/>
      <c r="AHG5" s="232"/>
      <c r="AHH5" s="232"/>
      <c r="AHI5" s="232"/>
      <c r="AHJ5" s="232"/>
      <c r="AHK5" s="232"/>
      <c r="AHL5" s="232"/>
      <c r="AHM5" s="232"/>
      <c r="AHN5" s="232"/>
      <c r="AHO5" s="232"/>
      <c r="AHP5" s="232"/>
      <c r="AHQ5" s="232"/>
      <c r="AHR5" s="232"/>
      <c r="AHS5" s="232"/>
      <c r="AHT5" s="232"/>
      <c r="AHU5" s="232"/>
      <c r="AHV5" s="232"/>
      <c r="AHW5" s="232"/>
      <c r="AHX5" s="232"/>
      <c r="AHY5" s="232"/>
      <c r="AHZ5" s="232"/>
      <c r="AIA5" s="232"/>
      <c r="AIB5" s="232"/>
      <c r="AIC5" s="232"/>
      <c r="AID5" s="232"/>
      <c r="AIE5" s="232"/>
      <c r="AIF5" s="232"/>
      <c r="AIG5" s="232"/>
      <c r="AIH5" s="232"/>
      <c r="AII5" s="232"/>
      <c r="AIJ5" s="232"/>
      <c r="AIK5" s="232"/>
      <c r="AIL5" s="232"/>
      <c r="AIM5" s="232"/>
      <c r="AIN5" s="232"/>
      <c r="AIO5" s="232"/>
      <c r="AIP5" s="232"/>
      <c r="AIQ5" s="232"/>
      <c r="AIR5" s="232"/>
      <c r="AIS5" s="232"/>
      <c r="AIT5" s="232"/>
      <c r="AIU5" s="232"/>
      <c r="AIV5" s="232"/>
      <c r="AIW5" s="232"/>
      <c r="AIX5" s="232"/>
      <c r="AIY5" s="232"/>
      <c r="AIZ5" s="232"/>
      <c r="AJA5" s="232"/>
      <c r="AJB5" s="232"/>
      <c r="AJC5" s="232"/>
      <c r="AJD5" s="232"/>
      <c r="AJE5" s="232"/>
      <c r="AJF5" s="232"/>
      <c r="AJG5" s="232"/>
      <c r="AJH5" s="232"/>
      <c r="AJI5" s="232"/>
      <c r="AJJ5" s="232"/>
      <c r="AJK5" s="232"/>
      <c r="AJL5" s="232"/>
      <c r="AJM5" s="232"/>
      <c r="AJN5" s="232"/>
      <c r="AJO5" s="232"/>
      <c r="AJP5" s="232"/>
      <c r="AJQ5" s="232"/>
      <c r="AJR5" s="232"/>
      <c r="AJS5" s="232"/>
      <c r="AJT5" s="232"/>
      <c r="AJU5" s="232"/>
      <c r="AJV5" s="232"/>
      <c r="AJW5" s="232"/>
      <c r="AJX5" s="232"/>
      <c r="AJY5" s="232"/>
      <c r="AJZ5" s="232"/>
      <c r="AKA5" s="232"/>
      <c r="AKB5" s="232"/>
      <c r="AKC5" s="232"/>
      <c r="AKD5" s="232"/>
      <c r="AKE5" s="232"/>
      <c r="AKF5" s="232"/>
      <c r="AKG5" s="232"/>
      <c r="AKH5" s="232"/>
      <c r="AKI5" s="232"/>
      <c r="AKJ5" s="232"/>
      <c r="AKK5" s="232"/>
      <c r="AKL5" s="232"/>
      <c r="AKM5" s="232"/>
      <c r="AKN5" s="232"/>
      <c r="AKO5" s="232"/>
      <c r="AKP5" s="232"/>
      <c r="AKQ5" s="232"/>
      <c r="AKR5" s="232"/>
      <c r="AKS5" s="232"/>
      <c r="AKT5" s="232"/>
      <c r="AKU5" s="232"/>
      <c r="AKV5" s="232"/>
      <c r="AKW5" s="232"/>
      <c r="AKX5" s="232"/>
      <c r="AKY5" s="232"/>
      <c r="AKZ5" s="232"/>
      <c r="ALA5" s="232"/>
      <c r="ALB5" s="232"/>
      <c r="ALC5" s="232"/>
      <c r="ALD5" s="232"/>
      <c r="ALE5" s="232"/>
      <c r="ALF5" s="232"/>
      <c r="ALG5" s="232"/>
      <c r="ALH5" s="232"/>
      <c r="ALI5" s="232"/>
      <c r="ALJ5" s="232"/>
      <c r="ALK5" s="232"/>
      <c r="ALL5" s="232"/>
      <c r="ALM5" s="232"/>
      <c r="ALN5" s="232"/>
      <c r="ALO5" s="232"/>
      <c r="ALP5" s="232"/>
      <c r="ALQ5" s="232"/>
      <c r="ALR5" s="232"/>
      <c r="ALS5" s="232"/>
      <c r="ALT5" s="232"/>
      <c r="ALU5" s="232"/>
      <c r="ALV5" s="232"/>
      <c r="ALW5" s="232"/>
      <c r="ALX5" s="232"/>
      <c r="ALY5" s="232"/>
      <c r="ALZ5" s="232"/>
      <c r="AMA5" s="232"/>
      <c r="AMB5" s="232"/>
      <c r="AMC5" s="232"/>
      <c r="AMD5" s="232"/>
      <c r="AME5" s="232"/>
    </row>
    <row r="6" spans="1:1019" ht="13.05" customHeight="1" x14ac:dyDescent="0.25">
      <c r="A6" s="285" t="s">
        <v>3</v>
      </c>
      <c r="B6" s="285"/>
      <c r="C6" s="16"/>
      <c r="D6" s="16"/>
      <c r="E6" s="16"/>
      <c r="F6" s="16"/>
      <c r="G6" s="16"/>
      <c r="H6" s="16"/>
      <c r="I6" s="16"/>
      <c r="K6" s="1"/>
      <c r="L6" s="1"/>
      <c r="M6" s="1"/>
      <c r="N6" s="1"/>
      <c r="O6" s="1"/>
      <c r="P6" s="1"/>
      <c r="Q6" s="1"/>
      <c r="R6" s="1"/>
      <c r="S6" s="1"/>
    </row>
    <row r="7" spans="1:1019" ht="13.05" customHeight="1" x14ac:dyDescent="0.25">
      <c r="A7" s="285"/>
      <c r="B7" s="285"/>
      <c r="C7" s="4"/>
      <c r="D7" s="4"/>
      <c r="E7" s="4"/>
      <c r="F7" s="4"/>
      <c r="G7" s="4"/>
      <c r="H7" s="4"/>
      <c r="I7" s="4"/>
      <c r="K7" s="1"/>
      <c r="L7" s="1"/>
      <c r="M7" s="1"/>
      <c r="N7" s="1"/>
      <c r="O7" s="1"/>
      <c r="P7" s="1"/>
      <c r="Q7" s="1"/>
      <c r="R7" s="1"/>
      <c r="S7" s="1"/>
    </row>
    <row r="8" spans="1:1019" ht="13.05" customHeight="1" x14ac:dyDescent="0.25">
      <c r="A8" s="260" t="s">
        <v>30</v>
      </c>
      <c r="B8" s="260"/>
      <c r="C8" s="260"/>
      <c r="D8" s="260"/>
      <c r="E8" s="260"/>
      <c r="F8" s="260"/>
      <c r="G8" s="260"/>
      <c r="H8" s="260"/>
      <c r="I8" s="260"/>
      <c r="K8" s="1"/>
      <c r="L8" s="1"/>
      <c r="M8" s="1"/>
      <c r="N8" s="1"/>
      <c r="O8" s="1"/>
      <c r="P8" s="1"/>
      <c r="Q8" s="1"/>
      <c r="R8" s="1"/>
      <c r="S8" s="1"/>
    </row>
    <row r="9" spans="1:1019" ht="13.05" customHeight="1" x14ac:dyDescent="0.25">
      <c r="A9" s="260"/>
      <c r="B9" s="260"/>
      <c r="C9" s="260"/>
      <c r="D9" s="260"/>
      <c r="E9" s="260"/>
      <c r="F9" s="260"/>
      <c r="G9" s="260"/>
      <c r="H9" s="260"/>
      <c r="I9" s="260"/>
      <c r="K9" s="1"/>
      <c r="L9" s="1"/>
      <c r="M9" s="1"/>
      <c r="N9" s="1"/>
      <c r="O9" s="1"/>
      <c r="P9" s="1"/>
      <c r="Q9" s="1"/>
      <c r="R9" s="1"/>
      <c r="S9" s="1"/>
    </row>
    <row r="10" spans="1:1019" ht="13.05" customHeight="1" x14ac:dyDescent="0.25">
      <c r="A10"/>
      <c r="B10" s="8"/>
      <c r="C10" s="8"/>
      <c r="D10" s="8"/>
      <c r="E10" s="8"/>
      <c r="F10" s="8"/>
      <c r="G10" s="8"/>
      <c r="H10" s="8"/>
      <c r="I10" s="8"/>
      <c r="K10" s="1"/>
      <c r="L10" s="1"/>
      <c r="M10" s="1"/>
      <c r="N10" s="1"/>
      <c r="O10" s="1"/>
      <c r="P10" s="1"/>
      <c r="Q10" s="1"/>
      <c r="R10" s="1"/>
      <c r="S10" s="1"/>
    </row>
    <row r="11" spans="1:1019" x14ac:dyDescent="0.25">
      <c r="A11" s="7" t="s">
        <v>31</v>
      </c>
      <c r="B11" s="8"/>
      <c r="C11" s="8"/>
      <c r="D11" s="8"/>
      <c r="E11" s="8"/>
      <c r="F11" s="8"/>
      <c r="G11" s="8"/>
      <c r="H11" s="8"/>
      <c r="I11" s="8"/>
      <c r="K11" s="1"/>
      <c r="L11" s="1"/>
      <c r="M11" s="1"/>
      <c r="N11" s="1"/>
      <c r="O11" s="1"/>
      <c r="P11" s="1"/>
      <c r="Q11" s="1"/>
      <c r="R11" s="1"/>
      <c r="S11" s="1"/>
    </row>
    <row r="12" spans="1:1019" ht="13.05" customHeight="1" x14ac:dyDescent="0.25">
      <c r="A12"/>
      <c r="B12" s="3"/>
      <c r="C12" s="3"/>
      <c r="D12" s="3"/>
      <c r="E12" s="3"/>
      <c r="F12" s="3"/>
      <c r="G12" s="3"/>
      <c r="H12" s="3"/>
      <c r="I12" s="3"/>
      <c r="K12" s="1"/>
      <c r="L12" s="1"/>
      <c r="M12" s="1"/>
      <c r="N12" s="1"/>
      <c r="O12" s="1"/>
      <c r="P12" s="1"/>
      <c r="Q12" s="1"/>
      <c r="R12" s="1"/>
      <c r="S12" s="1"/>
    </row>
    <row r="13" spans="1:1019" ht="13.05" customHeight="1" x14ac:dyDescent="0.25">
      <c r="A13" s="212" t="s">
        <v>33</v>
      </c>
      <c r="B13" s="3"/>
      <c r="C13" s="3"/>
      <c r="D13" s="3"/>
      <c r="E13" s="3"/>
      <c r="F13" s="3"/>
      <c r="G13" s="3"/>
      <c r="H13" s="3"/>
      <c r="I13" s="3"/>
      <c r="K13" s="1"/>
      <c r="L13" s="1"/>
      <c r="M13" s="1"/>
      <c r="N13" s="1"/>
      <c r="O13" s="1"/>
      <c r="P13" s="1"/>
      <c r="Q13" s="1"/>
      <c r="R13" s="1"/>
      <c r="S13" s="1"/>
    </row>
    <row r="14" spans="1:1019" ht="13.05" customHeight="1" x14ac:dyDescent="0.25">
      <c r="A14" s="5"/>
      <c r="B14" s="7"/>
      <c r="C14" s="10"/>
      <c r="D14" s="10"/>
      <c r="E14" s="10"/>
      <c r="F14" s="11"/>
      <c r="G14" s="11"/>
      <c r="H14" s="11"/>
      <c r="I14" s="5"/>
      <c r="K14" s="1"/>
      <c r="L14" s="1"/>
      <c r="M14" s="1"/>
      <c r="N14" s="1"/>
      <c r="O14" s="1"/>
      <c r="P14" s="1"/>
      <c r="Q14" s="1"/>
      <c r="R14" s="1"/>
      <c r="S14" s="1"/>
    </row>
    <row r="15" spans="1:1019" ht="13.05" customHeight="1" x14ac:dyDescent="0.25">
      <c r="A15" s="285" t="s">
        <v>35</v>
      </c>
      <c r="B15" s="285"/>
      <c r="C15" s="3"/>
      <c r="D15" s="3"/>
      <c r="E15" s="3"/>
      <c r="F15" s="3"/>
      <c r="G15" s="3"/>
      <c r="H15" s="3"/>
      <c r="I15" s="3"/>
      <c r="K15" s="1"/>
      <c r="L15" s="1"/>
      <c r="M15" s="1"/>
      <c r="N15" s="1"/>
      <c r="O15" s="1"/>
      <c r="P15" s="1"/>
      <c r="Q15" s="1"/>
      <c r="R15" s="1"/>
      <c r="S15" s="1"/>
    </row>
    <row r="16" spans="1:1019" x14ac:dyDescent="0.25">
      <c r="A16" s="285"/>
      <c r="B16" s="285"/>
      <c r="C16" s="3"/>
      <c r="D16" s="3"/>
      <c r="E16" s="3"/>
      <c r="F16" s="3"/>
      <c r="G16" s="3"/>
      <c r="H16" s="3"/>
      <c r="I16" s="3"/>
      <c r="K16" s="1"/>
      <c r="L16" s="1"/>
      <c r="M16" s="1"/>
      <c r="N16" s="1"/>
      <c r="O16" s="1"/>
      <c r="P16" s="1"/>
      <c r="Q16" s="1"/>
      <c r="R16" s="1"/>
      <c r="S16" s="1"/>
    </row>
    <row r="17" spans="1:19" x14ac:dyDescent="0.25">
      <c r="A17" s="5"/>
      <c r="B17" s="10"/>
      <c r="C17" s="10"/>
      <c r="D17" s="10"/>
      <c r="E17" s="10"/>
      <c r="F17" s="11"/>
      <c r="G17" s="11"/>
      <c r="H17" s="11"/>
      <c r="I17" s="5"/>
      <c r="K17" s="1"/>
      <c r="L17" s="1"/>
      <c r="M17" s="1"/>
      <c r="N17" s="1"/>
      <c r="O17" s="1"/>
      <c r="P17" s="1"/>
      <c r="Q17" s="1"/>
      <c r="R17" s="1"/>
      <c r="S17" s="1"/>
    </row>
    <row r="18" spans="1:19" ht="13.05" customHeight="1" x14ac:dyDescent="0.25">
      <c r="A18" s="276" t="s">
        <v>37</v>
      </c>
      <c r="B18" s="276"/>
      <c r="C18" s="276"/>
      <c r="D18" s="276"/>
      <c r="E18" s="276"/>
      <c r="F18" s="276"/>
      <c r="G18" s="276"/>
      <c r="H18" s="276"/>
      <c r="I18" s="276"/>
      <c r="K18" s="1"/>
      <c r="L18" s="1"/>
      <c r="M18" s="1"/>
      <c r="N18" s="1"/>
      <c r="O18" s="1"/>
      <c r="P18" s="1"/>
      <c r="Q18" s="1"/>
      <c r="R18" s="1"/>
      <c r="S18" s="1"/>
    </row>
    <row r="19" spans="1:19" ht="13.05" customHeight="1" x14ac:dyDescent="0.25">
      <c r="A19" s="276"/>
      <c r="B19" s="276"/>
      <c r="C19" s="276"/>
      <c r="D19" s="276"/>
      <c r="E19" s="276"/>
      <c r="F19" s="276"/>
      <c r="G19" s="276"/>
      <c r="H19" s="276"/>
      <c r="I19" s="276"/>
      <c r="K19" s="1"/>
      <c r="L19" s="1"/>
      <c r="M19" s="1"/>
      <c r="N19" s="1"/>
      <c r="O19" s="1"/>
      <c r="P19" s="1"/>
      <c r="Q19" s="1"/>
      <c r="R19" s="1"/>
      <c r="S19" s="1"/>
    </row>
    <row r="20" spans="1:19" ht="13.05" customHeight="1" x14ac:dyDescent="0.25">
      <c r="A20" s="276"/>
      <c r="B20" s="276"/>
      <c r="C20" s="276"/>
      <c r="D20" s="276"/>
      <c r="E20" s="276"/>
      <c r="F20" s="276"/>
      <c r="G20" s="276"/>
      <c r="H20" s="276"/>
      <c r="I20" s="276"/>
      <c r="K20" s="1"/>
      <c r="L20" s="1"/>
      <c r="M20" s="1"/>
      <c r="N20" s="1"/>
      <c r="O20" s="1"/>
      <c r="P20" s="1"/>
      <c r="Q20" s="1"/>
      <c r="R20" s="1"/>
      <c r="S20" s="1"/>
    </row>
    <row r="21" spans="1:19" ht="13.05" customHeight="1" x14ac:dyDescent="0.25">
      <c r="A21" s="2" t="s">
        <v>39</v>
      </c>
      <c r="B21" s="13"/>
      <c r="C21" s="13"/>
      <c r="D21" s="13"/>
      <c r="E21" s="13"/>
      <c r="F21" s="13"/>
      <c r="G21" s="13"/>
      <c r="H21" s="13"/>
      <c r="I21" s="13"/>
      <c r="K21" s="1"/>
      <c r="L21" s="1"/>
      <c r="M21" s="1"/>
      <c r="N21" s="1"/>
      <c r="O21" s="1"/>
      <c r="P21" s="1"/>
      <c r="Q21" s="1"/>
      <c r="R21" s="1"/>
      <c r="S21" s="1"/>
    </row>
    <row r="22" spans="1:19" ht="13.05" customHeight="1" x14ac:dyDescent="0.25">
      <c r="A22" s="5"/>
      <c r="B22" s="5"/>
      <c r="C22" s="5"/>
      <c r="D22" s="5"/>
      <c r="E22" s="5"/>
      <c r="F22" s="5"/>
      <c r="G22" s="5"/>
      <c r="H22" s="5"/>
      <c r="I22" s="5"/>
      <c r="K22" s="1"/>
      <c r="L22" s="1"/>
      <c r="M22" s="1"/>
      <c r="N22" s="1"/>
      <c r="O22" s="1"/>
      <c r="P22" s="1"/>
      <c r="Q22" s="1"/>
      <c r="R22" s="1"/>
      <c r="S22" s="1"/>
    </row>
    <row r="23" spans="1:19" ht="52.8" x14ac:dyDescent="0.25">
      <c r="A23" s="7"/>
      <c r="B23" s="288" t="s">
        <v>42</v>
      </c>
      <c r="C23" s="288"/>
      <c r="D23" s="288"/>
      <c r="E23" s="215" t="s">
        <v>43</v>
      </c>
      <c r="F23" s="215" t="s">
        <v>44</v>
      </c>
      <c r="G23" s="230" t="s">
        <v>219</v>
      </c>
      <c r="H23" s="220"/>
      <c r="I23" s="10"/>
      <c r="K23" s="1"/>
      <c r="L23" s="1"/>
      <c r="M23" s="1"/>
      <c r="N23" s="1"/>
      <c r="O23" s="1"/>
      <c r="P23" s="1"/>
      <c r="Q23" s="1"/>
      <c r="R23" s="1"/>
      <c r="S23" s="1"/>
    </row>
    <row r="24" spans="1:19" s="212" customFormat="1" ht="26.4" x14ac:dyDescent="0.25">
      <c r="A24" s="10"/>
      <c r="B24" s="274" t="s">
        <v>21</v>
      </c>
      <c r="C24" s="274"/>
      <c r="D24" s="274"/>
      <c r="E24" s="223">
        <f>Summary!B3</f>
        <v>820000</v>
      </c>
      <c r="F24" s="225" t="s">
        <v>48</v>
      </c>
      <c r="G24" s="250" t="s">
        <v>231</v>
      </c>
      <c r="H24" s="220"/>
      <c r="I24" s="10"/>
      <c r="K24" s="1"/>
      <c r="L24" s="1"/>
      <c r="M24" s="1"/>
      <c r="N24" s="1"/>
      <c r="O24" s="1"/>
      <c r="P24" s="1"/>
      <c r="Q24" s="1"/>
      <c r="R24" s="1"/>
      <c r="S24" s="1"/>
    </row>
    <row r="25" spans="1:19" s="212" customFormat="1" ht="13.05" customHeight="1" x14ac:dyDescent="0.25">
      <c r="A25" s="10"/>
      <c r="B25" s="274" t="s">
        <v>22</v>
      </c>
      <c r="C25" s="274"/>
      <c r="D25" s="274"/>
      <c r="E25" s="210">
        <f>Summary!B5</f>
        <v>0.22982968319027397</v>
      </c>
      <c r="F25" s="216" t="s">
        <v>227</v>
      </c>
      <c r="G25" s="250" t="s">
        <v>231</v>
      </c>
      <c r="H25" s="220"/>
      <c r="I25" s="10"/>
      <c r="K25" s="1"/>
      <c r="L25" s="1"/>
      <c r="M25" s="1"/>
      <c r="N25" s="1"/>
      <c r="O25" s="1"/>
      <c r="P25" s="1"/>
      <c r="Q25" s="1"/>
      <c r="R25" s="1"/>
      <c r="S25" s="1"/>
    </row>
    <row r="26" spans="1:19" s="212" customFormat="1" ht="13.05" customHeight="1" x14ac:dyDescent="0.25">
      <c r="A26" s="14"/>
      <c r="B26" s="274" t="s">
        <v>51</v>
      </c>
      <c r="C26" s="274"/>
      <c r="D26" s="274"/>
      <c r="E26" s="210">
        <f>Summary!B11</f>
        <v>0.12705882352941175</v>
      </c>
      <c r="F26" s="216" t="s">
        <v>52</v>
      </c>
      <c r="G26" s="250" t="s">
        <v>231</v>
      </c>
      <c r="H26" s="220"/>
      <c r="I26" s="10"/>
      <c r="K26" s="1"/>
      <c r="L26" s="1"/>
      <c r="M26" s="1"/>
      <c r="N26" s="1"/>
      <c r="O26" s="1"/>
      <c r="P26" s="1"/>
      <c r="Q26" s="1"/>
      <c r="R26" s="1"/>
      <c r="S26" s="1"/>
    </row>
    <row r="27" spans="1:19" s="212" customFormat="1" ht="13.05" customHeight="1" x14ac:dyDescent="0.25">
      <c r="A27" s="14"/>
      <c r="B27" s="14"/>
      <c r="C27" s="10"/>
      <c r="D27" s="10"/>
      <c r="E27" s="10"/>
      <c r="F27" s="10"/>
      <c r="G27" s="10"/>
      <c r="H27" s="10"/>
      <c r="I27" s="10"/>
      <c r="K27" s="1"/>
      <c r="L27" s="1"/>
      <c r="M27" s="1"/>
      <c r="N27" s="1"/>
      <c r="O27" s="1"/>
      <c r="P27" s="1"/>
      <c r="Q27" s="1"/>
      <c r="R27" s="1"/>
      <c r="S27" s="1"/>
    </row>
    <row r="28" spans="1:19" s="212" customFormat="1" ht="13.05" customHeight="1" x14ac:dyDescent="0.25">
      <c r="A28" s="280" t="s">
        <v>54</v>
      </c>
      <c r="B28" s="280"/>
      <c r="C28" s="280"/>
      <c r="D28" s="280"/>
      <c r="E28" s="280"/>
      <c r="F28" s="280"/>
      <c r="G28" s="280"/>
      <c r="H28" s="280"/>
      <c r="I28" s="280"/>
      <c r="K28" s="1"/>
      <c r="L28" s="1"/>
      <c r="M28" s="1"/>
      <c r="N28" s="1"/>
      <c r="O28" s="1"/>
      <c r="P28" s="1"/>
      <c r="Q28" s="1"/>
      <c r="R28" s="1"/>
      <c r="S28" s="1"/>
    </row>
    <row r="29" spans="1:19" s="212" customFormat="1" x14ac:dyDescent="0.25">
      <c r="A29" s="280"/>
      <c r="B29" s="280"/>
      <c r="C29" s="280"/>
      <c r="D29" s="280"/>
      <c r="E29" s="280"/>
      <c r="F29" s="280"/>
      <c r="G29" s="280"/>
      <c r="H29" s="280"/>
      <c r="I29" s="280"/>
      <c r="K29" s="1"/>
      <c r="L29" s="1"/>
      <c r="M29" s="1"/>
      <c r="N29" s="1"/>
      <c r="O29" s="1"/>
      <c r="P29" s="1"/>
      <c r="Q29" s="1"/>
      <c r="R29" s="1"/>
      <c r="S29" s="1"/>
    </row>
    <row r="30" spans="1:19" s="212" customFormat="1" ht="13.05" customHeight="1" x14ac:dyDescent="0.25">
      <c r="A30" s="3"/>
      <c r="B30" s="3"/>
      <c r="C30" s="3"/>
      <c r="D30" s="3"/>
      <c r="E30" s="3"/>
      <c r="F30" s="3"/>
      <c r="G30" s="3"/>
      <c r="H30" s="3"/>
      <c r="I30" s="3"/>
      <c r="K30" s="1"/>
      <c r="L30" s="1"/>
      <c r="M30" s="1"/>
      <c r="N30" s="1"/>
      <c r="O30" s="1"/>
      <c r="P30" s="1"/>
      <c r="Q30" s="1"/>
      <c r="R30" s="1"/>
      <c r="S30" s="1"/>
    </row>
    <row r="31" spans="1:19" s="212" customFormat="1" ht="13.05" customHeight="1" x14ac:dyDescent="0.25">
      <c r="A31" s="276" t="s">
        <v>55</v>
      </c>
      <c r="B31" s="276"/>
      <c r="C31" s="276"/>
      <c r="D31" s="276"/>
      <c r="E31" s="276"/>
      <c r="F31" s="276"/>
      <c r="G31" s="276"/>
      <c r="H31" s="276"/>
      <c r="I31" s="276"/>
      <c r="K31" s="1"/>
      <c r="L31" s="1"/>
      <c r="M31" s="1"/>
      <c r="N31" s="1"/>
      <c r="O31" s="1"/>
      <c r="P31" s="1"/>
      <c r="Q31" s="1"/>
      <c r="R31" s="1"/>
      <c r="S31" s="1"/>
    </row>
    <row r="32" spans="1:19" s="212" customFormat="1" ht="13.05" customHeight="1" x14ac:dyDescent="0.25">
      <c r="A32" s="276"/>
      <c r="B32" s="276"/>
      <c r="C32" s="276"/>
      <c r="D32" s="276"/>
      <c r="E32" s="276"/>
      <c r="F32" s="276"/>
      <c r="G32" s="276"/>
      <c r="H32" s="276"/>
      <c r="I32" s="276"/>
      <c r="K32" s="1"/>
      <c r="L32" s="1"/>
      <c r="M32" s="1"/>
      <c r="N32" s="1"/>
      <c r="O32" s="1"/>
      <c r="P32" s="1"/>
      <c r="Q32" s="1"/>
      <c r="R32" s="1"/>
      <c r="S32" s="1"/>
    </row>
    <row r="33" spans="1:19" s="212" customFormat="1" ht="13.05" customHeight="1" x14ac:dyDescent="0.25">
      <c r="A33" s="3"/>
      <c r="B33" s="3"/>
      <c r="C33" s="3"/>
      <c r="D33" s="3"/>
      <c r="E33" s="3"/>
      <c r="F33" s="3"/>
      <c r="G33" s="3"/>
      <c r="H33" s="3"/>
      <c r="I33" s="3"/>
      <c r="K33" s="1"/>
      <c r="L33" s="1"/>
      <c r="M33" s="1"/>
      <c r="N33" s="1"/>
      <c r="O33" s="1"/>
      <c r="P33" s="1"/>
      <c r="Q33" s="1"/>
      <c r="R33" s="1"/>
      <c r="S33" s="1"/>
    </row>
    <row r="34" spans="1:19" s="212" customFormat="1" ht="52.8" x14ac:dyDescent="0.25">
      <c r="A34" s="3"/>
      <c r="B34" s="277" t="s">
        <v>42</v>
      </c>
      <c r="C34" s="278"/>
      <c r="D34" s="279"/>
      <c r="E34" s="218" t="s">
        <v>43</v>
      </c>
      <c r="F34" s="218" t="s">
        <v>44</v>
      </c>
      <c r="G34" s="230" t="s">
        <v>219</v>
      </c>
      <c r="H34" s="220"/>
      <c r="I34" s="3"/>
      <c r="K34" s="1"/>
      <c r="L34" s="1"/>
      <c r="M34" s="1"/>
      <c r="N34" s="1"/>
      <c r="O34" s="1"/>
      <c r="P34" s="1"/>
      <c r="Q34" s="1"/>
      <c r="R34" s="1"/>
      <c r="S34" s="1"/>
    </row>
    <row r="35" spans="1:19" s="212" customFormat="1" ht="26.4" x14ac:dyDescent="0.25">
      <c r="A35" s="221"/>
      <c r="B35" s="274" t="s">
        <v>21</v>
      </c>
      <c r="C35" s="274"/>
      <c r="D35" s="274"/>
      <c r="E35" s="222">
        <f>Summary!B3</f>
        <v>820000</v>
      </c>
      <c r="F35" s="225" t="s">
        <v>48</v>
      </c>
      <c r="G35" s="250" t="s">
        <v>231</v>
      </c>
      <c r="H35" s="220"/>
      <c r="I35" s="220"/>
      <c r="K35" s="1"/>
      <c r="L35" s="1"/>
      <c r="M35" s="1"/>
      <c r="N35" s="1"/>
      <c r="O35" s="1"/>
      <c r="P35" s="1"/>
      <c r="Q35" s="1"/>
      <c r="R35" s="1"/>
      <c r="S35" s="1"/>
    </row>
    <row r="36" spans="1:19" s="212" customFormat="1" ht="13.05" customHeight="1" x14ac:dyDescent="0.25">
      <c r="A36" s="221"/>
      <c r="B36" s="274" t="s">
        <v>22</v>
      </c>
      <c r="C36" s="274"/>
      <c r="D36" s="274"/>
      <c r="E36" s="210">
        <f>Summary!B5</f>
        <v>0.22982968319027397</v>
      </c>
      <c r="F36" s="216" t="s">
        <v>227</v>
      </c>
      <c r="G36" s="253" t="s">
        <v>231</v>
      </c>
      <c r="H36" s="220"/>
      <c r="I36" s="220"/>
      <c r="K36" s="1"/>
      <c r="L36" s="1"/>
      <c r="M36" s="1"/>
      <c r="N36" s="1"/>
      <c r="O36" s="1"/>
      <c r="P36" s="1"/>
      <c r="Q36" s="1"/>
      <c r="R36" s="1"/>
      <c r="S36" s="1"/>
    </row>
    <row r="37" spans="1:19" s="212" customFormat="1" ht="13.05" customHeight="1" x14ac:dyDescent="0.25">
      <c r="A37" s="221"/>
      <c r="B37" s="274" t="s">
        <v>222</v>
      </c>
      <c r="C37" s="274"/>
      <c r="D37" s="274"/>
      <c r="E37" s="210">
        <f>Summary!B12</f>
        <v>0.11167852438659627</v>
      </c>
      <c r="F37" s="216" t="s">
        <v>59</v>
      </c>
      <c r="G37" s="250" t="s">
        <v>232</v>
      </c>
      <c r="H37" s="220"/>
      <c r="I37" s="221"/>
      <c r="K37" s="1"/>
      <c r="L37" s="1"/>
      <c r="M37" s="1"/>
      <c r="N37" s="1"/>
      <c r="O37" s="1"/>
      <c r="P37" s="1"/>
      <c r="Q37" s="1"/>
      <c r="R37" s="1"/>
      <c r="S37" s="1"/>
    </row>
    <row r="38" spans="1:19" s="212" customFormat="1" ht="13.05" customHeight="1" x14ac:dyDescent="0.25">
      <c r="A38" s="5"/>
      <c r="B38" s="5"/>
      <c r="C38" s="5"/>
      <c r="D38" s="5"/>
      <c r="E38" s="5"/>
      <c r="F38" s="5"/>
      <c r="G38" s="5"/>
      <c r="H38" s="5"/>
      <c r="I38" s="5"/>
      <c r="K38" s="1"/>
      <c r="L38" s="1"/>
      <c r="M38" s="1"/>
      <c r="N38" s="1"/>
      <c r="O38" s="1"/>
      <c r="P38" s="1"/>
      <c r="Q38" s="1"/>
      <c r="R38" s="1"/>
      <c r="S38" s="1"/>
    </row>
    <row r="39" spans="1:19" s="212" customFormat="1" ht="13.05" customHeight="1" x14ac:dyDescent="0.25">
      <c r="A39" s="280" t="s">
        <v>62</v>
      </c>
      <c r="B39" s="280"/>
      <c r="C39" s="280"/>
      <c r="D39" s="280"/>
      <c r="E39" s="280"/>
      <c r="F39" s="280"/>
      <c r="G39" s="280"/>
      <c r="H39" s="280"/>
      <c r="I39" s="280"/>
      <c r="K39" s="1"/>
      <c r="L39" s="1"/>
      <c r="M39" s="1"/>
      <c r="N39" s="1"/>
      <c r="O39" s="1"/>
      <c r="P39" s="1"/>
      <c r="Q39" s="1"/>
      <c r="R39" s="1"/>
      <c r="S39" s="1"/>
    </row>
    <row r="40" spans="1:19" s="212" customFormat="1" x14ac:dyDescent="0.25">
      <c r="A40" s="280"/>
      <c r="B40" s="280"/>
      <c r="C40" s="280"/>
      <c r="D40" s="280"/>
      <c r="E40" s="280"/>
      <c r="F40" s="280"/>
      <c r="G40" s="280"/>
      <c r="H40" s="280"/>
      <c r="I40" s="280"/>
      <c r="K40" s="1"/>
      <c r="L40" s="1"/>
      <c r="M40" s="1"/>
      <c r="N40" s="1"/>
      <c r="O40" s="1"/>
      <c r="P40" s="1"/>
      <c r="Q40" s="1"/>
      <c r="R40" s="1"/>
      <c r="S40" s="1"/>
    </row>
    <row r="41" spans="1:19" s="212" customFormat="1" x14ac:dyDescent="0.25">
      <c r="A41" s="280"/>
      <c r="B41" s="280"/>
      <c r="C41" s="280"/>
      <c r="D41" s="280"/>
      <c r="E41" s="280"/>
      <c r="F41" s="280"/>
      <c r="G41" s="280"/>
      <c r="H41" s="280"/>
      <c r="I41" s="280"/>
      <c r="K41" s="1"/>
      <c r="L41" s="1"/>
      <c r="M41" s="1"/>
      <c r="N41" s="1"/>
      <c r="O41" s="1"/>
      <c r="P41" s="1"/>
      <c r="Q41" s="1"/>
      <c r="R41" s="1"/>
      <c r="S41" s="1"/>
    </row>
    <row r="42" spans="1:19" s="212" customFormat="1" x14ac:dyDescent="0.25">
      <c r="A42" s="280"/>
      <c r="B42" s="280"/>
      <c r="C42" s="280"/>
      <c r="D42" s="280"/>
      <c r="E42" s="280"/>
      <c r="F42" s="280"/>
      <c r="G42" s="280"/>
      <c r="H42" s="280"/>
      <c r="I42" s="280"/>
      <c r="K42" s="1"/>
      <c r="L42" s="1"/>
      <c r="M42" s="1"/>
      <c r="N42" s="1"/>
      <c r="O42" s="1"/>
      <c r="P42" s="1"/>
      <c r="Q42" s="1"/>
      <c r="R42" s="1"/>
      <c r="S42" s="1"/>
    </row>
    <row r="43" spans="1:19" s="212" customFormat="1" x14ac:dyDescent="0.25">
      <c r="A43"/>
      <c r="B43"/>
      <c r="C43"/>
      <c r="D43"/>
      <c r="E43"/>
      <c r="F43"/>
      <c r="G43"/>
      <c r="H43"/>
      <c r="I43"/>
      <c r="K43" s="1"/>
      <c r="L43" s="1"/>
      <c r="M43" s="1"/>
      <c r="N43" s="1"/>
      <c r="O43" s="1"/>
      <c r="P43" s="1"/>
      <c r="Q43" s="1"/>
      <c r="R43" s="1"/>
      <c r="S43" s="1"/>
    </row>
    <row r="44" spans="1:19" s="212" customFormat="1" ht="16.05" customHeight="1" x14ac:dyDescent="0.25">
      <c r="A44" s="260" t="s">
        <v>66</v>
      </c>
      <c r="B44" s="260"/>
      <c r="C44" s="260"/>
      <c r="D44" s="260"/>
      <c r="E44" s="260"/>
      <c r="F44" s="260"/>
      <c r="G44" s="260"/>
      <c r="H44" s="260"/>
      <c r="I44" s="260"/>
      <c r="K44" s="1"/>
      <c r="L44" s="1"/>
      <c r="M44" s="1"/>
      <c r="N44" s="1"/>
      <c r="O44" s="1"/>
      <c r="P44" s="1"/>
      <c r="Q44" s="1"/>
      <c r="R44" s="1"/>
      <c r="S44" s="1"/>
    </row>
    <row r="45" spans="1:19" s="212" customFormat="1" ht="13.05" customHeight="1" x14ac:dyDescent="0.25">
      <c r="A45" s="260"/>
      <c r="B45" s="260"/>
      <c r="C45" s="260"/>
      <c r="D45" s="260"/>
      <c r="E45" s="260"/>
      <c r="F45" s="260"/>
      <c r="G45" s="260"/>
      <c r="H45" s="260"/>
      <c r="I45" s="260"/>
      <c r="K45" s="1"/>
      <c r="L45" s="1"/>
      <c r="M45" s="1"/>
      <c r="N45" s="1"/>
      <c r="O45" s="1"/>
      <c r="P45" s="1"/>
      <c r="Q45" s="1"/>
      <c r="R45" s="1"/>
      <c r="S45" s="1"/>
    </row>
    <row r="46" spans="1:19" s="212" customFormat="1" x14ac:dyDescent="0.25">
      <c r="A46" s="260"/>
      <c r="B46" s="260"/>
      <c r="C46" s="260"/>
      <c r="D46" s="260"/>
      <c r="E46" s="260"/>
      <c r="F46" s="260"/>
      <c r="G46" s="260"/>
      <c r="H46" s="260"/>
      <c r="I46" s="260"/>
      <c r="K46" s="1"/>
      <c r="L46" s="1"/>
      <c r="M46" s="1"/>
      <c r="N46" s="1"/>
      <c r="O46" s="1"/>
      <c r="P46" s="1"/>
      <c r="Q46" s="1"/>
      <c r="R46" s="1"/>
      <c r="S46" s="1"/>
    </row>
    <row r="47" spans="1:19" s="212" customFormat="1" x14ac:dyDescent="0.25">
      <c r="A47" s="27"/>
      <c r="B47" s="27"/>
      <c r="C47" s="27"/>
      <c r="D47" s="27"/>
      <c r="E47" s="27"/>
      <c r="F47" s="27"/>
      <c r="G47" s="27"/>
      <c r="H47" s="27"/>
      <c r="I47" s="27"/>
      <c r="K47" s="1"/>
      <c r="L47" s="1"/>
      <c r="M47" s="1"/>
      <c r="N47" s="1"/>
      <c r="O47" s="1"/>
      <c r="P47" s="1"/>
      <c r="Q47" s="1"/>
      <c r="R47" s="1"/>
      <c r="S47" s="1"/>
    </row>
    <row r="48" spans="1:19" s="212" customFormat="1" ht="13.05" customHeight="1" x14ac:dyDescent="0.25">
      <c r="A48" s="260" t="s">
        <v>67</v>
      </c>
      <c r="B48" s="260"/>
      <c r="C48" s="260"/>
      <c r="D48" s="260"/>
      <c r="E48" s="260"/>
      <c r="F48" s="260"/>
      <c r="G48" s="260"/>
      <c r="H48" s="260"/>
      <c r="I48" s="260"/>
      <c r="J48"/>
      <c r="K48" s="1"/>
      <c r="L48" s="1"/>
      <c r="M48" s="1"/>
      <c r="N48" s="1"/>
      <c r="O48" s="1"/>
      <c r="P48" s="1"/>
      <c r="Q48" s="1"/>
      <c r="R48" s="1"/>
      <c r="S48" s="1"/>
    </row>
    <row r="49" spans="1:19" s="212" customFormat="1" x14ac:dyDescent="0.25">
      <c r="A49" s="260"/>
      <c r="B49" s="260"/>
      <c r="C49" s="260"/>
      <c r="D49" s="260"/>
      <c r="E49" s="260"/>
      <c r="F49" s="260"/>
      <c r="G49" s="260"/>
      <c r="H49" s="260"/>
      <c r="I49" s="260"/>
      <c r="J49" s="15"/>
      <c r="K49" s="1"/>
      <c r="L49" s="1"/>
      <c r="M49" s="1"/>
      <c r="N49" s="1"/>
      <c r="O49" s="1"/>
      <c r="P49" s="1"/>
      <c r="Q49" s="1"/>
      <c r="R49" s="1"/>
      <c r="S49" s="1"/>
    </row>
    <row r="50" spans="1:19" s="212" customFormat="1" ht="13.05" customHeight="1" x14ac:dyDescent="0.25">
      <c r="A50"/>
      <c r="B50" s="29"/>
      <c r="C50" s="29"/>
      <c r="D50" s="29"/>
      <c r="E50" s="29"/>
      <c r="F50" s="29"/>
      <c r="G50" s="29"/>
      <c r="H50" s="29"/>
      <c r="I50" s="29"/>
      <c r="J50"/>
      <c r="L50"/>
      <c r="M50"/>
      <c r="N50"/>
      <c r="O50"/>
      <c r="P50"/>
      <c r="Q50"/>
      <c r="R50"/>
      <c r="S50"/>
    </row>
    <row r="51" spans="1:19" s="212" customFormat="1" ht="13.05" customHeight="1" x14ac:dyDescent="0.25">
      <c r="A51" s="281" t="s">
        <v>18</v>
      </c>
      <c r="B51" s="281" t="s">
        <v>19</v>
      </c>
      <c r="C51" s="281"/>
      <c r="D51" s="281"/>
      <c r="E51" s="281"/>
      <c r="F51" s="262" t="s">
        <v>20</v>
      </c>
      <c r="G51" s="263"/>
      <c r="H51" s="264"/>
      <c r="I51" s="29"/>
      <c r="J51" s="9"/>
      <c r="K51" s="30"/>
      <c r="L51" s="9"/>
      <c r="M51" s="9"/>
      <c r="N51" s="9"/>
      <c r="O51" s="9"/>
      <c r="P51" s="9"/>
      <c r="Q51" s="9"/>
      <c r="R51" s="9"/>
      <c r="S51" s="9"/>
    </row>
    <row r="52" spans="1:19" s="212" customFormat="1" x14ac:dyDescent="0.25">
      <c r="A52" s="281"/>
      <c r="B52" s="281"/>
      <c r="C52" s="281"/>
      <c r="D52" s="281"/>
      <c r="E52" s="281"/>
      <c r="F52" s="214" t="s">
        <v>21</v>
      </c>
      <c r="G52" s="214" t="s">
        <v>22</v>
      </c>
      <c r="H52" s="214" t="s">
        <v>23</v>
      </c>
      <c r="I52" s="29"/>
      <c r="J52" s="9"/>
      <c r="K52" s="9"/>
      <c r="L52" s="9"/>
      <c r="M52" s="9"/>
      <c r="N52" s="9"/>
      <c r="O52" s="9"/>
      <c r="P52" s="9"/>
      <c r="Q52" s="9"/>
      <c r="R52" s="9"/>
      <c r="S52" s="9"/>
    </row>
    <row r="53" spans="1:19" s="212" customFormat="1" x14ac:dyDescent="0.25">
      <c r="A53" s="281"/>
      <c r="B53" s="281"/>
      <c r="C53" s="281"/>
      <c r="D53" s="281"/>
      <c r="E53" s="281"/>
      <c r="F53" s="214" t="s">
        <v>25</v>
      </c>
      <c r="G53" s="214" t="s">
        <v>223</v>
      </c>
      <c r="H53" s="214" t="s">
        <v>26</v>
      </c>
      <c r="I53" s="29"/>
    </row>
    <row r="54" spans="1:19" s="212" customFormat="1" x14ac:dyDescent="0.25">
      <c r="A54" s="274">
        <v>3</v>
      </c>
      <c r="B54" s="275" t="s">
        <v>28</v>
      </c>
      <c r="C54" s="275"/>
      <c r="D54" s="275"/>
      <c r="E54" s="275"/>
      <c r="F54" s="219"/>
      <c r="G54" s="210"/>
      <c r="H54" s="210"/>
      <c r="I54" s="29"/>
    </row>
    <row r="55" spans="1:19" s="212" customFormat="1" ht="13.05" customHeight="1" x14ac:dyDescent="0.25">
      <c r="A55" s="274"/>
      <c r="B55" s="275" t="s">
        <v>220</v>
      </c>
      <c r="C55" s="275"/>
      <c r="D55" s="275"/>
      <c r="E55" s="275"/>
      <c r="F55" s="231"/>
      <c r="G55" s="231"/>
      <c r="H55" s="231"/>
      <c r="I55" s="29"/>
    </row>
    <row r="56" spans="1:19" s="212" customFormat="1" ht="13.05" customHeight="1" x14ac:dyDescent="0.25">
      <c r="A56" s="274">
        <v>4</v>
      </c>
      <c r="B56" s="275" t="s">
        <v>29</v>
      </c>
      <c r="C56" s="275"/>
      <c r="D56" s="275"/>
      <c r="E56" s="275"/>
      <c r="F56" s="219"/>
      <c r="G56" s="210"/>
      <c r="H56" s="210"/>
      <c r="I56" s="29"/>
    </row>
    <row r="57" spans="1:19" s="212" customFormat="1" x14ac:dyDescent="0.25">
      <c r="A57" s="274"/>
      <c r="B57" s="275" t="s">
        <v>220</v>
      </c>
      <c r="C57" s="275"/>
      <c r="D57" s="275"/>
      <c r="E57" s="275"/>
      <c r="F57" s="231"/>
      <c r="G57" s="231"/>
      <c r="H57" s="231"/>
      <c r="I57" s="29"/>
    </row>
    <row r="58" spans="1:19" s="212" customFormat="1" ht="13.05" customHeight="1" x14ac:dyDescent="0.25">
      <c r="A58" s="274">
        <v>5</v>
      </c>
      <c r="B58" s="275" t="s">
        <v>224</v>
      </c>
      <c r="C58" s="275"/>
      <c r="D58" s="275"/>
      <c r="E58" s="275"/>
      <c r="F58" s="219"/>
      <c r="G58" s="210"/>
      <c r="H58" s="210"/>
      <c r="I58" s="29"/>
    </row>
    <row r="59" spans="1:19" s="212" customFormat="1" x14ac:dyDescent="0.25">
      <c r="A59" s="274"/>
      <c r="B59" s="275" t="s">
        <v>220</v>
      </c>
      <c r="C59" s="275"/>
      <c r="D59" s="275"/>
      <c r="E59" s="275"/>
      <c r="F59" s="231"/>
      <c r="G59" s="231"/>
      <c r="H59" s="231"/>
      <c r="I59" s="29"/>
    </row>
    <row r="60" spans="1:19" s="212" customFormat="1" x14ac:dyDescent="0.25">
      <c r="A60" s="274">
        <v>6</v>
      </c>
      <c r="B60" s="275" t="s">
        <v>32</v>
      </c>
      <c r="C60" s="275"/>
      <c r="D60" s="275"/>
      <c r="E60" s="275"/>
      <c r="F60" s="219"/>
      <c r="G60" s="210"/>
      <c r="H60" s="210"/>
      <c r="I60" s="29"/>
    </row>
    <row r="61" spans="1:19" s="212" customFormat="1" x14ac:dyDescent="0.25">
      <c r="A61" s="274"/>
      <c r="B61" s="275" t="s">
        <v>220</v>
      </c>
      <c r="C61" s="275"/>
      <c r="D61" s="275"/>
      <c r="E61" s="275"/>
      <c r="F61" s="231"/>
      <c r="G61" s="231"/>
      <c r="H61" s="231"/>
      <c r="I61" s="29"/>
    </row>
    <row r="62" spans="1:19" s="212" customFormat="1" x14ac:dyDescent="0.25">
      <c r="A62" s="2"/>
      <c r="B62"/>
      <c r="C62"/>
      <c r="D62"/>
      <c r="E62"/>
      <c r="F62"/>
      <c r="G62"/>
      <c r="H62"/>
      <c r="I62" s="29"/>
    </row>
    <row r="63" spans="1:19" s="212" customFormat="1" ht="13.05" customHeight="1" x14ac:dyDescent="0.25">
      <c r="A63" s="260" t="s">
        <v>34</v>
      </c>
      <c r="B63" s="260"/>
      <c r="C63" s="260"/>
      <c r="D63" s="260"/>
      <c r="E63" s="260"/>
      <c r="F63" s="260"/>
      <c r="G63" s="260"/>
      <c r="H63" s="260"/>
      <c r="I63" s="260"/>
    </row>
    <row r="64" spans="1:19" s="212" customFormat="1" ht="13.05" customHeight="1" x14ac:dyDescent="0.25">
      <c r="A64" s="260"/>
      <c r="B64" s="260"/>
      <c r="C64" s="260"/>
      <c r="D64" s="260"/>
      <c r="E64" s="260"/>
      <c r="F64" s="260"/>
      <c r="G64" s="260"/>
      <c r="H64" s="260"/>
      <c r="I64" s="260"/>
    </row>
    <row r="65" spans="1:9" s="212" customFormat="1" x14ac:dyDescent="0.25">
      <c r="A65" s="2"/>
      <c r="B65"/>
      <c r="C65"/>
      <c r="D65"/>
      <c r="E65"/>
      <c r="F65"/>
      <c r="G65"/>
      <c r="H65"/>
      <c r="I65" s="6"/>
    </row>
    <row r="66" spans="1:9" s="212" customFormat="1" x14ac:dyDescent="0.25">
      <c r="A66" s="12" t="s">
        <v>36</v>
      </c>
      <c r="B66" s="6"/>
      <c r="C66" s="6"/>
      <c r="D66" s="6"/>
      <c r="E66" s="6"/>
      <c r="F66" s="6"/>
      <c r="G66" s="6"/>
      <c r="H66" s="6"/>
      <c r="I66" s="6"/>
    </row>
    <row r="67" spans="1:9" s="212" customFormat="1" x14ac:dyDescent="0.25">
      <c r="A67" s="6"/>
      <c r="B67" s="3"/>
      <c r="C67" s="3"/>
      <c r="D67" s="3"/>
      <c r="E67" s="3"/>
      <c r="F67" s="3"/>
      <c r="G67" s="3"/>
      <c r="H67" s="3"/>
      <c r="I67" s="3"/>
    </row>
    <row r="68" spans="1:9" s="212" customFormat="1" x14ac:dyDescent="0.25">
      <c r="A68" s="6"/>
      <c r="B68" s="260" t="s">
        <v>38</v>
      </c>
      <c r="C68" s="260"/>
      <c r="D68" s="260"/>
      <c r="E68" s="260"/>
      <c r="F68" s="260"/>
      <c r="G68" s="260"/>
      <c r="H68" s="260"/>
      <c r="I68" s="260"/>
    </row>
    <row r="69" spans="1:9" s="212" customFormat="1" x14ac:dyDescent="0.25">
      <c r="A69" s="6"/>
      <c r="B69" s="260"/>
      <c r="C69" s="260"/>
      <c r="D69" s="260"/>
      <c r="E69" s="260"/>
      <c r="F69" s="260"/>
      <c r="G69" s="260"/>
      <c r="H69" s="260"/>
      <c r="I69" s="260"/>
    </row>
    <row r="70" spans="1:9" s="212" customFormat="1" x14ac:dyDescent="0.25">
      <c r="A70" s="6"/>
      <c r="B70" s="6"/>
      <c r="C70" s="6"/>
      <c r="D70" s="6"/>
      <c r="E70" s="6"/>
      <c r="F70" s="6"/>
      <c r="G70" s="6"/>
      <c r="H70" s="6"/>
      <c r="I70" s="6"/>
    </row>
    <row r="71" spans="1:9" s="212" customFormat="1" ht="13.05" customHeight="1" x14ac:dyDescent="0.25">
      <c r="A71" s="6"/>
      <c r="B71"/>
      <c r="C71"/>
      <c r="D71" s="273" t="s">
        <v>40</v>
      </c>
      <c r="E71" s="273"/>
      <c r="F71" s="273"/>
      <c r="G71" s="218" t="s">
        <v>41</v>
      </c>
      <c r="H71" s="3"/>
      <c r="I71" s="3"/>
    </row>
    <row r="72" spans="1:9" s="212" customFormat="1" x14ac:dyDescent="0.25">
      <c r="A72" s="6"/>
      <c r="B72"/>
      <c r="C72"/>
      <c r="D72" s="17" t="s">
        <v>45</v>
      </c>
      <c r="E72" s="18"/>
      <c r="F72" s="19"/>
      <c r="G72" s="211"/>
      <c r="H72" s="259" t="s">
        <v>46</v>
      </c>
      <c r="I72" s="259"/>
    </row>
    <row r="73" spans="1:9" s="212" customFormat="1" x14ac:dyDescent="0.25">
      <c r="A73" s="6"/>
      <c r="B73"/>
      <c r="C73"/>
      <c r="D73" s="17" t="s">
        <v>47</v>
      </c>
      <c r="E73" s="18"/>
      <c r="F73" s="19"/>
      <c r="G73" s="211"/>
      <c r="H73" s="259"/>
      <c r="I73" s="259"/>
    </row>
    <row r="74" spans="1:9" s="212" customFormat="1" x14ac:dyDescent="0.25">
      <c r="A74" s="6"/>
      <c r="B74"/>
      <c r="C74"/>
      <c r="D74" s="20" t="s">
        <v>49</v>
      </c>
      <c r="E74" s="21"/>
      <c r="F74" s="22"/>
      <c r="G74" s="211"/>
      <c r="H74" s="6"/>
      <c r="I74" s="6"/>
    </row>
    <row r="75" spans="1:9" s="212" customFormat="1" x14ac:dyDescent="0.25">
      <c r="A75" s="6"/>
      <c r="B75"/>
      <c r="C75"/>
      <c r="D75" s="23" t="s">
        <v>50</v>
      </c>
      <c r="E75" s="24"/>
      <c r="F75" s="25"/>
      <c r="G75" s="211"/>
      <c r="H75" s="6"/>
      <c r="I75" s="6"/>
    </row>
    <row r="76" spans="1:9" s="212" customFormat="1" x14ac:dyDescent="0.25">
      <c r="A76" s="3"/>
      <c r="B76" s="3"/>
      <c r="C76" s="3"/>
      <c r="D76"/>
      <c r="E76"/>
      <c r="F76"/>
      <c r="G76" s="3"/>
      <c r="H76" s="3"/>
      <c r="I76" s="3"/>
    </row>
    <row r="77" spans="1:9" s="212" customFormat="1" x14ac:dyDescent="0.25">
      <c r="A77" s="3"/>
      <c r="B77" s="260" t="s">
        <v>53</v>
      </c>
      <c r="C77" s="260"/>
      <c r="D77" s="260"/>
      <c r="E77" s="260"/>
      <c r="F77" s="260"/>
      <c r="G77" s="260"/>
      <c r="H77" s="260"/>
      <c r="I77" s="260"/>
    </row>
    <row r="78" spans="1:9" s="212" customFormat="1" x14ac:dyDescent="0.25">
      <c r="A78" s="6"/>
      <c r="B78" s="260"/>
      <c r="C78" s="260"/>
      <c r="D78" s="260"/>
      <c r="E78" s="260"/>
      <c r="F78" s="260"/>
      <c r="G78" s="260"/>
      <c r="H78" s="260"/>
      <c r="I78" s="260"/>
    </row>
    <row r="79" spans="1:9" s="212" customFormat="1" x14ac:dyDescent="0.25">
      <c r="A79" s="6"/>
      <c r="B79" s="260"/>
      <c r="C79" s="260"/>
      <c r="D79" s="260"/>
      <c r="E79" s="260"/>
      <c r="F79" s="260"/>
      <c r="G79" s="260"/>
      <c r="H79" s="260"/>
      <c r="I79" s="260"/>
    </row>
    <row r="80" spans="1:9" s="212" customFormat="1" x14ac:dyDescent="0.25">
      <c r="A80" s="6"/>
      <c r="B80" s="6"/>
      <c r="C80" s="6"/>
      <c r="D80"/>
      <c r="E80"/>
      <c r="F80"/>
      <c r="G80" s="6"/>
      <c r="H80" s="6"/>
      <c r="I80" s="6"/>
    </row>
    <row r="81" spans="1:9" s="212" customFormat="1" x14ac:dyDescent="0.25">
      <c r="A81" s="6"/>
      <c r="B81" s="6" t="s">
        <v>56</v>
      </c>
      <c r="C81" s="6"/>
      <c r="D81" s="6"/>
      <c r="E81" s="6"/>
      <c r="F81" s="6"/>
      <c r="G81" s="26" t="s">
        <v>57</v>
      </c>
      <c r="H81" s="217"/>
      <c r="I81" s="6"/>
    </row>
    <row r="82" spans="1:9" s="212" customFormat="1" x14ac:dyDescent="0.25">
      <c r="A82" s="6"/>
      <c r="B82" s="6"/>
      <c r="C82" s="6"/>
      <c r="D82" s="6"/>
      <c r="E82" s="6"/>
      <c r="F82" s="6"/>
      <c r="G82" s="6"/>
      <c r="H82" s="6"/>
      <c r="I82" s="6"/>
    </row>
    <row r="83" spans="1:9" s="212" customFormat="1" x14ac:dyDescent="0.25">
      <c r="A83" s="260" t="s">
        <v>228</v>
      </c>
      <c r="B83" s="260"/>
      <c r="C83" s="260"/>
      <c r="D83" s="260"/>
      <c r="E83" s="260"/>
      <c r="F83" s="260"/>
      <c r="G83" s="260"/>
      <c r="H83" s="260"/>
      <c r="I83" s="260"/>
    </row>
    <row r="84" spans="1:9" s="212" customFormat="1" x14ac:dyDescent="0.25">
      <c r="A84" s="260"/>
      <c r="B84" s="260"/>
      <c r="C84" s="260"/>
      <c r="D84" s="260"/>
      <c r="E84" s="260"/>
      <c r="F84" s="260"/>
      <c r="G84" s="260"/>
      <c r="H84" s="260"/>
      <c r="I84" s="260"/>
    </row>
    <row r="85" spans="1:9" s="212" customFormat="1" x14ac:dyDescent="0.25">
      <c r="A85" s="5"/>
      <c r="B85" s="5"/>
      <c r="C85" s="5"/>
      <c r="D85" s="5"/>
      <c r="E85" s="5"/>
      <c r="F85" s="5"/>
      <c r="G85" s="5"/>
      <c r="H85" s="5"/>
      <c r="I85" s="5"/>
    </row>
    <row r="86" spans="1:9" s="212" customFormat="1" ht="13.05" customHeight="1" x14ac:dyDescent="0.25">
      <c r="A86" s="261" t="s">
        <v>58</v>
      </c>
      <c r="B86" s="261"/>
      <c r="C86" s="261"/>
      <c r="D86" s="261"/>
      <c r="E86" s="261"/>
      <c r="F86" s="262" t="s">
        <v>20</v>
      </c>
      <c r="G86" s="263"/>
      <c r="H86" s="264"/>
      <c r="I86" s="5"/>
    </row>
    <row r="87" spans="1:9" s="212" customFormat="1" ht="13.05" customHeight="1" x14ac:dyDescent="0.25">
      <c r="A87" s="261"/>
      <c r="B87" s="261"/>
      <c r="C87" s="261"/>
      <c r="D87" s="261"/>
      <c r="E87" s="261"/>
      <c r="F87" s="213" t="s">
        <v>21</v>
      </c>
      <c r="G87" s="214" t="s">
        <v>22</v>
      </c>
      <c r="H87" s="214" t="s">
        <v>23</v>
      </c>
      <c r="I87" s="5"/>
    </row>
    <row r="88" spans="1:9" s="212" customFormat="1" ht="13.05" customHeight="1" x14ac:dyDescent="0.25">
      <c r="A88" s="261"/>
      <c r="B88" s="261"/>
      <c r="C88" s="261"/>
      <c r="D88" s="261"/>
      <c r="E88" s="261"/>
      <c r="F88" s="226" t="s">
        <v>25</v>
      </c>
      <c r="G88" s="224" t="s">
        <v>223</v>
      </c>
      <c r="H88" s="224" t="s">
        <v>26</v>
      </c>
      <c r="I88" s="5"/>
    </row>
    <row r="89" spans="1:9" s="212" customFormat="1" ht="13.05" customHeight="1" x14ac:dyDescent="0.25">
      <c r="A89" s="265" t="s">
        <v>60</v>
      </c>
      <c r="B89" s="257" t="s">
        <v>61</v>
      </c>
      <c r="C89" s="257"/>
      <c r="D89" s="257"/>
      <c r="E89" s="266"/>
      <c r="F89" s="267"/>
      <c r="G89" s="270"/>
      <c r="H89" s="270"/>
      <c r="I89" s="5"/>
    </row>
    <row r="90" spans="1:9" s="212" customFormat="1" ht="13.05" customHeight="1" x14ac:dyDescent="0.25">
      <c r="A90" s="265"/>
      <c r="B90" s="257" t="s">
        <v>63</v>
      </c>
      <c r="C90" s="257"/>
      <c r="D90" s="257"/>
      <c r="E90" s="266"/>
      <c r="F90" s="268"/>
      <c r="G90" s="271"/>
      <c r="H90" s="271"/>
      <c r="I90" s="5"/>
    </row>
    <row r="91" spans="1:9" s="212" customFormat="1" x14ac:dyDescent="0.25">
      <c r="A91" s="265"/>
      <c r="B91" s="257" t="s">
        <v>226</v>
      </c>
      <c r="C91" s="257"/>
      <c r="D91" s="257"/>
      <c r="E91" s="266"/>
      <c r="F91" s="268"/>
      <c r="G91" s="271"/>
      <c r="H91" s="271"/>
      <c r="I91" s="5"/>
    </row>
    <row r="92" spans="1:9" s="212" customFormat="1" x14ac:dyDescent="0.25">
      <c r="A92" s="265"/>
      <c r="B92" s="257" t="s">
        <v>64</v>
      </c>
      <c r="C92" s="257"/>
      <c r="D92" s="257"/>
      <c r="E92" s="266"/>
      <c r="F92" s="269"/>
      <c r="G92" s="272"/>
      <c r="H92" s="272"/>
      <c r="I92" s="5"/>
    </row>
    <row r="93" spans="1:9" s="212" customFormat="1" ht="13.05" customHeight="1" x14ac:dyDescent="0.25">
      <c r="A93" s="265"/>
      <c r="B93" s="257" t="s">
        <v>65</v>
      </c>
      <c r="C93" s="257"/>
      <c r="D93" s="257"/>
      <c r="E93" s="257"/>
      <c r="F93" s="256"/>
      <c r="G93" s="256"/>
      <c r="H93" s="256"/>
      <c r="I93" s="5"/>
    </row>
    <row r="94" spans="1:9" s="212" customFormat="1" x14ac:dyDescent="0.25">
      <c r="A94"/>
      <c r="B94"/>
      <c r="C94"/>
      <c r="D94"/>
      <c r="E94"/>
      <c r="F94"/>
      <c r="G94"/>
      <c r="H94"/>
      <c r="I94"/>
    </row>
    <row r="95" spans="1:9" s="212" customFormat="1" ht="13.05" customHeight="1" x14ac:dyDescent="0.25">
      <c r="A95" s="258" t="s">
        <v>218</v>
      </c>
      <c r="B95" s="258"/>
      <c r="C95" s="258"/>
      <c r="D95" s="258"/>
      <c r="E95" s="258"/>
      <c r="F95" s="258"/>
      <c r="G95" s="258"/>
      <c r="H95" s="258"/>
      <c r="I95" s="258"/>
    </row>
    <row r="96" spans="1:9" s="212" customFormat="1" x14ac:dyDescent="0.25">
      <c r="A96" s="258"/>
      <c r="B96" s="258"/>
      <c r="C96" s="258"/>
      <c r="D96" s="258"/>
      <c r="E96" s="258"/>
      <c r="F96" s="258"/>
      <c r="G96" s="258"/>
      <c r="H96" s="258"/>
      <c r="I96" s="258"/>
    </row>
    <row r="97" spans="1:1019" s="212" customFormat="1" ht="13.05" customHeight="1" x14ac:dyDescent="0.25">
      <c r="A97" s="258"/>
      <c r="B97" s="258"/>
      <c r="C97" s="258"/>
      <c r="D97" s="258"/>
      <c r="E97" s="258"/>
      <c r="F97" s="258"/>
      <c r="G97" s="258"/>
      <c r="H97" s="258"/>
      <c r="I97" s="258"/>
    </row>
    <row r="98" spans="1:1019" s="212" customFormat="1" ht="13.05" customHeight="1" x14ac:dyDescent="0.25">
      <c r="A98" s="258"/>
      <c r="B98" s="258"/>
      <c r="C98" s="258"/>
      <c r="D98" s="258"/>
      <c r="E98" s="258"/>
      <c r="F98" s="258"/>
      <c r="G98" s="258"/>
      <c r="H98" s="258"/>
      <c r="I98" s="258"/>
    </row>
    <row r="99" spans="1:1019" s="212" customFormat="1" x14ac:dyDescent="0.25">
      <c r="A99" s="28"/>
      <c r="B99" s="9"/>
      <c r="C99" s="9"/>
      <c r="D99" s="9"/>
      <c r="E99" s="9"/>
      <c r="F99" s="9"/>
      <c r="G99" s="26" t="s">
        <v>57</v>
      </c>
      <c r="H99" s="217">
        <v>6.1</v>
      </c>
    </row>
    <row r="100" spans="1:1019" s="212" customFormat="1" x14ac:dyDescent="0.25">
      <c r="A100" s="28"/>
      <c r="B100" s="9"/>
      <c r="C100" s="9"/>
      <c r="D100" s="9"/>
      <c r="E100" s="9"/>
      <c r="F100" s="9"/>
      <c r="G100" s="26"/>
      <c r="H100" s="2"/>
    </row>
    <row r="101" spans="1:1019" s="212" customFormat="1" ht="13.05" customHeight="1" x14ac:dyDescent="0.25">
      <c r="A101" s="227" t="s">
        <v>68</v>
      </c>
      <c r="B101" s="227"/>
      <c r="C101" s="227"/>
      <c r="D101" s="227"/>
      <c r="E101" s="227"/>
      <c r="F101" s="227"/>
      <c r="G101" s="227"/>
      <c r="H101" s="227"/>
      <c r="I101" s="227"/>
    </row>
    <row r="102" spans="1:1019" s="212" customFormat="1" x14ac:dyDescent="0.25">
      <c r="A102" s="227"/>
      <c r="B102" s="227"/>
      <c r="C102" s="227"/>
      <c r="D102" s="227"/>
      <c r="E102" s="227"/>
      <c r="F102" s="227"/>
      <c r="K102" s="228"/>
      <c r="L102" s="229"/>
    </row>
    <row r="103" spans="1:1019" s="212" customFormat="1" x14ac:dyDescent="0.25"/>
    <row r="104" spans="1:1019" s="212" customFormat="1" x14ac:dyDescent="0.25"/>
    <row r="105" spans="1:1019" s="212" customFormat="1" x14ac:dyDescent="0.25"/>
    <row r="106" spans="1:1019" s="212" customFormat="1" x14ac:dyDescent="0.25"/>
    <row r="107" spans="1:1019" s="212" customFormat="1" ht="13.05" customHeight="1" x14ac:dyDescent="0.25"/>
    <row r="108" spans="1:1019" x14ac:dyDescent="0.25">
      <c r="ALJ108"/>
      <c r="ALK108"/>
      <c r="ALL108"/>
      <c r="ALM108"/>
      <c r="ALN108"/>
      <c r="ALO108"/>
      <c r="ALP108"/>
      <c r="ALQ108"/>
      <c r="ALR108"/>
      <c r="ALS108"/>
      <c r="ALT108"/>
      <c r="ALU108"/>
      <c r="ALV108"/>
      <c r="ALW108"/>
      <c r="ALX108"/>
      <c r="ALY108"/>
      <c r="ALZ108"/>
      <c r="AMA108"/>
      <c r="AMB108"/>
      <c r="AMC108"/>
      <c r="AMD108"/>
      <c r="AME108"/>
    </row>
    <row r="109" spans="1:1019" x14ac:dyDescent="0.25">
      <c r="ALJ109"/>
      <c r="ALK109"/>
      <c r="ALL109"/>
      <c r="ALM109"/>
      <c r="ALN109"/>
      <c r="ALO109"/>
      <c r="ALP109"/>
      <c r="ALQ109"/>
      <c r="ALR109"/>
      <c r="ALS109"/>
      <c r="ALT109"/>
      <c r="ALU109"/>
      <c r="ALV109"/>
      <c r="ALW109"/>
      <c r="ALX109"/>
      <c r="ALY109"/>
      <c r="ALZ109"/>
      <c r="AMA109"/>
      <c r="AMB109"/>
      <c r="AMC109"/>
      <c r="AMD109"/>
      <c r="AME109"/>
    </row>
    <row r="110" spans="1:1019" x14ac:dyDescent="0.25">
      <c r="ALJ110"/>
      <c r="ALK110"/>
      <c r="ALL110"/>
      <c r="ALM110"/>
      <c r="ALN110"/>
      <c r="ALO110"/>
      <c r="ALP110"/>
      <c r="ALQ110"/>
      <c r="ALR110"/>
      <c r="ALS110"/>
      <c r="ALT110"/>
      <c r="ALU110"/>
      <c r="ALV110"/>
      <c r="ALW110"/>
      <c r="ALX110"/>
      <c r="ALY110"/>
      <c r="ALZ110"/>
      <c r="AMA110"/>
      <c r="AMB110"/>
      <c r="AMC110"/>
      <c r="AMD110"/>
      <c r="AME110"/>
    </row>
    <row r="111" spans="1:1019" x14ac:dyDescent="0.25">
      <c r="ALJ111"/>
      <c r="ALK111"/>
      <c r="ALL111"/>
      <c r="ALM111"/>
      <c r="ALN111"/>
      <c r="ALO111"/>
      <c r="ALP111"/>
      <c r="ALQ111"/>
      <c r="ALR111"/>
      <c r="ALS111"/>
      <c r="ALT111"/>
      <c r="ALU111"/>
      <c r="ALV111"/>
      <c r="ALW111"/>
      <c r="ALX111"/>
      <c r="ALY111"/>
      <c r="ALZ111"/>
      <c r="AMA111"/>
      <c r="AMB111"/>
      <c r="AMC111"/>
      <c r="AMD111"/>
      <c r="AME111"/>
    </row>
    <row r="112" spans="1:1019" x14ac:dyDescent="0.25">
      <c r="ALJ112"/>
      <c r="ALK112"/>
      <c r="ALL112"/>
      <c r="ALM112"/>
      <c r="ALN112"/>
      <c r="ALO112"/>
      <c r="ALP112"/>
      <c r="ALQ112"/>
      <c r="ALR112"/>
      <c r="ALS112"/>
      <c r="ALT112"/>
      <c r="ALU112"/>
      <c r="ALV112"/>
      <c r="ALW112"/>
      <c r="ALX112"/>
      <c r="ALY112"/>
      <c r="ALZ112"/>
      <c r="AMA112"/>
      <c r="AMB112"/>
      <c r="AMC112"/>
      <c r="AMD112"/>
      <c r="AME112"/>
    </row>
    <row r="113" spans="997:1019" x14ac:dyDescent="0.25">
      <c r="ALJ113"/>
      <c r="ALK113"/>
      <c r="ALL113"/>
      <c r="ALM113"/>
      <c r="ALN113"/>
      <c r="ALO113"/>
      <c r="ALP113"/>
      <c r="ALQ113"/>
      <c r="ALR113"/>
      <c r="ALS113"/>
      <c r="ALT113"/>
      <c r="ALU113"/>
      <c r="ALV113"/>
      <c r="ALW113"/>
      <c r="ALX113"/>
      <c r="ALY113"/>
      <c r="ALZ113"/>
      <c r="AMA113"/>
      <c r="AMB113"/>
      <c r="AMC113"/>
      <c r="AMD113"/>
      <c r="AME113"/>
    </row>
    <row r="114" spans="997:1019" ht="13.05" customHeight="1" x14ac:dyDescent="0.25">
      <c r="ALJ114"/>
      <c r="ALK114"/>
      <c r="ALL114"/>
      <c r="ALM114"/>
      <c r="ALN114"/>
      <c r="ALO114"/>
      <c r="ALP114"/>
      <c r="ALQ114"/>
      <c r="ALR114"/>
      <c r="ALS114"/>
      <c r="ALT114"/>
      <c r="ALU114"/>
      <c r="ALV114"/>
      <c r="ALW114"/>
      <c r="ALX114"/>
      <c r="ALY114"/>
      <c r="ALZ114"/>
      <c r="AMA114"/>
      <c r="AMB114"/>
      <c r="AMC114"/>
      <c r="AMD114"/>
      <c r="AME114"/>
    </row>
    <row r="115" spans="997:1019" x14ac:dyDescent="0.25">
      <c r="ALJ115"/>
      <c r="ALK115"/>
      <c r="ALL115"/>
      <c r="ALM115"/>
      <c r="ALN115"/>
      <c r="ALO115"/>
      <c r="ALP115"/>
      <c r="ALQ115"/>
      <c r="ALR115"/>
      <c r="ALS115"/>
      <c r="ALT115"/>
      <c r="ALU115"/>
      <c r="ALV115"/>
      <c r="ALW115"/>
      <c r="ALX115"/>
      <c r="ALY115"/>
      <c r="ALZ115"/>
      <c r="AMA115"/>
      <c r="AMB115"/>
      <c r="AMC115"/>
      <c r="AMD115"/>
      <c r="AME115"/>
    </row>
    <row r="116" spans="997:1019" x14ac:dyDescent="0.25">
      <c r="ALJ116"/>
      <c r="ALK116"/>
      <c r="ALL116"/>
      <c r="ALM116"/>
      <c r="ALN116"/>
      <c r="ALO116"/>
      <c r="ALP116"/>
      <c r="ALQ116"/>
      <c r="ALR116"/>
      <c r="ALS116"/>
      <c r="ALT116"/>
      <c r="ALU116"/>
      <c r="ALV116"/>
      <c r="ALW116"/>
      <c r="ALX116"/>
      <c r="ALY116"/>
      <c r="ALZ116"/>
      <c r="AMA116"/>
      <c r="AMB116"/>
      <c r="AMC116"/>
      <c r="AMD116"/>
      <c r="AME116"/>
    </row>
    <row r="117" spans="997:1019" x14ac:dyDescent="0.25">
      <c r="ALJ117"/>
      <c r="ALK117"/>
      <c r="ALL117"/>
      <c r="ALM117"/>
      <c r="ALN117"/>
      <c r="ALO117"/>
      <c r="ALP117"/>
      <c r="ALQ117"/>
      <c r="ALR117"/>
      <c r="ALS117"/>
      <c r="ALT117"/>
      <c r="ALU117"/>
      <c r="ALV117"/>
      <c r="ALW117"/>
      <c r="ALX117"/>
      <c r="ALY117"/>
      <c r="ALZ117"/>
      <c r="AMA117"/>
      <c r="AMB117"/>
      <c r="AMC117"/>
      <c r="AMD117"/>
      <c r="AME117"/>
    </row>
    <row r="118" spans="997:1019" x14ac:dyDescent="0.25">
      <c r="ALJ118"/>
      <c r="ALK118"/>
      <c r="ALL118"/>
      <c r="ALM118"/>
      <c r="ALN118"/>
      <c r="ALO118"/>
      <c r="ALP118"/>
      <c r="ALQ118"/>
      <c r="ALR118"/>
      <c r="ALS118"/>
      <c r="ALT118"/>
      <c r="ALU118"/>
      <c r="ALV118"/>
      <c r="ALW118"/>
      <c r="ALX118"/>
      <c r="ALY118"/>
      <c r="ALZ118"/>
      <c r="AMA118"/>
      <c r="AMB118"/>
      <c r="AMC118"/>
      <c r="AMD118"/>
      <c r="AME118"/>
    </row>
    <row r="119" spans="997:1019" x14ac:dyDescent="0.25">
      <c r="ALJ119"/>
      <c r="ALK119"/>
      <c r="ALL119"/>
      <c r="ALM119"/>
      <c r="ALN119"/>
      <c r="ALO119"/>
      <c r="ALP119"/>
      <c r="ALQ119"/>
      <c r="ALR119"/>
      <c r="ALS119"/>
      <c r="ALT119"/>
      <c r="ALU119"/>
      <c r="ALV119"/>
      <c r="ALW119"/>
      <c r="ALX119"/>
      <c r="ALY119"/>
      <c r="ALZ119"/>
      <c r="AMA119"/>
      <c r="AMB119"/>
      <c r="AMC119"/>
      <c r="AMD119"/>
      <c r="AME119"/>
    </row>
    <row r="120" spans="997:1019" x14ac:dyDescent="0.25">
      <c r="ALJ120"/>
      <c r="ALK120"/>
      <c r="ALL120"/>
      <c r="ALM120"/>
      <c r="ALN120"/>
      <c r="ALO120"/>
      <c r="ALP120"/>
      <c r="ALQ120"/>
      <c r="ALR120"/>
      <c r="ALS120"/>
      <c r="ALT120"/>
      <c r="ALU120"/>
      <c r="ALV120"/>
      <c r="ALW120"/>
      <c r="ALX120"/>
      <c r="ALY120"/>
      <c r="ALZ120"/>
      <c r="AMA120"/>
      <c r="AMB120"/>
      <c r="AMC120"/>
      <c r="AMD120"/>
      <c r="AME120"/>
    </row>
    <row r="121" spans="997:1019" x14ac:dyDescent="0.25">
      <c r="ALI121"/>
      <c r="ALJ121"/>
      <c r="ALK121"/>
      <c r="ALL121"/>
      <c r="ALM121"/>
      <c r="ALN121"/>
      <c r="ALO121"/>
      <c r="ALP121"/>
      <c r="ALQ121"/>
      <c r="ALR121"/>
      <c r="ALS121"/>
      <c r="ALT121"/>
      <c r="ALU121"/>
      <c r="ALV121"/>
      <c r="ALW121"/>
      <c r="ALX121"/>
      <c r="ALY121"/>
      <c r="ALZ121"/>
      <c r="AMA121"/>
      <c r="AMB121"/>
      <c r="AMC121"/>
      <c r="AMD121"/>
      <c r="AME121"/>
    </row>
    <row r="122" spans="997:1019" x14ac:dyDescent="0.25">
      <c r="ALI122"/>
      <c r="ALJ122"/>
      <c r="ALK122"/>
      <c r="ALL122"/>
      <c r="ALM122"/>
      <c r="ALN122"/>
      <c r="ALO122"/>
      <c r="ALP122"/>
      <c r="ALQ122"/>
      <c r="ALR122"/>
      <c r="ALS122"/>
      <c r="ALT122"/>
      <c r="ALU122"/>
      <c r="ALV122"/>
      <c r="ALW122"/>
      <c r="ALX122"/>
      <c r="ALY122"/>
      <c r="ALZ122"/>
      <c r="AMA122"/>
      <c r="AMB122"/>
      <c r="AMC122"/>
      <c r="AMD122"/>
      <c r="AME122"/>
    </row>
    <row r="123" spans="997:1019" x14ac:dyDescent="0.25">
      <c r="ALI123"/>
      <c r="ALJ123"/>
      <c r="ALK123"/>
      <c r="ALL123"/>
      <c r="ALM123"/>
      <c r="ALN123"/>
      <c r="ALO123"/>
      <c r="ALP123"/>
      <c r="ALQ123"/>
      <c r="ALR123"/>
      <c r="ALS123"/>
      <c r="ALT123"/>
      <c r="ALU123"/>
      <c r="ALV123"/>
      <c r="ALW123"/>
      <c r="ALX123"/>
      <c r="ALY123"/>
      <c r="ALZ123"/>
      <c r="AMA123"/>
      <c r="AMB123"/>
      <c r="AMC123"/>
      <c r="AMD123"/>
      <c r="AME123"/>
    </row>
    <row r="124" spans="997:1019" x14ac:dyDescent="0.25">
      <c r="ALI124"/>
      <c r="ALJ124"/>
      <c r="ALK124"/>
      <c r="ALL124"/>
      <c r="ALM124"/>
      <c r="ALN124"/>
      <c r="ALO124"/>
      <c r="ALP124"/>
      <c r="ALQ124"/>
      <c r="ALR124"/>
      <c r="ALS124"/>
      <c r="ALT124"/>
      <c r="ALU124"/>
      <c r="ALV124"/>
      <c r="ALW124"/>
      <c r="ALX124"/>
      <c r="ALY124"/>
      <c r="ALZ124"/>
      <c r="AMA124"/>
      <c r="AMB124"/>
      <c r="AMC124"/>
      <c r="AMD124"/>
      <c r="AME124"/>
    </row>
    <row r="125" spans="997:1019" x14ac:dyDescent="0.25">
      <c r="ALI125"/>
      <c r="ALJ125"/>
      <c r="ALK125"/>
      <c r="ALL125"/>
      <c r="ALM125"/>
      <c r="ALN125"/>
      <c r="ALO125"/>
      <c r="ALP125"/>
      <c r="ALQ125"/>
      <c r="ALR125"/>
      <c r="ALS125"/>
      <c r="ALT125"/>
      <c r="ALU125"/>
      <c r="ALV125"/>
      <c r="ALW125"/>
      <c r="ALX125"/>
      <c r="ALY125"/>
      <c r="ALZ125"/>
      <c r="AMA125"/>
      <c r="AMB125"/>
      <c r="AMC125"/>
      <c r="AMD125"/>
      <c r="AME125"/>
    </row>
    <row r="126" spans="997:1019" x14ac:dyDescent="0.25">
      <c r="ALI126"/>
      <c r="ALJ126"/>
      <c r="ALK126"/>
      <c r="ALL126"/>
      <c r="ALM126"/>
      <c r="ALN126"/>
      <c r="ALO126"/>
      <c r="ALP126"/>
      <c r="ALQ126"/>
      <c r="ALR126"/>
      <c r="ALS126"/>
      <c r="ALT126"/>
      <c r="ALU126"/>
      <c r="ALV126"/>
      <c r="ALW126"/>
      <c r="ALX126"/>
      <c r="ALY126"/>
      <c r="ALZ126"/>
      <c r="AMA126"/>
      <c r="AMB126"/>
      <c r="AMC126"/>
      <c r="AMD126"/>
      <c r="AME126"/>
    </row>
    <row r="127" spans="997:1019" x14ac:dyDescent="0.25">
      <c r="ALI127"/>
      <c r="ALJ127"/>
      <c r="ALK127"/>
      <c r="ALL127"/>
      <c r="ALM127"/>
      <c r="ALN127"/>
      <c r="ALO127"/>
      <c r="ALP127"/>
      <c r="ALQ127"/>
      <c r="ALR127"/>
      <c r="ALS127"/>
      <c r="ALT127"/>
      <c r="ALU127"/>
      <c r="ALV127"/>
      <c r="ALW127"/>
      <c r="ALX127"/>
      <c r="ALY127"/>
      <c r="ALZ127"/>
      <c r="AMA127"/>
      <c r="AMB127"/>
      <c r="AMC127"/>
      <c r="AMD127"/>
      <c r="AME127"/>
    </row>
    <row r="128" spans="997:1019" x14ac:dyDescent="0.25">
      <c r="ALI128"/>
      <c r="ALJ128"/>
      <c r="ALK128"/>
      <c r="ALL128"/>
      <c r="ALM128"/>
      <c r="ALN128"/>
      <c r="ALO128"/>
      <c r="ALP128"/>
      <c r="ALQ128"/>
      <c r="ALR128"/>
      <c r="ALS128"/>
      <c r="ALT128"/>
      <c r="ALU128"/>
      <c r="ALV128"/>
      <c r="ALW128"/>
      <c r="ALX128"/>
      <c r="ALY128"/>
      <c r="ALZ128"/>
      <c r="AMA128"/>
      <c r="AMB128"/>
      <c r="AMC128"/>
      <c r="AMD128"/>
      <c r="AME128"/>
    </row>
    <row r="129" spans="996:1019" x14ac:dyDescent="0.25">
      <c r="ALI129"/>
      <c r="ALJ129"/>
      <c r="ALK129"/>
      <c r="ALL129"/>
      <c r="ALM129"/>
      <c r="ALN129"/>
      <c r="ALO129"/>
      <c r="ALP129"/>
      <c r="ALQ129"/>
      <c r="ALR129"/>
      <c r="ALS129"/>
      <c r="ALT129"/>
      <c r="ALU129"/>
      <c r="ALV129"/>
      <c r="ALW129"/>
      <c r="ALX129"/>
      <c r="ALY129"/>
      <c r="ALZ129"/>
      <c r="AMA129"/>
      <c r="AMB129"/>
      <c r="AMC129"/>
      <c r="AMD129"/>
      <c r="AME129"/>
    </row>
    <row r="130" spans="996:1019" x14ac:dyDescent="0.25">
      <c r="ALI130"/>
      <c r="ALJ130"/>
      <c r="ALK130"/>
      <c r="ALL130"/>
      <c r="ALM130"/>
      <c r="ALN130"/>
      <c r="ALO130"/>
      <c r="ALP130"/>
      <c r="ALQ130"/>
      <c r="ALR130"/>
      <c r="ALS130"/>
      <c r="ALT130"/>
      <c r="ALU130"/>
      <c r="ALV130"/>
      <c r="ALW130"/>
      <c r="ALX130"/>
      <c r="ALY130"/>
      <c r="ALZ130"/>
      <c r="AMA130"/>
      <c r="AMB130"/>
      <c r="AMC130"/>
      <c r="AMD130"/>
      <c r="AME130"/>
    </row>
    <row r="131" spans="996:1019" x14ac:dyDescent="0.25">
      <c r="ALI131"/>
      <c r="ALJ131"/>
      <c r="ALK131"/>
      <c r="ALL131"/>
      <c r="ALM131"/>
      <c r="ALN131"/>
      <c r="ALO131"/>
      <c r="ALP131"/>
      <c r="ALQ131"/>
      <c r="ALR131"/>
      <c r="ALS131"/>
      <c r="ALT131"/>
      <c r="ALU131"/>
      <c r="ALV131"/>
      <c r="ALW131"/>
      <c r="ALX131"/>
      <c r="ALY131"/>
      <c r="ALZ131"/>
      <c r="AMA131"/>
      <c r="AMB131"/>
      <c r="AMC131"/>
      <c r="AMD131"/>
      <c r="AME131"/>
    </row>
    <row r="132" spans="996:1019" x14ac:dyDescent="0.25">
      <c r="ALI132"/>
      <c r="ALJ132"/>
      <c r="ALK132"/>
      <c r="ALL132"/>
      <c r="ALM132"/>
      <c r="ALN132"/>
      <c r="ALO132"/>
      <c r="ALP132"/>
      <c r="ALQ132"/>
      <c r="ALR132"/>
      <c r="ALS132"/>
      <c r="ALT132"/>
      <c r="ALU132"/>
      <c r="ALV132"/>
      <c r="ALW132"/>
      <c r="ALX132"/>
      <c r="ALY132"/>
      <c r="ALZ132"/>
      <c r="AMA132"/>
      <c r="AMB132"/>
      <c r="AMC132"/>
      <c r="AMD132"/>
      <c r="AME132"/>
    </row>
    <row r="133" spans="996:1019" x14ac:dyDescent="0.25">
      <c r="ALI133"/>
      <c r="ALJ133"/>
      <c r="ALK133"/>
      <c r="ALL133"/>
      <c r="ALM133"/>
      <c r="ALN133"/>
      <c r="ALO133"/>
      <c r="ALP133"/>
      <c r="ALQ133"/>
      <c r="ALR133"/>
      <c r="ALS133"/>
      <c r="ALT133"/>
      <c r="ALU133"/>
      <c r="ALV133"/>
      <c r="ALW133"/>
      <c r="ALX133"/>
      <c r="ALY133"/>
      <c r="ALZ133"/>
      <c r="AMA133"/>
      <c r="AMB133"/>
      <c r="AMC133"/>
      <c r="AMD133"/>
      <c r="AME133"/>
    </row>
    <row r="134" spans="996:1019" x14ac:dyDescent="0.25">
      <c r="ALJ134"/>
      <c r="ALK134"/>
      <c r="ALL134"/>
      <c r="ALM134"/>
      <c r="ALN134"/>
      <c r="ALO134"/>
      <c r="ALP134"/>
      <c r="ALQ134"/>
      <c r="ALR134"/>
      <c r="ALS134"/>
      <c r="ALT134"/>
      <c r="ALU134"/>
      <c r="ALV134"/>
      <c r="ALW134"/>
      <c r="ALX134"/>
      <c r="ALY134"/>
      <c r="ALZ134"/>
      <c r="AMA134"/>
      <c r="AMB134"/>
      <c r="AMC134"/>
      <c r="AMD134"/>
      <c r="AME134"/>
    </row>
    <row r="135" spans="996:1019" ht="13.05" customHeight="1" x14ac:dyDescent="0.25">
      <c r="ALJ135"/>
      <c r="ALK135"/>
      <c r="ALL135"/>
      <c r="ALM135"/>
      <c r="ALN135"/>
      <c r="ALO135"/>
      <c r="ALP135"/>
      <c r="ALQ135"/>
      <c r="ALR135"/>
      <c r="ALS135"/>
      <c r="ALT135"/>
      <c r="ALU135"/>
      <c r="ALV135"/>
      <c r="ALW135"/>
      <c r="ALX135"/>
      <c r="ALY135"/>
      <c r="ALZ135"/>
      <c r="AMA135"/>
      <c r="AMB135"/>
      <c r="AMC135"/>
      <c r="AMD135"/>
      <c r="AME135"/>
    </row>
    <row r="136" spans="996:1019" ht="13.05" customHeight="1" x14ac:dyDescent="0.25">
      <c r="ALJ136"/>
      <c r="ALK136"/>
      <c r="ALL136"/>
      <c r="ALM136"/>
      <c r="ALN136"/>
      <c r="ALO136"/>
      <c r="ALP136"/>
      <c r="ALQ136"/>
      <c r="ALR136"/>
      <c r="ALS136"/>
      <c r="ALT136"/>
      <c r="ALU136"/>
      <c r="ALV136"/>
      <c r="ALW136"/>
      <c r="ALX136"/>
      <c r="ALY136"/>
      <c r="ALZ136"/>
      <c r="AMA136"/>
      <c r="AMB136"/>
      <c r="AMC136"/>
      <c r="AMD136"/>
      <c r="AME136"/>
    </row>
    <row r="137" spans="996:1019" ht="13.05" customHeight="1" x14ac:dyDescent="0.25">
      <c r="ALH137"/>
      <c r="ALI137"/>
      <c r="ALJ137"/>
      <c r="ALK137"/>
      <c r="ALL137"/>
      <c r="ALM137"/>
      <c r="ALN137"/>
      <c r="ALO137"/>
      <c r="ALP137"/>
      <c r="ALQ137"/>
      <c r="ALR137"/>
      <c r="ALS137"/>
      <c r="ALT137"/>
      <c r="ALU137"/>
      <c r="ALV137"/>
      <c r="ALW137"/>
      <c r="ALX137"/>
      <c r="ALY137"/>
      <c r="ALZ137"/>
      <c r="AMA137"/>
      <c r="AMB137"/>
      <c r="AMC137"/>
      <c r="AMD137"/>
      <c r="AME137"/>
    </row>
    <row r="138" spans="996:1019" ht="13.05" customHeight="1" x14ac:dyDescent="0.25">
      <c r="ALH138"/>
      <c r="ALI138"/>
      <c r="ALJ138"/>
      <c r="ALK138"/>
      <c r="ALL138"/>
      <c r="ALM138"/>
      <c r="ALN138"/>
      <c r="ALO138"/>
      <c r="ALP138"/>
      <c r="ALQ138"/>
      <c r="ALR138"/>
      <c r="ALS138"/>
      <c r="ALT138"/>
      <c r="ALU138"/>
      <c r="ALV138"/>
      <c r="ALW138"/>
      <c r="ALX138"/>
      <c r="ALY138"/>
      <c r="ALZ138"/>
      <c r="AMA138"/>
      <c r="AMB138"/>
      <c r="AMC138"/>
      <c r="AMD138"/>
      <c r="AME138"/>
    </row>
    <row r="139" spans="996:1019" ht="13.05" customHeight="1" x14ac:dyDescent="0.25">
      <c r="ALJ139"/>
      <c r="ALK139"/>
      <c r="ALL139"/>
      <c r="ALM139"/>
      <c r="ALN139"/>
      <c r="ALO139"/>
      <c r="ALP139"/>
      <c r="ALQ139"/>
      <c r="ALR139"/>
      <c r="ALS139"/>
      <c r="ALT139"/>
      <c r="ALU139"/>
      <c r="ALV139"/>
      <c r="ALW139"/>
      <c r="ALX139"/>
      <c r="ALY139"/>
      <c r="ALZ139"/>
      <c r="AMA139"/>
      <c r="AMB139"/>
      <c r="AMC139"/>
      <c r="AMD139"/>
      <c r="AME139"/>
    </row>
    <row r="140" spans="996:1019" x14ac:dyDescent="0.25">
      <c r="ALJ140"/>
      <c r="ALK140"/>
      <c r="ALL140"/>
      <c r="ALM140"/>
      <c r="ALN140"/>
      <c r="ALO140"/>
      <c r="ALP140"/>
      <c r="ALQ140"/>
      <c r="ALR140"/>
      <c r="ALS140"/>
      <c r="ALT140"/>
      <c r="ALU140"/>
      <c r="ALV140"/>
      <c r="ALW140"/>
      <c r="ALX140"/>
      <c r="ALY140"/>
      <c r="ALZ140"/>
      <c r="AMA140"/>
      <c r="AMB140"/>
      <c r="AMC140"/>
      <c r="AMD140"/>
      <c r="AME140"/>
    </row>
    <row r="141" spans="996:1019" x14ac:dyDescent="0.25">
      <c r="ALJ141"/>
      <c r="ALK141"/>
      <c r="ALL141"/>
      <c r="ALM141"/>
      <c r="ALN141"/>
      <c r="ALO141"/>
      <c r="ALP141"/>
      <c r="ALQ141"/>
      <c r="ALR141"/>
      <c r="ALS141"/>
      <c r="ALT141"/>
      <c r="ALU141"/>
      <c r="ALV141"/>
      <c r="ALW141"/>
      <c r="ALX141"/>
      <c r="ALY141"/>
      <c r="ALZ141"/>
      <c r="AMA141"/>
      <c r="AMB141"/>
      <c r="AMC141"/>
      <c r="AMD141"/>
      <c r="AME141"/>
    </row>
    <row r="142" spans="996:1019" x14ac:dyDescent="0.25">
      <c r="ALJ142"/>
      <c r="ALK142"/>
      <c r="ALL142"/>
      <c r="ALM142"/>
      <c r="ALN142"/>
      <c r="ALO142"/>
      <c r="ALP142"/>
      <c r="ALQ142"/>
      <c r="ALR142"/>
      <c r="ALS142"/>
      <c r="ALT142"/>
      <c r="ALU142"/>
      <c r="ALV142"/>
      <c r="ALW142"/>
      <c r="ALX142"/>
      <c r="ALY142"/>
      <c r="ALZ142"/>
      <c r="AMA142"/>
      <c r="AMB142"/>
      <c r="AMC142"/>
      <c r="AMD142"/>
      <c r="AME142"/>
    </row>
    <row r="143" spans="996:1019" x14ac:dyDescent="0.25">
      <c r="ALI143"/>
      <c r="ALJ143"/>
      <c r="ALK143"/>
      <c r="ALL143"/>
      <c r="ALM143"/>
      <c r="ALN143"/>
      <c r="ALO143"/>
      <c r="ALP143"/>
      <c r="ALQ143"/>
      <c r="ALR143"/>
      <c r="ALS143"/>
      <c r="ALT143"/>
      <c r="ALU143"/>
      <c r="ALV143"/>
      <c r="ALW143"/>
      <c r="ALX143"/>
      <c r="ALY143"/>
      <c r="ALZ143"/>
      <c r="AMA143"/>
      <c r="AMB143"/>
      <c r="AMC143"/>
      <c r="AMD143"/>
      <c r="AME143"/>
    </row>
    <row r="144" spans="996:1019" x14ac:dyDescent="0.25">
      <c r="ALI144"/>
      <c r="ALJ144"/>
      <c r="ALK144"/>
      <c r="ALL144"/>
      <c r="ALM144"/>
      <c r="ALN144"/>
      <c r="ALO144"/>
      <c r="ALP144"/>
      <c r="ALQ144"/>
      <c r="ALR144"/>
      <c r="ALS144"/>
      <c r="ALT144"/>
      <c r="ALU144"/>
      <c r="ALV144"/>
      <c r="ALW144"/>
      <c r="ALX144"/>
      <c r="ALY144"/>
      <c r="ALZ144"/>
      <c r="AMA144"/>
      <c r="AMB144"/>
      <c r="AMC144"/>
      <c r="AMD144"/>
      <c r="AME144"/>
    </row>
    <row r="145" spans="997:1019" x14ac:dyDescent="0.25">
      <c r="ALI145"/>
      <c r="ALJ145"/>
      <c r="ALK145"/>
      <c r="ALL145"/>
      <c r="ALM145"/>
      <c r="ALN145"/>
      <c r="ALO145"/>
      <c r="ALP145"/>
      <c r="ALQ145"/>
      <c r="ALR145"/>
      <c r="ALS145"/>
      <c r="ALT145"/>
      <c r="ALU145"/>
      <c r="ALV145"/>
      <c r="ALW145"/>
      <c r="ALX145"/>
      <c r="ALY145"/>
      <c r="ALZ145"/>
      <c r="AMA145"/>
      <c r="AMB145"/>
      <c r="AMC145"/>
      <c r="AMD145"/>
      <c r="AME145"/>
    </row>
    <row r="146" spans="997:1019" x14ac:dyDescent="0.25">
      <c r="ALI146"/>
      <c r="ALJ146"/>
      <c r="ALK146"/>
      <c r="ALL146"/>
      <c r="ALM146"/>
      <c r="ALN146"/>
      <c r="ALO146"/>
      <c r="ALP146"/>
      <c r="ALQ146"/>
      <c r="ALR146"/>
      <c r="ALS146"/>
      <c r="ALT146"/>
      <c r="ALU146"/>
      <c r="ALV146"/>
      <c r="ALW146"/>
      <c r="ALX146"/>
      <c r="ALY146"/>
      <c r="ALZ146"/>
      <c r="AMA146"/>
      <c r="AMB146"/>
      <c r="AMC146"/>
      <c r="AMD146"/>
      <c r="AME146"/>
    </row>
    <row r="147" spans="997:1019" x14ac:dyDescent="0.25">
      <c r="ALI147"/>
      <c r="ALJ147"/>
      <c r="ALK147"/>
      <c r="ALL147"/>
      <c r="ALM147"/>
      <c r="ALN147"/>
      <c r="ALO147"/>
      <c r="ALP147"/>
      <c r="ALQ147"/>
      <c r="ALR147"/>
      <c r="ALS147"/>
      <c r="ALT147"/>
      <c r="ALU147"/>
      <c r="ALV147"/>
      <c r="ALW147"/>
      <c r="ALX147"/>
      <c r="ALY147"/>
      <c r="ALZ147"/>
      <c r="AMA147"/>
      <c r="AMB147"/>
      <c r="AMC147"/>
      <c r="AMD147"/>
      <c r="AME147"/>
    </row>
    <row r="148" spans="997:1019" x14ac:dyDescent="0.25">
      <c r="ALI148"/>
      <c r="ALJ148"/>
      <c r="ALK148"/>
      <c r="ALL148"/>
      <c r="ALM148"/>
      <c r="ALN148"/>
      <c r="ALO148"/>
      <c r="ALP148"/>
      <c r="ALQ148"/>
      <c r="ALR148"/>
      <c r="ALS148"/>
      <c r="ALT148"/>
      <c r="ALU148"/>
      <c r="ALV148"/>
      <c r="ALW148"/>
      <c r="ALX148"/>
      <c r="ALY148"/>
      <c r="ALZ148"/>
      <c r="AMA148"/>
      <c r="AMB148"/>
      <c r="AMC148"/>
      <c r="AMD148"/>
      <c r="AME148"/>
    </row>
    <row r="149" spans="997:1019" x14ac:dyDescent="0.25">
      <c r="ALI149"/>
      <c r="ALJ149"/>
      <c r="ALK149"/>
      <c r="ALL149"/>
      <c r="ALM149"/>
      <c r="ALN149"/>
      <c r="ALO149"/>
      <c r="ALP149"/>
      <c r="ALQ149"/>
      <c r="ALR149"/>
      <c r="ALS149"/>
      <c r="ALT149"/>
      <c r="ALU149"/>
      <c r="ALV149"/>
      <c r="ALW149"/>
      <c r="ALX149"/>
      <c r="ALY149"/>
      <c r="ALZ149"/>
      <c r="AMA149"/>
      <c r="AMB149"/>
      <c r="AMC149"/>
      <c r="AMD149"/>
      <c r="AME149"/>
    </row>
    <row r="150" spans="997:1019" x14ac:dyDescent="0.25">
      <c r="ALI150"/>
      <c r="ALJ150"/>
      <c r="ALK150"/>
      <c r="ALL150"/>
      <c r="ALM150"/>
      <c r="ALN150"/>
      <c r="ALO150"/>
      <c r="ALP150"/>
      <c r="ALQ150"/>
      <c r="ALR150"/>
      <c r="ALS150"/>
      <c r="ALT150"/>
      <c r="ALU150"/>
      <c r="ALV150"/>
      <c r="ALW150"/>
      <c r="ALX150"/>
      <c r="ALY150"/>
      <c r="ALZ150"/>
      <c r="AMA150"/>
      <c r="AMB150"/>
      <c r="AMC150"/>
      <c r="AMD150"/>
      <c r="AME150"/>
    </row>
    <row r="151" spans="997:1019" x14ac:dyDescent="0.25">
      <c r="ALI151"/>
      <c r="ALJ151"/>
      <c r="ALK151"/>
      <c r="ALL151"/>
      <c r="ALM151"/>
      <c r="ALN151"/>
      <c r="ALO151"/>
      <c r="ALP151"/>
      <c r="ALQ151"/>
      <c r="ALR151"/>
      <c r="ALS151"/>
      <c r="ALT151"/>
      <c r="ALU151"/>
      <c r="ALV151"/>
      <c r="ALW151"/>
      <c r="ALX151"/>
      <c r="ALY151"/>
      <c r="ALZ151"/>
      <c r="AMA151"/>
      <c r="AMB151"/>
      <c r="AMC151"/>
      <c r="AMD151"/>
      <c r="AME151"/>
    </row>
    <row r="152" spans="997:1019" x14ac:dyDescent="0.25">
      <c r="ALI152"/>
      <c r="ALJ152"/>
      <c r="ALK152"/>
      <c r="ALL152"/>
      <c r="ALM152"/>
      <c r="ALN152"/>
      <c r="ALO152"/>
      <c r="ALP152"/>
      <c r="ALQ152"/>
      <c r="ALR152"/>
      <c r="ALS152"/>
      <c r="ALT152"/>
      <c r="ALU152"/>
      <c r="ALV152"/>
      <c r="ALW152"/>
      <c r="ALX152"/>
      <c r="ALY152"/>
      <c r="ALZ152"/>
      <c r="AMA152"/>
      <c r="AMB152"/>
      <c r="AMC152"/>
      <c r="AMD152"/>
      <c r="AME152"/>
    </row>
    <row r="153" spans="997:1019" x14ac:dyDescent="0.25">
      <c r="ALJ153"/>
      <c r="ALK153"/>
      <c r="ALL153"/>
      <c r="ALM153"/>
      <c r="ALN153"/>
      <c r="ALO153"/>
      <c r="ALP153"/>
      <c r="ALQ153"/>
      <c r="ALR153"/>
      <c r="ALS153"/>
      <c r="ALT153"/>
      <c r="ALU153"/>
      <c r="ALV153"/>
      <c r="ALW153"/>
      <c r="ALX153"/>
      <c r="ALY153"/>
      <c r="ALZ153"/>
      <c r="AMA153"/>
      <c r="AMB153"/>
      <c r="AMC153"/>
      <c r="AMD153"/>
      <c r="AME153"/>
    </row>
    <row r="154" spans="997:1019" x14ac:dyDescent="0.25">
      <c r="ALJ154"/>
      <c r="ALK154"/>
      <c r="ALL154"/>
      <c r="ALM154"/>
      <c r="ALN154"/>
      <c r="ALO154"/>
      <c r="ALP154"/>
      <c r="ALQ154"/>
      <c r="ALR154"/>
      <c r="ALS154"/>
      <c r="ALT154"/>
      <c r="ALU154"/>
      <c r="ALV154"/>
      <c r="ALW154"/>
      <c r="ALX154"/>
      <c r="ALY154"/>
      <c r="ALZ154"/>
      <c r="AMA154"/>
      <c r="AMB154"/>
      <c r="AMC154"/>
      <c r="AMD154"/>
      <c r="AME154"/>
    </row>
    <row r="155" spans="997:1019" x14ac:dyDescent="0.25">
      <c r="ALJ155"/>
      <c r="ALK155"/>
      <c r="ALL155"/>
      <c r="ALM155"/>
      <c r="ALN155"/>
      <c r="ALO155"/>
      <c r="ALP155"/>
      <c r="ALQ155"/>
      <c r="ALR155"/>
      <c r="ALS155"/>
      <c r="ALT155"/>
      <c r="ALU155"/>
      <c r="ALV155"/>
      <c r="ALW155"/>
      <c r="ALX155"/>
      <c r="ALY155"/>
      <c r="ALZ155"/>
      <c r="AMA155"/>
      <c r="AMB155"/>
      <c r="AMC155"/>
      <c r="AMD155"/>
      <c r="AME155"/>
    </row>
    <row r="156" spans="997:1019" x14ac:dyDescent="0.25">
      <c r="ALJ156"/>
      <c r="ALK156"/>
      <c r="ALL156"/>
      <c r="ALM156"/>
      <c r="ALN156"/>
      <c r="ALO156"/>
      <c r="ALP156"/>
      <c r="ALQ156"/>
      <c r="ALR156"/>
      <c r="ALS156"/>
      <c r="ALT156"/>
      <c r="ALU156"/>
      <c r="ALV156"/>
      <c r="ALW156"/>
      <c r="ALX156"/>
      <c r="ALY156"/>
      <c r="ALZ156"/>
      <c r="AMA156"/>
      <c r="AMB156"/>
      <c r="AMC156"/>
      <c r="AMD156"/>
      <c r="AME156"/>
    </row>
    <row r="157" spans="997:1019" x14ac:dyDescent="0.25">
      <c r="ALJ157"/>
      <c r="ALK157"/>
      <c r="ALL157"/>
      <c r="ALM157"/>
      <c r="ALN157"/>
      <c r="ALO157"/>
      <c r="ALP157"/>
      <c r="ALQ157"/>
      <c r="ALR157"/>
      <c r="ALS157"/>
      <c r="ALT157"/>
      <c r="ALU157"/>
      <c r="ALV157"/>
      <c r="ALW157"/>
      <c r="ALX157"/>
      <c r="ALY157"/>
      <c r="ALZ157"/>
      <c r="AMA157"/>
      <c r="AMB157"/>
      <c r="AMC157"/>
      <c r="AMD157"/>
      <c r="AME157"/>
    </row>
    <row r="158" spans="997:1019" x14ac:dyDescent="0.25">
      <c r="ALJ158"/>
      <c r="ALK158"/>
      <c r="ALL158"/>
      <c r="ALM158"/>
      <c r="ALN158"/>
      <c r="ALO158"/>
      <c r="ALP158"/>
      <c r="ALQ158"/>
      <c r="ALR158"/>
      <c r="ALS158"/>
      <c r="ALT158"/>
      <c r="ALU158"/>
      <c r="ALV158"/>
      <c r="ALW158"/>
      <c r="ALX158"/>
      <c r="ALY158"/>
      <c r="ALZ158"/>
      <c r="AMA158"/>
      <c r="AMB158"/>
      <c r="AMC158"/>
      <c r="AMD158"/>
      <c r="AME158"/>
    </row>
  </sheetData>
  <mergeCells count="55">
    <mergeCell ref="A28:I29"/>
    <mergeCell ref="A1:I1"/>
    <mergeCell ref="A2:I2"/>
    <mergeCell ref="A3:I3"/>
    <mergeCell ref="A6:B7"/>
    <mergeCell ref="A8:I9"/>
    <mergeCell ref="A15:B16"/>
    <mergeCell ref="B4:G4"/>
    <mergeCell ref="A5:G5"/>
    <mergeCell ref="A18:I20"/>
    <mergeCell ref="B23:D23"/>
    <mergeCell ref="B24:D24"/>
    <mergeCell ref="B25:D25"/>
    <mergeCell ref="B26:D26"/>
    <mergeCell ref="A54:A55"/>
    <mergeCell ref="B54:E54"/>
    <mergeCell ref="B55:E55"/>
    <mergeCell ref="A31:I32"/>
    <mergeCell ref="B34:D34"/>
    <mergeCell ref="B35:D35"/>
    <mergeCell ref="B36:D36"/>
    <mergeCell ref="B37:D37"/>
    <mergeCell ref="A39:I42"/>
    <mergeCell ref="A44:I46"/>
    <mergeCell ref="A48:I49"/>
    <mergeCell ref="A51:A53"/>
    <mergeCell ref="B51:E53"/>
    <mergeCell ref="F51:H51"/>
    <mergeCell ref="D71:F71"/>
    <mergeCell ref="A56:A57"/>
    <mergeCell ref="B56:E56"/>
    <mergeCell ref="B57:E57"/>
    <mergeCell ref="A58:A59"/>
    <mergeCell ref="B58:E58"/>
    <mergeCell ref="B59:E59"/>
    <mergeCell ref="A60:A61"/>
    <mergeCell ref="B60:E60"/>
    <mergeCell ref="B61:E61"/>
    <mergeCell ref="A63:I64"/>
    <mergeCell ref="B68:I69"/>
    <mergeCell ref="B93:E93"/>
    <mergeCell ref="A95:I98"/>
    <mergeCell ref="H72:I73"/>
    <mergeCell ref="B77:I79"/>
    <mergeCell ref="A83:I84"/>
    <mergeCell ref="A86:E88"/>
    <mergeCell ref="F86:H86"/>
    <mergeCell ref="A89:A93"/>
    <mergeCell ref="B89:E89"/>
    <mergeCell ref="B90:E90"/>
    <mergeCell ref="B91:E91"/>
    <mergeCell ref="B92:E92"/>
    <mergeCell ref="F89:F92"/>
    <mergeCell ref="G89:G92"/>
    <mergeCell ref="H89:H92"/>
  </mergeCells>
  <dataValidations count="1">
    <dataValidation type="list" allowBlank="1" showInputMessage="1" showErrorMessage="1" sqref="H81" xr:uid="{ECEDF8B5-605E-C543-96CA-2E82E7D888AD}">
      <formula1>$D$72:$D$76</formula1>
      <formula2>0</formula2>
    </dataValidation>
  </dataValidations>
  <pageMargins left="0.75763888888888897" right="0.48888888888888898" top="0.75" bottom="0.50694444444444398" header="0.3" footer="0.3"/>
  <pageSetup firstPageNumber="0" pageOrder="overThenDown" orientation="portrait" horizontalDpi="0" verticalDpi="0"/>
  <headerFooter>
    <oddHeader>&amp;CLab 7 Real State</oddHeader>
    <oddFooter>&amp;CPage &amp;P of &amp;N</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9"/>
  <sheetViews>
    <sheetView zoomScale="150" zoomScaleNormal="100" workbookViewId="0">
      <selection activeCell="I15" sqref="I15"/>
    </sheetView>
  </sheetViews>
  <sheetFormatPr defaultColWidth="8.77734375" defaultRowHeight="15" x14ac:dyDescent="0.25"/>
  <cols>
    <col min="1" max="1" width="11.109375" style="203"/>
    <col min="2" max="2" width="22.44140625" style="203"/>
    <col min="3" max="4" width="11.109375" style="203"/>
    <col min="5" max="5" width="13.44140625" style="203"/>
    <col min="6" max="6" width="12.77734375" style="203"/>
    <col min="7" max="7" width="10.44140625" style="203"/>
    <col min="8" max="8" width="10.33203125" style="203"/>
    <col min="9" max="1025" width="11.109375" style="203"/>
  </cols>
  <sheetData>
    <row r="1" spans="1:1024" ht="17.399999999999999" x14ac:dyDescent="0.25">
      <c r="A1" s="204" t="s">
        <v>200</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6.95" customHeight="1" x14ac:dyDescent="0.25">
      <c r="A3" s="248" t="s">
        <v>201</v>
      </c>
      <c r="B3" s="300"/>
      <c r="C3" s="300" t="s">
        <v>202</v>
      </c>
      <c r="D3" s="300"/>
      <c r="E3" s="300"/>
      <c r="F3" s="300" t="s">
        <v>203</v>
      </c>
      <c r="G3" s="300"/>
      <c r="H3" s="300"/>
      <c r="I3" s="300" t="s">
        <v>41</v>
      </c>
      <c r="J3" s="300" t="s">
        <v>204</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26.4" x14ac:dyDescent="0.25">
      <c r="A4" s="248" t="s">
        <v>205</v>
      </c>
      <c r="B4" s="300"/>
      <c r="C4" s="248" t="s">
        <v>206</v>
      </c>
      <c r="D4" s="248" t="s">
        <v>207</v>
      </c>
      <c r="E4" s="248" t="s">
        <v>208</v>
      </c>
      <c r="F4" s="248" t="s">
        <v>206</v>
      </c>
      <c r="G4" s="248" t="s">
        <v>207</v>
      </c>
      <c r="H4" s="248" t="s">
        <v>209</v>
      </c>
      <c r="I4" s="300"/>
      <c r="J4" s="300"/>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205" customFormat="1" x14ac:dyDescent="0.25">
      <c r="A5" s="248"/>
      <c r="B5" s="248"/>
      <c r="C5" s="248" t="s">
        <v>210</v>
      </c>
      <c r="D5" s="248" t="s">
        <v>211</v>
      </c>
      <c r="E5" s="248" t="s">
        <v>212</v>
      </c>
      <c r="F5" s="248" t="s">
        <v>213</v>
      </c>
      <c r="G5" s="248" t="s">
        <v>214</v>
      </c>
      <c r="H5" s="249" t="s">
        <v>215</v>
      </c>
      <c r="I5" s="248" t="s">
        <v>216</v>
      </c>
      <c r="J5" s="248"/>
      <c r="M5" s="203"/>
      <c r="N5" s="203"/>
    </row>
    <row r="6" spans="1:1024" ht="20.25" customHeight="1" x14ac:dyDescent="0.25">
      <c r="A6" s="206">
        <v>3</v>
      </c>
      <c r="B6" s="207" t="s">
        <v>45</v>
      </c>
      <c r="C6" s="255">
        <v>6.5000000000000002E-2</v>
      </c>
      <c r="D6" s="255">
        <v>0.05</v>
      </c>
      <c r="E6" s="208">
        <f>(D6-C6)/C6</f>
        <v>-0.23076923076923075</v>
      </c>
      <c r="F6" s="254">
        <v>0</v>
      </c>
      <c r="G6" s="254">
        <v>0</v>
      </c>
      <c r="H6" s="208" t="e">
        <f>(G6-F6)/F6</f>
        <v>#DIV/0!</v>
      </c>
      <c r="I6" s="209" t="e">
        <f>ABS(H6/E6)</f>
        <v>#DIV/0!</v>
      </c>
      <c r="J6" s="247"/>
    </row>
    <row r="7" spans="1:1024" x14ac:dyDescent="0.25">
      <c r="A7" s="206">
        <v>4</v>
      </c>
      <c r="B7" s="207" t="s">
        <v>47</v>
      </c>
      <c r="C7" s="255">
        <v>0.05</v>
      </c>
      <c r="D7" s="255">
        <v>7.0000000000000007E-2</v>
      </c>
      <c r="E7" s="208">
        <f>(D7-C7)/C7</f>
        <v>0.40000000000000008</v>
      </c>
      <c r="F7" s="254">
        <f>F6</f>
        <v>0</v>
      </c>
      <c r="G7" s="254">
        <v>0</v>
      </c>
      <c r="H7" s="208" t="e">
        <f>(G7-F7)/F7</f>
        <v>#DIV/0!</v>
      </c>
      <c r="I7" s="209" t="e">
        <f>ABS(H7/E7)</f>
        <v>#DIV/0!</v>
      </c>
      <c r="J7" s="247"/>
    </row>
    <row r="8" spans="1:1024" ht="16.05" customHeight="1" x14ac:dyDescent="0.25">
      <c r="A8" s="206">
        <v>5</v>
      </c>
      <c r="B8" s="207" t="s">
        <v>217</v>
      </c>
      <c r="C8" s="255">
        <v>0.06</v>
      </c>
      <c r="D8" s="255">
        <v>7.0000000000000007E-2</v>
      </c>
      <c r="E8" s="208">
        <f>(D8-C8)/C8</f>
        <v>0.16666666666666682</v>
      </c>
      <c r="F8" s="254">
        <f>F7</f>
        <v>0</v>
      </c>
      <c r="G8" s="254">
        <v>0</v>
      </c>
      <c r="H8" s="208" t="e">
        <f>(G8-F8)/F8</f>
        <v>#DIV/0!</v>
      </c>
      <c r="I8" s="209" t="e">
        <f>ABS(H8/E8)</f>
        <v>#DIV/0!</v>
      </c>
      <c r="J8" s="247"/>
    </row>
    <row r="9" spans="1:1024" x14ac:dyDescent="0.25">
      <c r="A9" s="206">
        <v>6</v>
      </c>
      <c r="B9" s="207" t="s">
        <v>50</v>
      </c>
      <c r="C9" s="255">
        <v>0.8</v>
      </c>
      <c r="D9" s="255">
        <v>0.7</v>
      </c>
      <c r="E9" s="208">
        <f>(D9-C9)/C9</f>
        <v>-0.12500000000000011</v>
      </c>
      <c r="F9" s="254">
        <f>F8</f>
        <v>0</v>
      </c>
      <c r="G9" s="254">
        <v>0</v>
      </c>
      <c r="H9" s="208" t="e">
        <f>(G9-F9)/F9</f>
        <v>#DIV/0!</v>
      </c>
      <c r="I9" s="209" t="e">
        <f>ABS(H9/E9)</f>
        <v>#DIV/0!</v>
      </c>
      <c r="J9" s="247"/>
    </row>
  </sheetData>
  <mergeCells count="5">
    <mergeCell ref="B3:B4"/>
    <mergeCell ref="C3:E3"/>
    <mergeCell ref="F3:H3"/>
    <mergeCell ref="I3:I4"/>
    <mergeCell ref="J3:J4"/>
  </mergeCells>
  <pageMargins left="0.75" right="0.75" top="1" bottom="1" header="0.51180555555555496" footer="0.51180555555555496"/>
  <pageSetup firstPageNumber="0"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31"/>
  <sheetViews>
    <sheetView topLeftCell="A22" zoomScaleNormal="100" workbookViewId="0">
      <selection activeCell="F28" sqref="F28"/>
    </sheetView>
  </sheetViews>
  <sheetFormatPr defaultColWidth="8.77734375" defaultRowHeight="15" x14ac:dyDescent="0.25"/>
  <cols>
    <col min="1" max="1" width="11.109375" style="31"/>
    <col min="2" max="2" width="13" style="31"/>
    <col min="3" max="10" width="11.109375" style="31"/>
    <col min="11" max="11" width="4.33203125" style="31"/>
    <col min="12" max="1025" width="11.109375" style="31"/>
  </cols>
  <sheetData>
    <row r="1" spans="1:9" ht="15.6" x14ac:dyDescent="0.3">
      <c r="A1"/>
      <c r="B1" s="32" t="s">
        <v>69</v>
      </c>
      <c r="C1" s="32"/>
      <c r="D1" s="33"/>
      <c r="E1" s="33"/>
      <c r="F1"/>
      <c r="G1"/>
      <c r="H1"/>
      <c r="I1"/>
    </row>
    <row r="2" spans="1:9" ht="15.6" x14ac:dyDescent="0.3">
      <c r="A2"/>
      <c r="B2" s="33" t="s">
        <v>70</v>
      </c>
      <c r="C2" s="34" t="s">
        <v>71</v>
      </c>
      <c r="D2"/>
      <c r="E2"/>
      <c r="F2"/>
      <c r="G2"/>
      <c r="H2"/>
      <c r="I2"/>
    </row>
    <row r="3" spans="1:9" x14ac:dyDescent="0.25">
      <c r="A3"/>
      <c r="B3"/>
      <c r="C3" s="31" t="s">
        <v>72</v>
      </c>
      <c r="D3"/>
      <c r="E3"/>
      <c r="F3"/>
      <c r="G3"/>
      <c r="H3"/>
      <c r="I3"/>
    </row>
    <row r="4" spans="1:9" x14ac:dyDescent="0.25">
      <c r="A4"/>
      <c r="B4"/>
      <c r="C4" s="31" t="s">
        <v>73</v>
      </c>
      <c r="D4"/>
      <c r="E4"/>
      <c r="F4"/>
      <c r="G4"/>
      <c r="H4"/>
      <c r="I4"/>
    </row>
    <row r="5" spans="1:9" x14ac:dyDescent="0.25">
      <c r="A5"/>
      <c r="B5"/>
      <c r="C5" s="31" t="s">
        <v>74</v>
      </c>
      <c r="D5"/>
      <c r="E5"/>
      <c r="F5"/>
      <c r="G5"/>
      <c r="H5"/>
      <c r="I5"/>
    </row>
    <row r="6" spans="1:9" ht="17.399999999999999" x14ac:dyDescent="0.3">
      <c r="A6" s="35" t="s">
        <v>2</v>
      </c>
      <c r="B6"/>
      <c r="C6"/>
      <c r="D6"/>
      <c r="E6"/>
      <c r="F6"/>
      <c r="G6"/>
      <c r="H6"/>
      <c r="I6"/>
    </row>
    <row r="7" spans="1:9" ht="15.6" x14ac:dyDescent="0.3">
      <c r="A7" s="32"/>
      <c r="B7"/>
      <c r="C7"/>
      <c r="D7"/>
      <c r="E7"/>
      <c r="F7"/>
      <c r="G7"/>
      <c r="H7"/>
      <c r="I7"/>
    </row>
    <row r="8" spans="1:9" x14ac:dyDescent="0.25">
      <c r="A8" s="31" t="s">
        <v>75</v>
      </c>
      <c r="B8"/>
      <c r="C8"/>
      <c r="D8"/>
      <c r="E8"/>
      <c r="F8"/>
      <c r="G8"/>
      <c r="H8"/>
      <c r="I8"/>
    </row>
    <row r="9" spans="1:9" x14ac:dyDescent="0.25">
      <c r="A9"/>
      <c r="B9"/>
      <c r="C9"/>
      <c r="D9"/>
      <c r="E9"/>
      <c r="F9"/>
      <c r="G9"/>
      <c r="H9"/>
      <c r="I9"/>
    </row>
    <row r="10" spans="1:9" x14ac:dyDescent="0.25">
      <c r="A10" s="31" t="s">
        <v>76</v>
      </c>
      <c r="B10"/>
      <c r="C10"/>
      <c r="D10"/>
      <c r="E10"/>
      <c r="F10"/>
      <c r="G10"/>
      <c r="H10"/>
      <c r="I10"/>
    </row>
    <row r="11" spans="1:9" ht="15.6" x14ac:dyDescent="0.3">
      <c r="A11" s="31" t="s">
        <v>77</v>
      </c>
      <c r="B11"/>
      <c r="C11"/>
      <c r="D11"/>
      <c r="E11"/>
      <c r="F11"/>
      <c r="G11"/>
      <c r="H11"/>
      <c r="I11"/>
    </row>
    <row r="12" spans="1:9" x14ac:dyDescent="0.25">
      <c r="A12" s="31" t="s">
        <v>78</v>
      </c>
      <c r="B12"/>
      <c r="C12"/>
      <c r="D12"/>
      <c r="E12"/>
      <c r="F12"/>
      <c r="G12"/>
      <c r="H12"/>
      <c r="I12"/>
    </row>
    <row r="13" spans="1:9" x14ac:dyDescent="0.25">
      <c r="A13"/>
      <c r="B13"/>
      <c r="C13"/>
      <c r="D13"/>
      <c r="E13"/>
      <c r="F13"/>
      <c r="G13"/>
      <c r="H13"/>
      <c r="I13"/>
    </row>
    <row r="14" spans="1:9" x14ac:dyDescent="0.25">
      <c r="A14" s="31" t="s">
        <v>79</v>
      </c>
      <c r="B14"/>
      <c r="C14"/>
      <c r="D14"/>
      <c r="E14"/>
      <c r="F14"/>
      <c r="G14"/>
      <c r="H14"/>
      <c r="I14"/>
    </row>
    <row r="15" spans="1:9" x14ac:dyDescent="0.25">
      <c r="A15" s="31" t="s">
        <v>80</v>
      </c>
      <c r="B15"/>
      <c r="C15"/>
      <c r="D15"/>
      <c r="E15"/>
      <c r="F15"/>
      <c r="G15"/>
      <c r="H15"/>
      <c r="I15"/>
    </row>
    <row r="16" spans="1:9" x14ac:dyDescent="0.25">
      <c r="A16"/>
      <c r="B16"/>
      <c r="C16"/>
      <c r="D16"/>
      <c r="E16"/>
      <c r="F16"/>
      <c r="G16"/>
      <c r="H16"/>
      <c r="I16"/>
    </row>
    <row r="17" spans="1:9" x14ac:dyDescent="0.25">
      <c r="A17" s="31" t="s">
        <v>81</v>
      </c>
      <c r="B17"/>
      <c r="C17"/>
      <c r="D17"/>
      <c r="E17"/>
      <c r="F17"/>
      <c r="G17"/>
      <c r="H17"/>
      <c r="I17"/>
    </row>
    <row r="18" spans="1:9" x14ac:dyDescent="0.25">
      <c r="A18" s="31" t="s">
        <v>82</v>
      </c>
      <c r="B18"/>
      <c r="C18"/>
      <c r="D18"/>
      <c r="E18"/>
      <c r="F18"/>
      <c r="G18"/>
      <c r="H18"/>
      <c r="I18"/>
    </row>
    <row r="19" spans="1:9" x14ac:dyDescent="0.25">
      <c r="A19"/>
      <c r="B19"/>
      <c r="C19"/>
      <c r="D19"/>
      <c r="E19"/>
      <c r="F19"/>
      <c r="G19"/>
      <c r="H19"/>
      <c r="I19"/>
    </row>
    <row r="20" spans="1:9" ht="15.6" x14ac:dyDescent="0.3">
      <c r="A20" s="34" t="s">
        <v>83</v>
      </c>
      <c r="B20"/>
      <c r="C20"/>
      <c r="D20"/>
      <c r="E20"/>
      <c r="F20"/>
      <c r="G20"/>
      <c r="H20"/>
      <c r="I20"/>
    </row>
    <row r="21" spans="1:9" x14ac:dyDescent="0.25">
      <c r="A21"/>
      <c r="B21" s="234"/>
      <c r="C21" s="36" t="s">
        <v>84</v>
      </c>
      <c r="D21"/>
      <c r="E21"/>
      <c r="F21"/>
      <c r="G21"/>
      <c r="H21"/>
      <c r="I21"/>
    </row>
    <row r="22" spans="1:9" x14ac:dyDescent="0.25">
      <c r="A22"/>
      <c r="B22" s="37"/>
      <c r="C22" s="37" t="s">
        <v>85</v>
      </c>
      <c r="D22"/>
      <c r="E22"/>
      <c r="F22"/>
      <c r="G22"/>
      <c r="H22"/>
      <c r="I22"/>
    </row>
    <row r="23" spans="1:9" x14ac:dyDescent="0.25">
      <c r="A23"/>
      <c r="B23" s="37"/>
      <c r="C23" s="37"/>
      <c r="D23"/>
      <c r="E23"/>
      <c r="F23"/>
      <c r="G23"/>
      <c r="H23"/>
      <c r="I23"/>
    </row>
    <row r="24" spans="1:9" x14ac:dyDescent="0.25">
      <c r="A24" s="31" t="s">
        <v>86</v>
      </c>
      <c r="B24" s="37"/>
      <c r="C24" s="37"/>
      <c r="D24"/>
      <c r="E24"/>
      <c r="F24"/>
      <c r="G24"/>
      <c r="H24"/>
      <c r="I24"/>
    </row>
    <row r="25" spans="1:9" x14ac:dyDescent="0.25">
      <c r="A25"/>
      <c r="B25" s="37"/>
      <c r="C25" s="37"/>
      <c r="D25"/>
      <c r="E25"/>
      <c r="F25"/>
      <c r="G25"/>
      <c r="H25"/>
      <c r="I25"/>
    </row>
    <row r="26" spans="1:9" x14ac:dyDescent="0.25">
      <c r="A26"/>
      <c r="B26" s="37"/>
      <c r="C26" s="37"/>
      <c r="D26"/>
      <c r="E26"/>
      <c r="F26"/>
      <c r="G26"/>
      <c r="H26"/>
      <c r="I26"/>
    </row>
    <row r="27" spans="1:9" x14ac:dyDescent="0.25">
      <c r="A27"/>
      <c r="B27" s="37"/>
      <c r="C27" s="37"/>
      <c r="D27"/>
      <c r="E27"/>
      <c r="F27"/>
      <c r="G27"/>
      <c r="H27"/>
      <c r="I27"/>
    </row>
    <row r="28" spans="1:9" x14ac:dyDescent="0.25">
      <c r="A28"/>
      <c r="B28" s="37"/>
      <c r="C28" s="37"/>
      <c r="D28"/>
      <c r="E28"/>
      <c r="F28"/>
      <c r="G28"/>
      <c r="H28"/>
      <c r="I28"/>
    </row>
    <row r="29" spans="1:9" x14ac:dyDescent="0.25">
      <c r="A29"/>
      <c r="B29"/>
      <c r="C29"/>
      <c r="D29"/>
      <c r="E29"/>
      <c r="F29"/>
      <c r="G29"/>
      <c r="H29"/>
      <c r="I29"/>
    </row>
    <row r="30" spans="1:9" x14ac:dyDescent="0.25">
      <c r="A30"/>
      <c r="B30"/>
      <c r="C30"/>
      <c r="D30"/>
      <c r="E30"/>
      <c r="F30"/>
      <c r="G30"/>
      <c r="H30"/>
      <c r="I30"/>
    </row>
    <row r="31" spans="1:9" x14ac:dyDescent="0.25">
      <c r="A31" s="38"/>
      <c r="B31" s="38"/>
      <c r="C31" s="38"/>
      <c r="D31" s="38"/>
      <c r="E31" s="38"/>
      <c r="F31" s="38"/>
      <c r="G31" s="38"/>
      <c r="H31" s="38"/>
      <c r="I31" s="38"/>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61"/>
  <sheetViews>
    <sheetView topLeftCell="A7" zoomScaleNormal="75" workbookViewId="0">
      <selection activeCell="C22" sqref="C22"/>
    </sheetView>
  </sheetViews>
  <sheetFormatPr defaultColWidth="8.77734375" defaultRowHeight="15.6" x14ac:dyDescent="0.3"/>
  <cols>
    <col min="1" max="1" width="18.44140625" style="31"/>
    <col min="2" max="2" width="38.6640625" style="34"/>
    <col min="3" max="3" width="14.6640625" style="31"/>
    <col min="4" max="1025" width="11.109375" style="31"/>
  </cols>
  <sheetData>
    <row r="1" spans="1:3" ht="17.399999999999999" x14ac:dyDescent="0.3">
      <c r="A1" s="35" t="s">
        <v>1</v>
      </c>
      <c r="B1"/>
      <c r="C1"/>
    </row>
    <row r="2" spans="1:3" ht="15" x14ac:dyDescent="0.25">
      <c r="A2"/>
      <c r="B2"/>
      <c r="C2"/>
    </row>
    <row r="3" spans="1:3" x14ac:dyDescent="0.3">
      <c r="A3" s="39" t="s">
        <v>87</v>
      </c>
      <c r="B3" s="235" t="s">
        <v>229</v>
      </c>
      <c r="C3"/>
    </row>
    <row r="4" spans="1:3" ht="16.05" customHeight="1" x14ac:dyDescent="0.3">
      <c r="A4" s="40" t="s">
        <v>88</v>
      </c>
      <c r="B4" s="236"/>
      <c r="C4"/>
    </row>
    <row r="5" spans="1:3" x14ac:dyDescent="0.3">
      <c r="A5" s="41" t="s">
        <v>89</v>
      </c>
      <c r="B5" s="237"/>
      <c r="C5"/>
    </row>
    <row r="6" spans="1:3" s="31" customFormat="1" x14ac:dyDescent="0.3">
      <c r="A6" s="34"/>
      <c r="C6"/>
    </row>
    <row r="7" spans="1:3" s="31" customFormat="1" ht="49.05" customHeight="1" x14ac:dyDescent="0.3">
      <c r="A7" s="32" t="s">
        <v>90</v>
      </c>
      <c r="C7"/>
    </row>
    <row r="8" spans="1:3" x14ac:dyDescent="0.3">
      <c r="A8" s="34"/>
      <c r="B8" s="42" t="s">
        <v>91</v>
      </c>
      <c r="C8" s="43"/>
    </row>
    <row r="9" spans="1:3" x14ac:dyDescent="0.3">
      <c r="A9" s="34"/>
      <c r="B9" s="44" t="s">
        <v>92</v>
      </c>
      <c r="C9" s="238">
        <v>900000</v>
      </c>
    </row>
    <row r="10" spans="1:3" x14ac:dyDescent="0.3">
      <c r="A10" s="34"/>
      <c r="B10" s="45" t="s">
        <v>93</v>
      </c>
      <c r="C10" s="239"/>
    </row>
    <row r="11" spans="1:3" x14ac:dyDescent="0.3">
      <c r="A11" s="34"/>
      <c r="B11" s="42" t="s">
        <v>94</v>
      </c>
      <c r="C11" s="46">
        <f>SUM(C9:C10)</f>
        <v>900000</v>
      </c>
    </row>
    <row r="12" spans="1:3" x14ac:dyDescent="0.3">
      <c r="A12" s="34"/>
      <c r="B12"/>
      <c r="C12" s="47"/>
    </row>
    <row r="13" spans="1:3" x14ac:dyDescent="0.3">
      <c r="A13" s="34"/>
      <c r="B13" s="42" t="s">
        <v>95</v>
      </c>
      <c r="C13" s="46"/>
    </row>
    <row r="14" spans="1:3" x14ac:dyDescent="0.3">
      <c r="A14" s="34"/>
      <c r="B14" s="44" t="s">
        <v>96</v>
      </c>
      <c r="C14" s="238">
        <v>800000</v>
      </c>
    </row>
    <row r="15" spans="1:3" x14ac:dyDescent="0.3">
      <c r="A15" s="34"/>
      <c r="B15" s="45" t="s">
        <v>97</v>
      </c>
      <c r="C15" s="239">
        <v>0</v>
      </c>
    </row>
    <row r="16" spans="1:3" x14ac:dyDescent="0.3">
      <c r="A16" s="34"/>
      <c r="B16" s="42" t="s">
        <v>94</v>
      </c>
      <c r="C16" s="48">
        <f>SUM(C14:C15)</f>
        <v>800000</v>
      </c>
    </row>
    <row r="17" spans="1:3" s="31" customFormat="1" x14ac:dyDescent="0.3">
      <c r="A17" s="34"/>
      <c r="C17" s="47"/>
    </row>
    <row r="18" spans="1:3" x14ac:dyDescent="0.3">
      <c r="A18" s="34"/>
      <c r="B18" s="42" t="s">
        <v>98</v>
      </c>
      <c r="C18" s="46">
        <f>C11+C16</f>
        <v>1700000</v>
      </c>
    </row>
    <row r="19" spans="1:3" s="31" customFormat="1" x14ac:dyDescent="0.3">
      <c r="A19" s="34"/>
      <c r="C19" s="47"/>
    </row>
    <row r="20" spans="1:3" x14ac:dyDescent="0.3">
      <c r="A20" s="34"/>
      <c r="B20" s="42" t="s">
        <v>99</v>
      </c>
      <c r="C20" s="240">
        <v>20</v>
      </c>
    </row>
    <row r="21" spans="1:3" s="31" customFormat="1" x14ac:dyDescent="0.3">
      <c r="A21" s="34"/>
      <c r="C21" s="47"/>
    </row>
    <row r="22" spans="1:3" x14ac:dyDescent="0.3">
      <c r="A22" s="34"/>
      <c r="B22" s="42" t="s">
        <v>100</v>
      </c>
      <c r="C22" s="241">
        <v>0.12</v>
      </c>
    </row>
    <row r="23" spans="1:3" s="31" customFormat="1" x14ac:dyDescent="0.3">
      <c r="A23" s="34"/>
      <c r="C23" s="47"/>
    </row>
    <row r="24" spans="1:3" x14ac:dyDescent="0.3">
      <c r="A24" s="34"/>
      <c r="B24" s="42" t="s">
        <v>101</v>
      </c>
      <c r="C24" s="241">
        <v>0.2</v>
      </c>
    </row>
    <row r="26" spans="1:3" ht="15.75" customHeight="1" x14ac:dyDescent="0.3"/>
    <row r="61" ht="30" customHeight="1" x14ac:dyDescent="0.3"/>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8"/>
  <sheetViews>
    <sheetView zoomScaleNormal="100" workbookViewId="0">
      <selection activeCell="C16" sqref="C16"/>
    </sheetView>
  </sheetViews>
  <sheetFormatPr defaultColWidth="8.77734375" defaultRowHeight="15" x14ac:dyDescent="0.25"/>
  <cols>
    <col min="1" max="1" width="34.44140625" style="31"/>
    <col min="2" max="2" width="13.109375" style="49"/>
    <col min="3" max="3" width="14.109375" style="31"/>
    <col min="4" max="6" width="11.109375" style="31"/>
    <col min="7" max="7" width="11" style="31"/>
    <col min="8" max="22" width="11.109375" style="31"/>
    <col min="23" max="23" width="10.33203125" style="31"/>
    <col min="24" max="1025" width="11.109375" style="31"/>
  </cols>
  <sheetData>
    <row r="1" spans="1:1024" ht="17.399999999999999" x14ac:dyDescent="0.3">
      <c r="A1" s="35" t="s">
        <v>4</v>
      </c>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60" x14ac:dyDescent="0.25">
      <c r="A3"/>
      <c r="B3" s="50" t="s">
        <v>102</v>
      </c>
      <c r="C3" s="51" t="s">
        <v>103</v>
      </c>
      <c r="D3" s="52"/>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6" thickBot="1" x14ac:dyDescent="0.3">
      <c r="A4"/>
      <c r="B4" s="53">
        <v>1</v>
      </c>
      <c r="C4" s="238">
        <v>4500</v>
      </c>
      <c r="D4" s="52"/>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6" thickBot="1" x14ac:dyDescent="0.3">
      <c r="A5"/>
      <c r="B5" s="54">
        <v>2</v>
      </c>
      <c r="C5" s="238">
        <v>4500</v>
      </c>
      <c r="D5" s="52"/>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6" thickBot="1" x14ac:dyDescent="0.3">
      <c r="A6"/>
      <c r="B6" s="54">
        <v>3</v>
      </c>
      <c r="C6" s="238">
        <v>4500</v>
      </c>
      <c r="D6" s="52"/>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6" thickBot="1" x14ac:dyDescent="0.3">
      <c r="A7"/>
      <c r="B7" s="55">
        <v>4</v>
      </c>
      <c r="C7" s="238">
        <v>4500</v>
      </c>
      <c r="D7" s="52"/>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6" thickBot="1" x14ac:dyDescent="0.3">
      <c r="A8"/>
      <c r="B8" s="56"/>
      <c r="C8" s="57"/>
      <c r="D8" s="52"/>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49" customFormat="1" x14ac:dyDescent="0.25">
      <c r="A9" s="289" t="s">
        <v>104</v>
      </c>
      <c r="B9" s="289"/>
      <c r="C9" s="59">
        <f>SUM(C4:C7)</f>
        <v>18000</v>
      </c>
    </row>
    <row r="10" spans="1:1024" x14ac:dyDescent="0.25">
      <c r="A10" s="60"/>
      <c r="B10"/>
      <c r="C10" s="47"/>
      <c r="D10" s="47"/>
      <c r="E10" s="47"/>
      <c r="F10" s="47"/>
      <c r="G10" s="47"/>
      <c r="H10" s="47"/>
      <c r="I10" s="47"/>
      <c r="J10" s="47"/>
      <c r="K10" s="47"/>
      <c r="L10" s="47"/>
      <c r="M10" s="47"/>
      <c r="N10" s="47"/>
      <c r="O10" s="47"/>
      <c r="P10" s="47"/>
      <c r="Q10" s="47"/>
      <c r="R10" s="47"/>
      <c r="S10" s="47"/>
      <c r="T10" s="47"/>
      <c r="U10" s="47"/>
      <c r="V10" s="47"/>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x14ac:dyDescent="0.25">
      <c r="A11" s="289" t="s">
        <v>105</v>
      </c>
      <c r="B11" s="289"/>
      <c r="C11" s="46">
        <f>C9*12</f>
        <v>216000</v>
      </c>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3" spans="1:1024" s="49" customFormat="1" x14ac:dyDescent="0.25">
      <c r="A13" s="289" t="s">
        <v>106</v>
      </c>
      <c r="B13" s="289"/>
      <c r="C13" s="251">
        <v>6.5000000000000002E-2</v>
      </c>
    </row>
    <row r="14" spans="1:1024" x14ac:dyDescent="0.25">
      <c r="A14"/>
      <c r="B14"/>
      <c r="C14" s="61"/>
      <c r="D14"/>
      <c r="E14" s="47"/>
      <c r="F14" s="47"/>
      <c r="G14" s="47"/>
      <c r="H14" s="47"/>
      <c r="I14" s="47"/>
      <c r="J14" s="47"/>
      <c r="K14" s="47"/>
      <c r="L14" s="47"/>
      <c r="M14" s="47"/>
      <c r="N14" s="47"/>
      <c r="O14" s="47"/>
      <c r="P14" s="47"/>
      <c r="Q14" s="47"/>
      <c r="R14" s="47"/>
      <c r="S14" s="47"/>
      <c r="T14" s="47"/>
      <c r="U14" s="47"/>
      <c r="V14" s="47"/>
      <c r="W14" s="47"/>
    </row>
    <row r="15" spans="1:1024" x14ac:dyDescent="0.25">
      <c r="A15" s="289" t="s">
        <v>107</v>
      </c>
      <c r="B15" s="289"/>
      <c r="C15" s="242">
        <v>0.8</v>
      </c>
      <c r="D15"/>
      <c r="E15" s="47"/>
      <c r="F15" s="47"/>
      <c r="G15" s="47"/>
      <c r="H15" s="47"/>
      <c r="I15" s="47"/>
      <c r="J15" s="47"/>
      <c r="K15" s="47"/>
      <c r="L15" s="47"/>
      <c r="M15" s="47"/>
      <c r="N15" s="47"/>
      <c r="O15" s="47"/>
      <c r="P15" s="47"/>
      <c r="Q15" s="47"/>
      <c r="R15" s="47"/>
      <c r="S15" s="47"/>
      <c r="T15" s="47"/>
      <c r="U15" s="47"/>
      <c r="V15" s="47"/>
      <c r="W15" s="47"/>
    </row>
    <row r="16" spans="1:1024" x14ac:dyDescent="0.25">
      <c r="A16"/>
      <c r="B16"/>
      <c r="C16" s="47"/>
      <c r="D16" s="47"/>
      <c r="E16" s="47"/>
      <c r="F16" s="47"/>
      <c r="G16" s="47"/>
      <c r="H16" s="47"/>
      <c r="I16" s="47"/>
      <c r="J16" s="47"/>
      <c r="K16" s="47"/>
      <c r="L16" s="47"/>
      <c r="M16" s="47"/>
      <c r="N16" s="47"/>
      <c r="O16" s="47"/>
      <c r="P16" s="47"/>
      <c r="Q16" s="47"/>
      <c r="R16" s="47"/>
      <c r="S16" s="47"/>
      <c r="T16" s="47"/>
      <c r="U16" s="47"/>
      <c r="V16" s="47"/>
      <c r="W16" s="47"/>
    </row>
    <row r="17" spans="1:23" ht="15.6" x14ac:dyDescent="0.3">
      <c r="A17" s="62" t="s">
        <v>108</v>
      </c>
      <c r="B17" s="47"/>
      <c r="C17"/>
      <c r="D17" s="47"/>
      <c r="E17" s="47"/>
      <c r="F17" s="47"/>
      <c r="G17" s="47"/>
      <c r="H17" s="47"/>
      <c r="I17" s="47"/>
      <c r="J17" s="47"/>
      <c r="K17" s="47"/>
      <c r="L17" s="47"/>
      <c r="M17" s="47"/>
      <c r="N17" s="47"/>
      <c r="O17" s="47"/>
      <c r="P17" s="47"/>
      <c r="Q17" s="47"/>
      <c r="R17" s="47"/>
      <c r="S17" s="47"/>
      <c r="T17" s="47"/>
      <c r="U17" s="47"/>
      <c r="V17" s="47"/>
      <c r="W17" s="47"/>
    </row>
    <row r="18" spans="1:23" x14ac:dyDescent="0.25">
      <c r="A18" s="31" t="s">
        <v>109</v>
      </c>
      <c r="C18" s="47"/>
      <c r="D18" s="47"/>
      <c r="E18" s="47"/>
      <c r="F18" s="47"/>
      <c r="G18" s="47"/>
      <c r="H18" s="47"/>
      <c r="I18" s="47"/>
      <c r="J18" s="47"/>
      <c r="K18" s="47"/>
      <c r="L18" s="47"/>
      <c r="M18" s="47"/>
      <c r="N18" s="47"/>
      <c r="O18" s="47"/>
      <c r="P18" s="47"/>
      <c r="Q18" s="47"/>
      <c r="R18" s="47"/>
      <c r="S18" s="47"/>
      <c r="T18" s="47"/>
      <c r="U18" s="47"/>
      <c r="V18" s="47"/>
      <c r="W18" s="47"/>
    </row>
  </sheetData>
  <mergeCells count="4">
    <mergeCell ref="A9:B9"/>
    <mergeCell ref="A11:B11"/>
    <mergeCell ref="A13:B13"/>
    <mergeCell ref="A15:B15"/>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33"/>
  <sheetViews>
    <sheetView zoomScaleNormal="100" workbookViewId="0">
      <selection activeCell="E6" sqref="E6"/>
    </sheetView>
  </sheetViews>
  <sheetFormatPr defaultColWidth="8.77734375" defaultRowHeight="13.2" x14ac:dyDescent="0.25"/>
  <cols>
    <col min="1" max="1" width="11.109375" style="63"/>
    <col min="2" max="2" width="6.77734375" style="64"/>
    <col min="3" max="3" width="16.77734375" style="64"/>
    <col min="4" max="4" width="12.109375" style="63"/>
    <col min="5" max="5" width="13.109375" style="63"/>
    <col min="6" max="6" width="11.6640625" style="63"/>
    <col min="7" max="7" width="11" style="63"/>
    <col min="8" max="8" width="7.6640625" style="63"/>
    <col min="9" max="9" width="8.44140625" style="63"/>
    <col min="10" max="17" width="11.109375" style="63"/>
    <col min="18" max="18" width="10.109375" style="63"/>
    <col min="19" max="1025" width="11.109375" style="63"/>
  </cols>
  <sheetData>
    <row r="1" spans="1:1024" s="64" customFormat="1" ht="17.399999999999999" x14ac:dyDescent="0.3">
      <c r="A1" s="65" t="s">
        <v>6</v>
      </c>
      <c r="C1" s="66"/>
      <c r="D1" s="67"/>
      <c r="E1" s="67"/>
      <c r="F1" s="67"/>
      <c r="G1" s="67"/>
      <c r="H1" s="67"/>
      <c r="I1" s="67"/>
      <c r="L1" s="68"/>
      <c r="M1" s="69"/>
      <c r="N1" s="69"/>
      <c r="O1" s="68"/>
      <c r="P1" s="68"/>
    </row>
    <row r="2" spans="1:1024" x14ac:dyDescent="0.25">
      <c r="A2" s="70"/>
      <c r="B2"/>
      <c r="C2" s="66"/>
      <c r="D2" s="67"/>
      <c r="E2" s="67"/>
      <c r="F2" s="67"/>
      <c r="G2" s="67"/>
      <c r="H2" s="67"/>
      <c r="I2" s="67"/>
      <c r="J2"/>
      <c r="K2"/>
      <c r="L2" s="68"/>
      <c r="M2" s="69"/>
      <c r="N2" s="290"/>
      <c r="O2" s="291"/>
      <c r="P2" s="71"/>
      <c r="Q2" s="72"/>
      <c r="R2" s="73"/>
      <c r="S2" s="74"/>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x14ac:dyDescent="0.25">
      <c r="C3" s="293" t="s">
        <v>110</v>
      </c>
      <c r="D3" s="293"/>
      <c r="E3" s="243">
        <v>0.8</v>
      </c>
      <c r="F3" s="76"/>
      <c r="G3" s="76"/>
      <c r="H3" s="77"/>
      <c r="I3" s="77"/>
      <c r="L3" s="78"/>
      <c r="M3" s="69"/>
      <c r="N3" s="290"/>
      <c r="O3" s="291"/>
      <c r="P3" s="71"/>
      <c r="Q3" s="72"/>
      <c r="R3" s="73"/>
      <c r="S3" s="74"/>
    </row>
    <row r="4" spans="1:1024" ht="15" x14ac:dyDescent="0.25">
      <c r="C4" s="294" t="s">
        <v>111</v>
      </c>
      <c r="D4" s="294"/>
      <c r="E4" s="80">
        <f>E3*'Initial Inputs'!C18</f>
        <v>1360000</v>
      </c>
      <c r="F4" s="76"/>
      <c r="G4" s="76"/>
      <c r="H4" s="77"/>
      <c r="I4" s="77"/>
      <c r="L4" s="78"/>
      <c r="M4" s="69"/>
      <c r="N4" s="290"/>
      <c r="O4" s="291"/>
      <c r="P4" s="71"/>
      <c r="Q4" s="72"/>
      <c r="R4" s="73"/>
      <c r="S4" s="74"/>
    </row>
    <row r="5" spans="1:1024" ht="15" x14ac:dyDescent="0.25">
      <c r="C5" s="294" t="s">
        <v>112</v>
      </c>
      <c r="D5" s="294"/>
      <c r="E5" s="252">
        <v>0.06</v>
      </c>
      <c r="F5" s="76"/>
      <c r="G5" s="76"/>
      <c r="H5" s="81"/>
      <c r="I5" s="77"/>
      <c r="J5"/>
      <c r="K5"/>
      <c r="L5" s="78"/>
      <c r="M5" s="69"/>
      <c r="N5" s="290"/>
      <c r="O5" s="291"/>
      <c r="P5" s="71"/>
      <c r="Q5" s="72"/>
      <c r="R5" s="73"/>
      <c r="S5" s="74"/>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x14ac:dyDescent="0.25">
      <c r="C6" s="292" t="s">
        <v>113</v>
      </c>
      <c r="D6" s="292"/>
      <c r="E6" s="244">
        <v>20</v>
      </c>
      <c r="F6" s="76"/>
      <c r="G6" s="76"/>
      <c r="H6" s="81"/>
      <c r="I6" s="77"/>
      <c r="J6"/>
      <c r="K6"/>
      <c r="L6" s="78"/>
      <c r="M6" s="69"/>
      <c r="N6" s="290"/>
      <c r="O6" s="291"/>
      <c r="P6" s="71"/>
      <c r="Q6" s="72"/>
      <c r="R6" s="73"/>
      <c r="S6" s="74"/>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x14ac:dyDescent="0.25">
      <c r="D7" s="76"/>
      <c r="E7" s="76"/>
      <c r="F7" s="76"/>
      <c r="G7" s="76"/>
      <c r="H7" s="81"/>
      <c r="I7" s="77"/>
      <c r="J7"/>
      <c r="K7"/>
      <c r="L7" s="78"/>
      <c r="M7" s="78"/>
      <c r="N7" s="290"/>
      <c r="O7" s="291"/>
      <c r="P7" s="71"/>
      <c r="Q7" s="72"/>
      <c r="R7" s="73"/>
      <c r="S7" s="74"/>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64" customFormat="1" ht="26.4" x14ac:dyDescent="0.25">
      <c r="B8" s="83" t="s">
        <v>114</v>
      </c>
      <c r="C8" s="84" t="s">
        <v>115</v>
      </c>
      <c r="D8" s="85" t="s">
        <v>116</v>
      </c>
      <c r="E8" s="86" t="s">
        <v>117</v>
      </c>
      <c r="F8" s="85" t="s">
        <v>118</v>
      </c>
      <c r="G8" s="87" t="s">
        <v>119</v>
      </c>
      <c r="H8" s="88"/>
      <c r="I8" s="88"/>
      <c r="L8" s="68"/>
      <c r="M8" s="68"/>
      <c r="N8" s="290"/>
      <c r="O8" s="291"/>
      <c r="P8" s="68"/>
      <c r="Q8" s="68"/>
      <c r="R8" s="68"/>
      <c r="S8" s="68"/>
    </row>
    <row r="9" spans="1:1024" x14ac:dyDescent="0.25">
      <c r="B9" s="89">
        <v>1</v>
      </c>
      <c r="C9" s="90">
        <f>E4</f>
        <v>1360000</v>
      </c>
      <c r="D9" s="91">
        <f>-PMT(E5,E6,C9)</f>
        <v>118570.99748851797</v>
      </c>
      <c r="E9" s="91">
        <f t="shared" ref="E9:E28" si="0">C9*$E$5</f>
        <v>81600</v>
      </c>
      <c r="F9" s="91">
        <f t="shared" ref="F9:F28" si="1">D9-E9</f>
        <v>36970.997488517969</v>
      </c>
      <c r="G9" s="92">
        <f t="shared" ref="G9:G28" si="2">C9-F9</f>
        <v>1323029.002511482</v>
      </c>
      <c r="H9" s="77"/>
      <c r="I9" s="77"/>
      <c r="N9" s="290"/>
      <c r="O9" s="291"/>
      <c r="P9" s="93"/>
      <c r="Q9" s="78"/>
      <c r="R9" s="78"/>
      <c r="S9" s="78"/>
    </row>
    <row r="10" spans="1:1024" x14ac:dyDescent="0.25">
      <c r="B10" s="94">
        <v>2</v>
      </c>
      <c r="C10" s="95">
        <f t="shared" ref="C10:C28" si="3">G9</f>
        <v>1323029.002511482</v>
      </c>
      <c r="D10" s="96">
        <f t="shared" ref="D10:D28" si="4">D9</f>
        <v>118570.99748851797</v>
      </c>
      <c r="E10" s="96">
        <f t="shared" si="0"/>
        <v>79381.740150688915</v>
      </c>
      <c r="F10" s="96">
        <f t="shared" si="1"/>
        <v>39189.257337829054</v>
      </c>
      <c r="G10" s="97">
        <f t="shared" si="2"/>
        <v>1283839.7451736529</v>
      </c>
      <c r="H10" s="77"/>
      <c r="I10" s="77"/>
      <c r="N10" s="290"/>
      <c r="O10" s="291"/>
      <c r="P10" s="78"/>
      <c r="Q10" s="98"/>
      <c r="R10" s="78"/>
      <c r="S10" s="78"/>
    </row>
    <row r="11" spans="1:1024" x14ac:dyDescent="0.25">
      <c r="B11" s="94">
        <v>3</v>
      </c>
      <c r="C11" s="95">
        <f t="shared" si="3"/>
        <v>1283839.7451736529</v>
      </c>
      <c r="D11" s="96">
        <f t="shared" si="4"/>
        <v>118570.99748851797</v>
      </c>
      <c r="E11" s="96">
        <f t="shared" si="0"/>
        <v>77030.384710419166</v>
      </c>
      <c r="F11" s="96">
        <f t="shared" si="1"/>
        <v>41540.612778098803</v>
      </c>
      <c r="G11" s="97">
        <f t="shared" si="2"/>
        <v>1242299.1323955541</v>
      </c>
      <c r="H11" s="77"/>
      <c r="I11" s="77"/>
      <c r="N11" s="290"/>
      <c r="O11" s="291"/>
      <c r="P11" s="93"/>
      <c r="Q11" s="78"/>
      <c r="R11" s="78"/>
      <c r="S11" s="78"/>
    </row>
    <row r="12" spans="1:1024" x14ac:dyDescent="0.25">
      <c r="B12" s="94">
        <v>4</v>
      </c>
      <c r="C12" s="95">
        <f t="shared" si="3"/>
        <v>1242299.1323955541</v>
      </c>
      <c r="D12" s="96">
        <f t="shared" si="4"/>
        <v>118570.99748851797</v>
      </c>
      <c r="E12" s="96">
        <f t="shared" si="0"/>
        <v>74537.947943733248</v>
      </c>
      <c r="F12" s="96">
        <f t="shared" si="1"/>
        <v>44033.049544784721</v>
      </c>
      <c r="G12" s="97">
        <f t="shared" si="2"/>
        <v>1198266.0828507694</v>
      </c>
      <c r="H12" s="77"/>
      <c r="I12" s="77"/>
      <c r="N12" s="290"/>
      <c r="O12" s="291"/>
      <c r="P12" s="78"/>
      <c r="Q12" s="78"/>
      <c r="R12" s="78"/>
      <c r="S12" s="78"/>
    </row>
    <row r="13" spans="1:1024" x14ac:dyDescent="0.25">
      <c r="B13" s="94">
        <v>5</v>
      </c>
      <c r="C13" s="95">
        <f t="shared" si="3"/>
        <v>1198266.0828507694</v>
      </c>
      <c r="D13" s="96">
        <f t="shared" si="4"/>
        <v>118570.99748851797</v>
      </c>
      <c r="E13" s="96">
        <f t="shared" si="0"/>
        <v>71895.964971046167</v>
      </c>
      <c r="F13" s="96">
        <f t="shared" si="1"/>
        <v>46675.032517471802</v>
      </c>
      <c r="G13" s="97">
        <f t="shared" si="2"/>
        <v>1151591.0503332976</v>
      </c>
      <c r="H13"/>
      <c r="I13" s="77"/>
      <c r="N13" s="290"/>
      <c r="O13" s="291"/>
      <c r="P13" s="93"/>
      <c r="Q13" s="78"/>
      <c r="R13" s="78"/>
      <c r="S13" s="78"/>
    </row>
    <row r="14" spans="1:1024" x14ac:dyDescent="0.25">
      <c r="B14" s="94">
        <v>6</v>
      </c>
      <c r="C14" s="95">
        <f t="shared" si="3"/>
        <v>1151591.0503332976</v>
      </c>
      <c r="D14" s="96">
        <f t="shared" si="4"/>
        <v>118570.99748851797</v>
      </c>
      <c r="E14" s="96">
        <f t="shared" si="0"/>
        <v>69095.463019997856</v>
      </c>
      <c r="F14" s="96">
        <f t="shared" si="1"/>
        <v>49475.534468520113</v>
      </c>
      <c r="G14" s="97">
        <f t="shared" si="2"/>
        <v>1102115.5158647774</v>
      </c>
      <c r="H14" s="99"/>
      <c r="I14" s="99"/>
    </row>
    <row r="15" spans="1:1024" x14ac:dyDescent="0.25">
      <c r="B15" s="94">
        <v>7</v>
      </c>
      <c r="C15" s="95">
        <f t="shared" si="3"/>
        <v>1102115.5158647774</v>
      </c>
      <c r="D15" s="96">
        <f t="shared" si="4"/>
        <v>118570.99748851797</v>
      </c>
      <c r="E15" s="96">
        <f t="shared" si="0"/>
        <v>66126.930951886636</v>
      </c>
      <c r="F15" s="96">
        <f t="shared" si="1"/>
        <v>52444.066536631333</v>
      </c>
      <c r="G15" s="97">
        <f t="shared" si="2"/>
        <v>1049671.4493281459</v>
      </c>
      <c r="H15"/>
      <c r="I15"/>
    </row>
    <row r="16" spans="1:1024" x14ac:dyDescent="0.25">
      <c r="B16" s="94">
        <v>8</v>
      </c>
      <c r="C16" s="95">
        <f t="shared" si="3"/>
        <v>1049671.4493281459</v>
      </c>
      <c r="D16" s="96">
        <f t="shared" si="4"/>
        <v>118570.99748851797</v>
      </c>
      <c r="E16" s="96">
        <f t="shared" si="0"/>
        <v>62980.286959688754</v>
      </c>
      <c r="F16" s="96">
        <f t="shared" si="1"/>
        <v>55590.710528829215</v>
      </c>
      <c r="G16" s="97">
        <f t="shared" si="2"/>
        <v>994080.73879931669</v>
      </c>
      <c r="H16"/>
      <c r="I16"/>
    </row>
    <row r="17" spans="2:9" x14ac:dyDescent="0.25">
      <c r="B17" s="94">
        <v>9</v>
      </c>
      <c r="C17" s="95">
        <f t="shared" si="3"/>
        <v>994080.73879931669</v>
      </c>
      <c r="D17" s="96">
        <f t="shared" si="4"/>
        <v>118570.99748851797</v>
      </c>
      <c r="E17" s="96">
        <f t="shared" si="0"/>
        <v>59644.844327958999</v>
      </c>
      <c r="F17" s="96">
        <f t="shared" si="1"/>
        <v>58926.15316055897</v>
      </c>
      <c r="G17" s="97">
        <f t="shared" si="2"/>
        <v>935154.58563875768</v>
      </c>
      <c r="H17"/>
      <c r="I17"/>
    </row>
    <row r="18" spans="2:9" x14ac:dyDescent="0.25">
      <c r="B18" s="94">
        <v>10</v>
      </c>
      <c r="C18" s="95">
        <f t="shared" si="3"/>
        <v>935154.58563875768</v>
      </c>
      <c r="D18" s="96">
        <f t="shared" si="4"/>
        <v>118570.99748851797</v>
      </c>
      <c r="E18" s="96">
        <f t="shared" si="0"/>
        <v>56109.275138325458</v>
      </c>
      <c r="F18" s="96">
        <f t="shared" si="1"/>
        <v>62461.722350192511</v>
      </c>
      <c r="G18" s="97">
        <f t="shared" si="2"/>
        <v>872692.86328856519</v>
      </c>
      <c r="H18"/>
      <c r="I18"/>
    </row>
    <row r="19" spans="2:9" x14ac:dyDescent="0.25">
      <c r="B19" s="94">
        <v>11</v>
      </c>
      <c r="C19" s="95">
        <f t="shared" si="3"/>
        <v>872692.86328856519</v>
      </c>
      <c r="D19" s="96">
        <f t="shared" si="4"/>
        <v>118570.99748851797</v>
      </c>
      <c r="E19" s="96">
        <f t="shared" si="0"/>
        <v>52361.571797313911</v>
      </c>
      <c r="F19" s="96">
        <f t="shared" si="1"/>
        <v>66209.425691204058</v>
      </c>
      <c r="G19" s="97">
        <f t="shared" si="2"/>
        <v>806483.43759736116</v>
      </c>
      <c r="H19"/>
      <c r="I19"/>
    </row>
    <row r="20" spans="2:9" x14ac:dyDescent="0.25">
      <c r="B20" s="94">
        <v>12</v>
      </c>
      <c r="C20" s="95">
        <f t="shared" si="3"/>
        <v>806483.43759736116</v>
      </c>
      <c r="D20" s="96">
        <f t="shared" si="4"/>
        <v>118570.99748851797</v>
      </c>
      <c r="E20" s="96">
        <f t="shared" si="0"/>
        <v>48389.006255841668</v>
      </c>
      <c r="F20" s="96">
        <f t="shared" si="1"/>
        <v>70181.991232676301</v>
      </c>
      <c r="G20" s="97">
        <f t="shared" si="2"/>
        <v>736301.44636468485</v>
      </c>
      <c r="H20"/>
      <c r="I20"/>
    </row>
    <row r="21" spans="2:9" x14ac:dyDescent="0.25">
      <c r="B21" s="94">
        <v>13</v>
      </c>
      <c r="C21" s="95">
        <f t="shared" si="3"/>
        <v>736301.44636468485</v>
      </c>
      <c r="D21" s="96">
        <f t="shared" si="4"/>
        <v>118570.99748851797</v>
      </c>
      <c r="E21" s="96">
        <f t="shared" si="0"/>
        <v>44178.086781881088</v>
      </c>
      <c r="F21" s="96">
        <f t="shared" si="1"/>
        <v>74392.910706636874</v>
      </c>
      <c r="G21" s="97">
        <f t="shared" si="2"/>
        <v>661908.535658048</v>
      </c>
      <c r="H21"/>
      <c r="I21"/>
    </row>
    <row r="22" spans="2:9" x14ac:dyDescent="0.25">
      <c r="B22" s="94">
        <v>14</v>
      </c>
      <c r="C22" s="95">
        <f t="shared" si="3"/>
        <v>661908.535658048</v>
      </c>
      <c r="D22" s="96">
        <f t="shared" si="4"/>
        <v>118570.99748851797</v>
      </c>
      <c r="E22" s="96">
        <f t="shared" si="0"/>
        <v>39714.512139482882</v>
      </c>
      <c r="F22" s="96">
        <f t="shared" si="1"/>
        <v>78856.485349035094</v>
      </c>
      <c r="G22" s="97">
        <f t="shared" si="2"/>
        <v>583052.05030901288</v>
      </c>
      <c r="H22"/>
      <c r="I22"/>
    </row>
    <row r="23" spans="2:9" x14ac:dyDescent="0.25">
      <c r="B23" s="94">
        <v>15</v>
      </c>
      <c r="C23" s="95">
        <f t="shared" si="3"/>
        <v>583052.05030901288</v>
      </c>
      <c r="D23" s="96">
        <f t="shared" si="4"/>
        <v>118570.99748851797</v>
      </c>
      <c r="E23" s="96">
        <f t="shared" si="0"/>
        <v>34983.123018540769</v>
      </c>
      <c r="F23" s="96">
        <f t="shared" si="1"/>
        <v>83587.874469977192</v>
      </c>
      <c r="G23" s="97">
        <f t="shared" si="2"/>
        <v>499464.17583903566</v>
      </c>
      <c r="H23"/>
      <c r="I23"/>
    </row>
    <row r="24" spans="2:9" x14ac:dyDescent="0.25">
      <c r="B24" s="94">
        <v>16</v>
      </c>
      <c r="C24" s="95">
        <f t="shared" si="3"/>
        <v>499464.17583903566</v>
      </c>
      <c r="D24" s="96">
        <f t="shared" si="4"/>
        <v>118570.99748851797</v>
      </c>
      <c r="E24" s="96">
        <f t="shared" si="0"/>
        <v>29967.850550342137</v>
      </c>
      <c r="F24" s="96">
        <f t="shared" si="1"/>
        <v>88603.146938175836</v>
      </c>
      <c r="G24" s="97">
        <f t="shared" si="2"/>
        <v>410861.02890085982</v>
      </c>
      <c r="H24"/>
      <c r="I24"/>
    </row>
    <row r="25" spans="2:9" x14ac:dyDescent="0.25">
      <c r="B25" s="94">
        <v>17</v>
      </c>
      <c r="C25" s="95">
        <f t="shared" si="3"/>
        <v>410861.02890085982</v>
      </c>
      <c r="D25" s="96">
        <f t="shared" si="4"/>
        <v>118570.99748851797</v>
      </c>
      <c r="E25" s="96">
        <f t="shared" si="0"/>
        <v>24651.661734051588</v>
      </c>
      <c r="F25" s="96">
        <f t="shared" si="1"/>
        <v>93919.335754466389</v>
      </c>
      <c r="G25" s="97">
        <f t="shared" si="2"/>
        <v>316941.6931463934</v>
      </c>
      <c r="H25"/>
      <c r="I25"/>
    </row>
    <row r="26" spans="2:9" x14ac:dyDescent="0.25">
      <c r="B26" s="94">
        <v>18</v>
      </c>
      <c r="C26" s="95">
        <f t="shared" si="3"/>
        <v>316941.6931463934</v>
      </c>
      <c r="D26" s="96">
        <f t="shared" si="4"/>
        <v>118570.99748851797</v>
      </c>
      <c r="E26" s="96">
        <f t="shared" si="0"/>
        <v>19016.501588783602</v>
      </c>
      <c r="F26" s="96">
        <f t="shared" si="1"/>
        <v>99554.495899734364</v>
      </c>
      <c r="G26" s="97">
        <f t="shared" si="2"/>
        <v>217387.19724665902</v>
      </c>
      <c r="H26" s="99"/>
      <c r="I26" s="99"/>
    </row>
    <row r="27" spans="2:9" x14ac:dyDescent="0.25">
      <c r="B27" s="94">
        <v>19</v>
      </c>
      <c r="C27" s="95">
        <f t="shared" si="3"/>
        <v>217387.19724665902</v>
      </c>
      <c r="D27" s="96">
        <f t="shared" si="4"/>
        <v>118570.99748851797</v>
      </c>
      <c r="E27" s="96">
        <f t="shared" si="0"/>
        <v>13043.231834799541</v>
      </c>
      <c r="F27" s="96">
        <f t="shared" si="1"/>
        <v>105527.76565371842</v>
      </c>
      <c r="G27" s="97">
        <f t="shared" si="2"/>
        <v>111859.4315929406</v>
      </c>
      <c r="H27"/>
      <c r="I27"/>
    </row>
    <row r="28" spans="2:9" x14ac:dyDescent="0.25">
      <c r="B28" s="100">
        <v>20</v>
      </c>
      <c r="C28" s="101">
        <f t="shared" si="3"/>
        <v>111859.4315929406</v>
      </c>
      <c r="D28" s="102">
        <f t="shared" si="4"/>
        <v>118570.99748851797</v>
      </c>
      <c r="E28" s="102">
        <f t="shared" si="0"/>
        <v>6711.5658955764357</v>
      </c>
      <c r="F28" s="102">
        <f t="shared" si="1"/>
        <v>111859.43159294153</v>
      </c>
      <c r="G28" s="103">
        <f t="shared" si="2"/>
        <v>-9.3132257461547852E-10</v>
      </c>
      <c r="H28"/>
      <c r="I28"/>
    </row>
    <row r="29" spans="2:9" x14ac:dyDescent="0.25">
      <c r="B29" s="104" t="s">
        <v>98</v>
      </c>
      <c r="C29" s="105"/>
      <c r="D29" s="106"/>
      <c r="E29" s="106">
        <f>SUM(E9:E28)</f>
        <v>1011419.9497703586</v>
      </c>
      <c r="F29" s="106">
        <f>SUM(F9:F28)</f>
        <v>1360000.0000000007</v>
      </c>
      <c r="G29" s="106"/>
      <c r="H29"/>
      <c r="I29"/>
    </row>
    <row r="30" spans="2:9" x14ac:dyDescent="0.25">
      <c r="B30"/>
      <c r="C30"/>
      <c r="D30" s="76"/>
      <c r="E30" s="76"/>
      <c r="F30" s="76"/>
      <c r="G30" s="76"/>
      <c r="H30"/>
      <c r="I30"/>
    </row>
    <row r="31" spans="2:9" x14ac:dyDescent="0.25">
      <c r="B31" s="107" t="s">
        <v>120</v>
      </c>
      <c r="C31" s="76" t="s">
        <v>121</v>
      </c>
      <c r="D31" s="76"/>
      <c r="E31" s="76"/>
      <c r="F31" s="76"/>
      <c r="G31" s="76"/>
      <c r="H31"/>
      <c r="I31"/>
    </row>
    <row r="32" spans="2:9" x14ac:dyDescent="0.25">
      <c r="C32" s="76" t="s">
        <v>122</v>
      </c>
      <c r="D32" s="76"/>
      <c r="E32" s="76"/>
      <c r="F32" s="76"/>
      <c r="G32" s="76"/>
      <c r="H32"/>
      <c r="I32"/>
    </row>
    <row r="33" spans="3:9" x14ac:dyDescent="0.25">
      <c r="C33" s="108" t="s">
        <v>123</v>
      </c>
      <c r="D33" s="76"/>
      <c r="E33" s="76"/>
      <c r="F33" s="76"/>
      <c r="G33" s="76"/>
      <c r="H33"/>
      <c r="I33"/>
    </row>
  </sheetData>
  <mergeCells count="16">
    <mergeCell ref="N2:N3"/>
    <mergeCell ref="O2:O3"/>
    <mergeCell ref="C3:D3"/>
    <mergeCell ref="C4:D4"/>
    <mergeCell ref="N4:N5"/>
    <mergeCell ref="O4:O5"/>
    <mergeCell ref="C5:D5"/>
    <mergeCell ref="N10:N11"/>
    <mergeCell ref="O10:O11"/>
    <mergeCell ref="N12:N13"/>
    <mergeCell ref="O12:O13"/>
    <mergeCell ref="C6:D6"/>
    <mergeCell ref="N6:N7"/>
    <mergeCell ref="O6:O7"/>
    <mergeCell ref="N8:N9"/>
    <mergeCell ref="O8:O9"/>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29"/>
  <sheetViews>
    <sheetView topLeftCell="A4" zoomScaleNormal="100" workbookViewId="0">
      <selection activeCell="C21" sqref="C21"/>
    </sheetView>
  </sheetViews>
  <sheetFormatPr defaultColWidth="8.77734375" defaultRowHeight="15" x14ac:dyDescent="0.25"/>
  <cols>
    <col min="1" max="1" width="11.109375" style="31"/>
    <col min="2" max="2" width="33" style="60"/>
    <col min="3" max="3" width="16.77734375" style="49"/>
    <col min="4" max="1025" width="11.109375" style="31"/>
  </cols>
  <sheetData>
    <row r="1" spans="1:1024" ht="17.399999999999999" x14ac:dyDescent="0.3">
      <c r="A1" s="35" t="s">
        <v>5</v>
      </c>
      <c r="B1" s="31"/>
      <c r="C1"/>
      <c r="D1" s="49"/>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A3"/>
      <c r="B3"/>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45" x14ac:dyDescent="0.25">
      <c r="A4"/>
      <c r="B4" s="58"/>
      <c r="C4" s="51" t="s">
        <v>124</v>
      </c>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6" thickBot="1" x14ac:dyDescent="0.3">
      <c r="A5"/>
      <c r="B5" s="75" t="s">
        <v>7</v>
      </c>
      <c r="C5" s="245">
        <v>250</v>
      </c>
      <c r="D5"/>
      <c r="E5"/>
      <c r="F5"/>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6" thickBot="1" x14ac:dyDescent="0.3">
      <c r="A6"/>
      <c r="B6" s="79" t="s">
        <v>8</v>
      </c>
      <c r="C6" s="245">
        <v>200</v>
      </c>
      <c r="D6" s="109"/>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6" thickBot="1" x14ac:dyDescent="0.3">
      <c r="A7"/>
      <c r="B7" s="79" t="s">
        <v>9</v>
      </c>
      <c r="C7" s="245">
        <v>150</v>
      </c>
      <c r="D7" s="109"/>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6" thickBot="1" x14ac:dyDescent="0.3">
      <c r="A8"/>
      <c r="B8" s="79" t="s">
        <v>10</v>
      </c>
      <c r="C8" s="245">
        <v>50</v>
      </c>
      <c r="D8" s="109"/>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s="49" customFormat="1" ht="15.6" thickBot="1" x14ac:dyDescent="0.3">
      <c r="B9" s="79" t="s">
        <v>11</v>
      </c>
      <c r="C9" s="245">
        <v>100</v>
      </c>
      <c r="D9" s="109"/>
    </row>
    <row r="10" spans="1:1024" ht="15.6" thickBot="1" x14ac:dyDescent="0.3">
      <c r="A10"/>
      <c r="B10" s="79" t="s">
        <v>12</v>
      </c>
      <c r="C10" s="245">
        <v>320</v>
      </c>
      <c r="D10" s="109"/>
      <c r="E10" s="47"/>
      <c r="F10" s="47"/>
      <c r="G10" s="47"/>
      <c r="H10" s="47"/>
      <c r="I10" s="47"/>
      <c r="J10" s="47"/>
      <c r="K10" s="47"/>
      <c r="L10" s="47"/>
      <c r="M10" s="47"/>
      <c r="N10" s="47"/>
      <c r="O10" s="47"/>
      <c r="P10" s="47"/>
      <c r="Q10" s="47"/>
      <c r="R10" s="47"/>
      <c r="S10" s="47"/>
      <c r="T10" s="47"/>
      <c r="U10" s="47"/>
      <c r="V10" s="47"/>
      <c r="W10" s="47"/>
      <c r="X10" s="47"/>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6" thickBot="1" x14ac:dyDescent="0.3">
      <c r="A11"/>
      <c r="B11" s="79" t="s">
        <v>13</v>
      </c>
      <c r="C11" s="245">
        <v>200</v>
      </c>
      <c r="D11" s="109"/>
      <c r="E11" s="47"/>
      <c r="F11" s="47"/>
      <c r="G11" s="47"/>
      <c r="H11" s="47"/>
      <c r="I11" s="47"/>
      <c r="J11" s="47"/>
      <c r="K11" s="47"/>
      <c r="L11" s="47"/>
      <c r="M11" s="47"/>
      <c r="N11" s="47"/>
      <c r="O11" s="47"/>
      <c r="P11" s="47"/>
      <c r="Q11" s="47"/>
      <c r="R11" s="47"/>
      <c r="S11" s="47"/>
      <c r="T11" s="47"/>
      <c r="U11" s="47"/>
      <c r="V11" s="47"/>
      <c r="W11" s="47"/>
      <c r="X11" s="47"/>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6" thickBot="1" x14ac:dyDescent="0.3">
      <c r="A12"/>
      <c r="B12" s="79" t="s">
        <v>14</v>
      </c>
      <c r="C12" s="245">
        <v>680</v>
      </c>
      <c r="D12" s="109"/>
      <c r="E12" s="47"/>
      <c r="F12" s="47"/>
      <c r="G12" s="47"/>
      <c r="H12" s="47"/>
      <c r="I12" s="47"/>
      <c r="J12" s="47"/>
      <c r="K12" s="47"/>
      <c r="L12" s="47"/>
      <c r="M12" s="47"/>
      <c r="N12" s="47"/>
      <c r="O12" s="47"/>
      <c r="P12" s="47"/>
      <c r="Q12" s="47"/>
      <c r="R12" s="47"/>
      <c r="S12" s="47"/>
      <c r="T12" s="47"/>
      <c r="U12" s="47"/>
      <c r="V12" s="47"/>
      <c r="W12" s="47"/>
      <c r="X12" s="47"/>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6" thickBot="1" x14ac:dyDescent="0.3">
      <c r="A13"/>
      <c r="B13" s="79" t="s">
        <v>15</v>
      </c>
      <c r="C13" s="245">
        <v>100</v>
      </c>
      <c r="D13" s="109"/>
      <c r="E13" s="47"/>
      <c r="F13" s="47"/>
      <c r="G13" s="47"/>
      <c r="H13" s="47"/>
      <c r="I13" s="47"/>
      <c r="J13" s="47"/>
      <c r="K13" s="47"/>
      <c r="L13" s="47"/>
      <c r="M13" s="47"/>
      <c r="N13" s="47"/>
      <c r="O13" s="47"/>
      <c r="P13" s="47"/>
      <c r="Q13" s="47"/>
      <c r="R13" s="47"/>
      <c r="S13" s="47"/>
      <c r="T13" s="47"/>
      <c r="U13" s="47"/>
      <c r="V13" s="47"/>
      <c r="W13" s="47"/>
      <c r="X13" s="47"/>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4.25" customHeight="1" thickBot="1" x14ac:dyDescent="0.3">
      <c r="A14"/>
      <c r="B14" s="79" t="s">
        <v>16</v>
      </c>
      <c r="C14" s="245">
        <v>250</v>
      </c>
      <c r="D14" s="109"/>
      <c r="E14" s="47"/>
      <c r="F14" s="47"/>
      <c r="G14" s="47"/>
      <c r="H14" s="47"/>
      <c r="I14" s="47"/>
      <c r="J14" s="47"/>
      <c r="K14" s="47"/>
      <c r="L14" s="47"/>
      <c r="M14" s="47"/>
      <c r="N14" s="47"/>
      <c r="O14" s="47"/>
      <c r="P14" s="47"/>
      <c r="Q14" s="47"/>
      <c r="R14" s="47"/>
      <c r="S14" s="47"/>
      <c r="T14" s="47"/>
      <c r="U14" s="47"/>
      <c r="V14" s="47"/>
      <c r="W14" s="47"/>
      <c r="X14" s="47"/>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4.25" customHeight="1" thickBot="1" x14ac:dyDescent="0.3">
      <c r="A15"/>
      <c r="B15" s="82" t="s">
        <v>125</v>
      </c>
      <c r="C15" s="245">
        <v>100</v>
      </c>
      <c r="D15" s="109"/>
      <c r="E15" s="47"/>
      <c r="F15" s="47"/>
      <c r="G15" s="47"/>
      <c r="H15" s="47"/>
      <c r="I15" s="47"/>
      <c r="J15" s="47"/>
      <c r="K15" s="47"/>
      <c r="L15" s="47"/>
      <c r="M15" s="47"/>
      <c r="N15" s="47"/>
      <c r="O15" s="47"/>
      <c r="P15" s="47"/>
      <c r="Q15" s="47"/>
      <c r="R15" s="47"/>
      <c r="S15" s="47"/>
      <c r="T15" s="47"/>
      <c r="U15" s="47"/>
      <c r="V15" s="47"/>
      <c r="W15" s="47"/>
      <c r="X15" s="47"/>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6" thickBot="1" x14ac:dyDescent="0.3">
      <c r="A16"/>
      <c r="B16" s="58" t="s">
        <v>126</v>
      </c>
      <c r="C16" s="110">
        <f>SUM(C5:C15)</f>
        <v>2400</v>
      </c>
      <c r="D16" s="109"/>
      <c r="E16" s="47"/>
      <c r="F16" s="47"/>
      <c r="G16" s="47"/>
      <c r="H16" s="47"/>
      <c r="I16" s="47"/>
      <c r="J16" s="47"/>
      <c r="K16" s="47"/>
      <c r="L16" s="47"/>
      <c r="M16" s="47"/>
      <c r="N16" s="47"/>
      <c r="O16" s="47"/>
      <c r="P16" s="47"/>
      <c r="Q16" s="47"/>
      <c r="R16" s="47"/>
      <c r="S16" s="47"/>
      <c r="T16" s="47"/>
      <c r="U16" s="47"/>
      <c r="V16" s="47"/>
      <c r="W16" s="47"/>
      <c r="X16" s="47"/>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x14ac:dyDescent="0.25">
      <c r="A17"/>
      <c r="B17"/>
      <c r="C17" s="111"/>
      <c r="D17" s="47"/>
      <c r="E17" s="47"/>
      <c r="F17" s="47"/>
      <c r="G17" s="47"/>
      <c r="H17" s="47"/>
      <c r="I17" s="47"/>
      <c r="J17" s="47"/>
      <c r="K17" s="47"/>
      <c r="L17" s="47"/>
      <c r="M17" s="47"/>
      <c r="N17" s="47"/>
      <c r="O17" s="47"/>
      <c r="P17" s="47"/>
      <c r="Q17" s="47"/>
      <c r="R17" s="47"/>
      <c r="S17" s="47"/>
      <c r="T17" s="47"/>
      <c r="U17" s="47"/>
      <c r="V17" s="47"/>
      <c r="W17" s="47"/>
      <c r="X17" s="4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x14ac:dyDescent="0.25">
      <c r="A18"/>
      <c r="B18" s="58" t="s">
        <v>127</v>
      </c>
      <c r="C18" s="110">
        <f>C16*12</f>
        <v>28800</v>
      </c>
      <c r="D18" s="47"/>
      <c r="E18" s="47"/>
      <c r="F18" s="47"/>
      <c r="G18" s="47"/>
      <c r="H18" s="47"/>
      <c r="I18" s="47"/>
      <c r="J18" s="47"/>
      <c r="K18" s="47"/>
      <c r="L18" s="47"/>
      <c r="M18" s="47"/>
      <c r="N18" s="47"/>
      <c r="O18" s="47"/>
      <c r="P18" s="47"/>
      <c r="Q18" s="47"/>
      <c r="R18" s="47"/>
      <c r="S18" s="47"/>
      <c r="T18" s="47"/>
      <c r="U18" s="47"/>
      <c r="V18" s="47"/>
      <c r="W18" s="47"/>
      <c r="X18" s="47"/>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x14ac:dyDescent="0.25">
      <c r="A19"/>
      <c r="B19"/>
      <c r="C19" s="111"/>
      <c r="D19" s="47"/>
      <c r="E19" s="47"/>
      <c r="F19" s="47"/>
      <c r="G19" s="47"/>
      <c r="H19" s="47"/>
      <c r="I19" s="47"/>
      <c r="J19" s="47"/>
      <c r="K19" s="47"/>
      <c r="L19" s="47"/>
      <c r="M19" s="47"/>
      <c r="N19" s="47"/>
      <c r="O19" s="47"/>
      <c r="P19" s="47"/>
      <c r="Q19" s="47"/>
      <c r="R19" s="47"/>
      <c r="S19" s="47"/>
      <c r="T19" s="47"/>
      <c r="U19" s="47"/>
      <c r="V19" s="47"/>
      <c r="W19" s="47"/>
      <c r="X19" s="47"/>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30" x14ac:dyDescent="0.25">
      <c r="A20"/>
      <c r="B20" s="112" t="s">
        <v>128</v>
      </c>
      <c r="C20" s="241">
        <v>0.05</v>
      </c>
      <c r="D20"/>
      <c r="E20" s="47"/>
      <c r="F20" s="47"/>
      <c r="G20" s="47"/>
      <c r="H20" s="47"/>
      <c r="I20" s="47"/>
      <c r="J20" s="47"/>
      <c r="K20" s="47"/>
      <c r="L20" s="47"/>
      <c r="M20" s="47"/>
      <c r="N20" s="47"/>
      <c r="O20" s="47"/>
      <c r="P20" s="47"/>
      <c r="Q20" s="47"/>
      <c r="R20" s="47"/>
      <c r="S20" s="47"/>
      <c r="T20" s="47"/>
      <c r="U20" s="47"/>
      <c r="V20" s="47"/>
      <c r="W20" s="47"/>
      <c r="X20" s="47"/>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x14ac:dyDescent="0.25">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45" x14ac:dyDescent="0.25">
      <c r="A22"/>
      <c r="B22" s="113" t="s">
        <v>129</v>
      </c>
      <c r="C22" s="114">
        <f>ROUND(((C29)),-3)</f>
        <v>38000</v>
      </c>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x14ac:dyDescent="0.25">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x14ac:dyDescent="0.25">
      <c r="A24"/>
      <c r="B24" s="60" t="s">
        <v>130</v>
      </c>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x14ac:dyDescent="0.25">
      <c r="A25"/>
      <c r="B25" s="60" t="s">
        <v>131</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s="49" customFormat="1" x14ac:dyDescent="0.25">
      <c r="B26" s="60"/>
    </row>
    <row r="27" spans="1:1024" hidden="1" x14ac:dyDescent="0.25">
      <c r="A27" s="49"/>
      <c r="C27" s="115">
        <f>SUM('AT Analysis'!E5:I5)/60*-1</f>
        <v>2784.91815</v>
      </c>
      <c r="D27" s="60" t="s">
        <v>132</v>
      </c>
      <c r="E27"/>
      <c r="F27"/>
      <c r="G27"/>
      <c r="H27"/>
      <c r="I27"/>
      <c r="J27"/>
      <c r="K27"/>
      <c r="L27"/>
      <c r="M27"/>
      <c r="N27"/>
      <c r="O27"/>
      <c r="P27"/>
      <c r="Q27"/>
      <c r="R27"/>
      <c r="S27"/>
      <c r="T27"/>
      <c r="U27"/>
      <c r="V27"/>
      <c r="W27"/>
      <c r="X27"/>
    </row>
    <row r="28" spans="1:1024" hidden="1" x14ac:dyDescent="0.25">
      <c r="C28" s="115">
        <f>Mortgage!D9/12</f>
        <v>9880.9164573764974</v>
      </c>
      <c r="D28" s="47"/>
      <c r="E28" s="47"/>
      <c r="F28" s="47"/>
      <c r="G28" s="47"/>
      <c r="H28" s="47"/>
      <c r="I28" s="47"/>
      <c r="J28" s="47"/>
      <c r="K28" s="47"/>
      <c r="L28" s="47"/>
      <c r="M28" s="47"/>
      <c r="N28" s="47"/>
      <c r="O28" s="47"/>
      <c r="P28" s="47"/>
      <c r="Q28" s="47"/>
      <c r="R28" s="47"/>
      <c r="S28" s="47"/>
      <c r="T28" s="47"/>
      <c r="U28" s="47"/>
      <c r="V28" s="47"/>
      <c r="W28" s="47"/>
      <c r="X28" s="47"/>
    </row>
    <row r="29" spans="1:1024" hidden="1" x14ac:dyDescent="0.25">
      <c r="C29" s="115">
        <f>(C27+C28)*3</f>
        <v>37997.503822129489</v>
      </c>
      <c r="D29" s="47"/>
      <c r="E29" s="47"/>
      <c r="F29" s="47"/>
      <c r="G29" s="47"/>
      <c r="H29" s="47"/>
      <c r="I29" s="47"/>
      <c r="J29" s="47"/>
      <c r="K29" s="47"/>
      <c r="L29" s="47"/>
      <c r="M29" s="47"/>
      <c r="N29" s="47"/>
      <c r="O29" s="47"/>
      <c r="P29" s="47"/>
      <c r="Q29" s="47"/>
      <c r="R29" s="47"/>
      <c r="S29" s="47"/>
      <c r="T29" s="47"/>
      <c r="U29" s="47"/>
      <c r="V29" s="47"/>
      <c r="W29" s="47"/>
      <c r="X29" s="47"/>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51"/>
  <sheetViews>
    <sheetView zoomScaleNormal="100" workbookViewId="0">
      <selection activeCell="F6" sqref="F6"/>
    </sheetView>
  </sheetViews>
  <sheetFormatPr defaultColWidth="8.77734375" defaultRowHeight="13.2" x14ac:dyDescent="0.25"/>
  <cols>
    <col min="1" max="1" width="6.77734375" style="63"/>
    <col min="2" max="2" width="8.6640625" style="63"/>
    <col min="3" max="3" width="11.109375" style="63"/>
    <col min="4" max="4" width="8" style="63"/>
    <col min="5" max="6" width="11" style="63"/>
    <col min="7" max="7" width="11.77734375" style="63"/>
    <col min="8" max="8" width="3.77734375" style="63"/>
    <col min="9" max="9" width="10.33203125" style="63"/>
    <col min="10" max="10" width="1.77734375" style="63"/>
    <col min="11" max="11" width="9.77734375" style="63"/>
    <col min="12" max="12" width="3.6640625" style="63"/>
    <col min="13" max="13" width="4.6640625" style="63"/>
    <col min="14" max="14" width="2" style="63"/>
    <col min="15" max="1025" width="11.109375" style="63"/>
  </cols>
  <sheetData>
    <row r="1" spans="1:14" ht="15.6" x14ac:dyDescent="0.3">
      <c r="A1" s="32" t="s">
        <v>17</v>
      </c>
      <c r="B1"/>
      <c r="C1"/>
      <c r="D1"/>
      <c r="E1"/>
      <c r="F1"/>
      <c r="G1"/>
      <c r="H1"/>
      <c r="I1"/>
      <c r="J1"/>
      <c r="K1"/>
      <c r="L1"/>
      <c r="M1"/>
      <c r="N1"/>
    </row>
    <row r="2" spans="1:14" x14ac:dyDescent="0.25">
      <c r="A2"/>
      <c r="B2"/>
      <c r="C2"/>
      <c r="D2"/>
      <c r="E2"/>
      <c r="F2"/>
      <c r="G2"/>
      <c r="H2"/>
      <c r="I2"/>
      <c r="J2"/>
      <c r="K2"/>
      <c r="L2"/>
      <c r="M2"/>
      <c r="N2"/>
    </row>
    <row r="3" spans="1:14" x14ac:dyDescent="0.25">
      <c r="A3" s="299" t="s">
        <v>133</v>
      </c>
      <c r="B3" s="299"/>
      <c r="C3" s="299"/>
      <c r="D3" s="299"/>
      <c r="E3" s="299"/>
      <c r="F3"/>
      <c r="G3" s="116"/>
      <c r="H3"/>
      <c r="I3"/>
      <c r="J3"/>
      <c r="K3"/>
      <c r="L3"/>
      <c r="M3"/>
      <c r="N3"/>
    </row>
    <row r="4" spans="1:14" ht="13.8" thickBot="1" x14ac:dyDescent="0.3">
      <c r="A4" s="295" t="s">
        <v>134</v>
      </c>
      <c r="B4" s="295"/>
      <c r="C4" s="295"/>
      <c r="D4" s="295"/>
      <c r="E4" s="295"/>
      <c r="F4" s="246">
        <v>0.06</v>
      </c>
      <c r="G4"/>
      <c r="H4"/>
      <c r="I4"/>
      <c r="J4"/>
      <c r="K4"/>
      <c r="L4"/>
      <c r="M4"/>
      <c r="N4"/>
    </row>
    <row r="5" spans="1:14" ht="13.8" thickBot="1" x14ac:dyDescent="0.3">
      <c r="A5" s="297" t="s">
        <v>135</v>
      </c>
      <c r="B5" s="297"/>
      <c r="C5" s="297"/>
      <c r="D5" s="297"/>
      <c r="E5" s="297"/>
      <c r="F5" s="246">
        <v>0.06</v>
      </c>
      <c r="G5"/>
      <c r="H5"/>
      <c r="I5"/>
      <c r="J5"/>
      <c r="K5"/>
      <c r="L5"/>
      <c r="M5"/>
      <c r="N5"/>
    </row>
    <row r="6" spans="1:14" x14ac:dyDescent="0.25">
      <c r="A6" s="108"/>
      <c r="B6" s="108"/>
      <c r="C6" s="108"/>
      <c r="D6" s="108"/>
      <c r="E6" s="108"/>
      <c r="F6"/>
      <c r="G6"/>
      <c r="H6"/>
      <c r="I6"/>
      <c r="J6"/>
      <c r="K6"/>
      <c r="L6"/>
      <c r="M6"/>
      <c r="N6"/>
    </row>
    <row r="7" spans="1:14" x14ac:dyDescent="0.25">
      <c r="A7" s="117" t="s">
        <v>136</v>
      </c>
      <c r="B7" s="108"/>
      <c r="C7" s="108"/>
      <c r="D7" s="108"/>
      <c r="E7" s="108"/>
      <c r="F7"/>
      <c r="G7"/>
      <c r="H7"/>
      <c r="I7"/>
      <c r="J7"/>
      <c r="K7"/>
      <c r="L7"/>
      <c r="M7"/>
      <c r="N7"/>
    </row>
    <row r="8" spans="1:14" x14ac:dyDescent="0.25">
      <c r="A8" s="295" t="s">
        <v>137</v>
      </c>
      <c r="B8" s="295"/>
      <c r="C8" s="295"/>
      <c r="D8" s="295"/>
      <c r="E8" s="295"/>
      <c r="F8" s="118">
        <f>'Initial Inputs'!C11*(1+F4)^'Initial Inputs'!C20</f>
        <v>2886421.9249915634</v>
      </c>
      <c r="G8"/>
      <c r="H8"/>
      <c r="I8"/>
      <c r="J8"/>
      <c r="K8"/>
      <c r="L8"/>
      <c r="M8"/>
      <c r="N8"/>
    </row>
    <row r="9" spans="1:14" x14ac:dyDescent="0.25">
      <c r="A9" s="297" t="s">
        <v>138</v>
      </c>
      <c r="B9" s="297"/>
      <c r="C9" s="297"/>
      <c r="D9" s="297"/>
      <c r="E9" s="297"/>
      <c r="F9" s="119">
        <f>'Initial Inputs'!C16*(1+F5)^'Initial Inputs'!C20</f>
        <v>2565708.3777702786</v>
      </c>
      <c r="G9"/>
      <c r="H9"/>
      <c r="I9"/>
      <c r="J9"/>
      <c r="K9"/>
      <c r="L9"/>
      <c r="M9"/>
      <c r="N9"/>
    </row>
    <row r="10" spans="1:14" x14ac:dyDescent="0.25">
      <c r="A10" s="108"/>
      <c r="B10" s="108"/>
      <c r="C10" s="108"/>
      <c r="D10" s="108"/>
      <c r="E10" s="108"/>
      <c r="F10"/>
      <c r="G10"/>
      <c r="H10"/>
      <c r="I10"/>
      <c r="J10"/>
      <c r="K10"/>
      <c r="L10"/>
      <c r="M10"/>
      <c r="N10"/>
    </row>
    <row r="11" spans="1:14" x14ac:dyDescent="0.25">
      <c r="A11" s="295" t="s">
        <v>139</v>
      </c>
      <c r="B11" s="295"/>
      <c r="C11" s="295"/>
      <c r="D11" s="295"/>
      <c r="E11" s="295"/>
      <c r="F11" s="120" t="s">
        <v>140</v>
      </c>
      <c r="G11"/>
      <c r="H11"/>
      <c r="I11"/>
      <c r="J11"/>
      <c r="K11"/>
      <c r="L11"/>
      <c r="M11"/>
      <c r="N11"/>
    </row>
    <row r="12" spans="1:14" x14ac:dyDescent="0.25">
      <c r="A12" s="296" t="s">
        <v>141</v>
      </c>
      <c r="B12" s="296"/>
      <c r="C12" s="296"/>
      <c r="D12" s="296"/>
      <c r="E12" s="296"/>
      <c r="F12" s="121">
        <f>1/'Initial Inputs'!C20</f>
        <v>0.05</v>
      </c>
      <c r="G12"/>
      <c r="H12"/>
      <c r="I12"/>
      <c r="J12"/>
      <c r="K12"/>
      <c r="L12"/>
      <c r="M12"/>
      <c r="N12"/>
    </row>
    <row r="13" spans="1:14" x14ac:dyDescent="0.25">
      <c r="A13" s="297" t="s">
        <v>142</v>
      </c>
      <c r="B13" s="297"/>
      <c r="C13" s="297"/>
      <c r="D13" s="297"/>
      <c r="E13" s="297"/>
      <c r="F13" s="119">
        <f>F12*'Initial Inputs'!C11</f>
        <v>45000</v>
      </c>
      <c r="G13"/>
      <c r="H13"/>
      <c r="I13"/>
      <c r="J13"/>
      <c r="K13"/>
      <c r="L13"/>
      <c r="M13"/>
      <c r="N13"/>
    </row>
    <row r="14" spans="1:14" x14ac:dyDescent="0.25">
      <c r="A14" s="108"/>
      <c r="B14" s="108"/>
      <c r="C14" s="108"/>
      <c r="D14" s="108"/>
      <c r="E14" s="108"/>
      <c r="F14"/>
      <c r="G14"/>
      <c r="H14"/>
      <c r="I14"/>
      <c r="J14"/>
      <c r="K14"/>
      <c r="L14"/>
      <c r="M14"/>
      <c r="N14"/>
    </row>
    <row r="15" spans="1:14" x14ac:dyDescent="0.25">
      <c r="A15" s="298" t="s">
        <v>143</v>
      </c>
      <c r="B15" s="298"/>
      <c r="C15" s="298"/>
      <c r="D15" s="298"/>
      <c r="E15" s="298"/>
      <c r="F15" s="122"/>
      <c r="G15" s="122"/>
      <c r="H15" s="123"/>
      <c r="I15" s="124"/>
      <c r="J15" s="125"/>
      <c r="K15" s="126"/>
      <c r="L15" s="122"/>
      <c r="M15" s="127"/>
      <c r="N15" s="128"/>
    </row>
    <row r="16" spans="1:14" x14ac:dyDescent="0.25">
      <c r="A16" s="129"/>
      <c r="B16" s="130"/>
      <c r="C16" s="130"/>
      <c r="D16" s="130"/>
      <c r="E16" s="131" t="s">
        <v>144</v>
      </c>
      <c r="F16" s="78" t="s">
        <v>145</v>
      </c>
      <c r="G16" s="78"/>
      <c r="H16" s="131" t="s">
        <v>146</v>
      </c>
      <c r="I16" s="132">
        <f>F8</f>
        <v>2886421.9249915634</v>
      </c>
      <c r="J16" s="68" t="s">
        <v>147</v>
      </c>
      <c r="K16" s="133">
        <f>G48</f>
        <v>0</v>
      </c>
      <c r="L16" s="78" t="s">
        <v>148</v>
      </c>
      <c r="M16" s="134">
        <f>'Initial Inputs'!C24</f>
        <v>0.2</v>
      </c>
      <c r="N16" s="135" t="s">
        <v>149</v>
      </c>
    </row>
    <row r="17" spans="1:14" x14ac:dyDescent="0.25">
      <c r="A17" s="129"/>
      <c r="B17" s="130"/>
      <c r="C17" s="130"/>
      <c r="D17" s="130"/>
      <c r="E17" s="130"/>
      <c r="F17" s="78"/>
      <c r="G17" s="78"/>
      <c r="H17" s="131" t="s">
        <v>150</v>
      </c>
      <c r="I17" s="132">
        <f>(F8-G48)*'Initial Inputs'!C24</f>
        <v>577284.38499831269</v>
      </c>
      <c r="J17" s="68"/>
      <c r="K17" s="133"/>
      <c r="L17" s="78"/>
      <c r="M17" s="134"/>
      <c r="N17" s="135"/>
    </row>
    <row r="18" spans="1:14" x14ac:dyDescent="0.25">
      <c r="A18" s="129"/>
      <c r="B18" s="130"/>
      <c r="C18" s="130"/>
      <c r="D18" s="78"/>
      <c r="E18" s="131" t="s">
        <v>151</v>
      </c>
      <c r="F18" s="78" t="s">
        <v>152</v>
      </c>
      <c r="G18" s="78"/>
      <c r="H18" s="131" t="s">
        <v>150</v>
      </c>
      <c r="I18" s="132">
        <f>F8</f>
        <v>2886421.9249915634</v>
      </c>
      <c r="J18" s="68" t="s">
        <v>147</v>
      </c>
      <c r="K18" s="132">
        <f>I17</f>
        <v>577284.38499831269</v>
      </c>
      <c r="L18" s="78"/>
      <c r="M18" s="134"/>
      <c r="N18" s="135"/>
    </row>
    <row r="19" spans="1:14" x14ac:dyDescent="0.25">
      <c r="A19" s="136"/>
      <c r="B19" s="137"/>
      <c r="C19" s="137"/>
      <c r="D19" s="137"/>
      <c r="E19" s="138"/>
      <c r="F19" s="138"/>
      <c r="G19" s="139"/>
      <c r="H19" s="140" t="s">
        <v>150</v>
      </c>
      <c r="I19" s="139">
        <f>F8-I17</f>
        <v>2309137.5399932507</v>
      </c>
      <c r="J19" s="138"/>
      <c r="K19" s="138"/>
      <c r="L19" s="138"/>
      <c r="M19" s="138"/>
      <c r="N19" s="141"/>
    </row>
    <row r="20" spans="1:14" x14ac:dyDescent="0.25">
      <c r="A20" s="108"/>
      <c r="B20" s="108"/>
      <c r="C20" s="108"/>
      <c r="D20" s="108"/>
      <c r="E20" s="108"/>
      <c r="F20"/>
      <c r="G20"/>
      <c r="H20"/>
      <c r="I20"/>
      <c r="J20"/>
      <c r="K20"/>
      <c r="L20"/>
      <c r="M20"/>
      <c r="N20"/>
    </row>
    <row r="21" spans="1:14" x14ac:dyDescent="0.25">
      <c r="A21" s="298" t="s">
        <v>153</v>
      </c>
      <c r="B21" s="298"/>
      <c r="C21" s="298"/>
      <c r="D21" s="298"/>
      <c r="E21" s="298"/>
      <c r="F21" s="122" t="s">
        <v>154</v>
      </c>
      <c r="G21" s="122"/>
      <c r="H21" s="123"/>
      <c r="I21" s="124"/>
      <c r="J21" s="125"/>
      <c r="K21" s="126"/>
      <c r="L21" s="122"/>
      <c r="M21" s="127"/>
      <c r="N21" s="128"/>
    </row>
    <row r="22" spans="1:14" x14ac:dyDescent="0.25">
      <c r="A22" s="129"/>
      <c r="B22" s="130"/>
      <c r="C22" s="130"/>
      <c r="D22" s="130"/>
      <c r="E22" s="131" t="s">
        <v>144</v>
      </c>
      <c r="F22" s="78" t="s">
        <v>155</v>
      </c>
      <c r="G22" s="78"/>
      <c r="H22" s="131" t="s">
        <v>146</v>
      </c>
      <c r="I22" s="132">
        <f>F9</f>
        <v>2565708.3777702786</v>
      </c>
      <c r="J22" s="68" t="s">
        <v>147</v>
      </c>
      <c r="K22" s="133">
        <f>'Initial Inputs'!C16</f>
        <v>800000</v>
      </c>
      <c r="L22" s="78" t="s">
        <v>148</v>
      </c>
      <c r="M22" s="134">
        <f>'Initial Inputs'!C24</f>
        <v>0.2</v>
      </c>
      <c r="N22" s="135" t="s">
        <v>149</v>
      </c>
    </row>
    <row r="23" spans="1:14" x14ac:dyDescent="0.25">
      <c r="A23" s="129"/>
      <c r="B23" s="130"/>
      <c r="C23" s="130"/>
      <c r="D23" s="130"/>
      <c r="E23" s="130"/>
      <c r="F23" s="78"/>
      <c r="G23" s="78"/>
      <c r="H23" s="131" t="s">
        <v>150</v>
      </c>
      <c r="I23" s="132">
        <f>(F9-'Initial Inputs'!C16)*'Initial Inputs'!C24</f>
        <v>353141.67555405572</v>
      </c>
      <c r="J23" s="68"/>
      <c r="K23" s="133"/>
      <c r="L23" s="78"/>
      <c r="M23" s="134"/>
      <c r="N23" s="135"/>
    </row>
    <row r="24" spans="1:14" x14ac:dyDescent="0.25">
      <c r="A24" s="129"/>
      <c r="B24" s="130"/>
      <c r="C24" s="130"/>
      <c r="D24" s="78"/>
      <c r="E24" s="131" t="s">
        <v>151</v>
      </c>
      <c r="F24" s="78" t="s">
        <v>152</v>
      </c>
      <c r="G24" s="78"/>
      <c r="H24" s="131" t="s">
        <v>150</v>
      </c>
      <c r="I24" s="132">
        <f>F9</f>
        <v>2565708.3777702786</v>
      </c>
      <c r="J24" s="68" t="s">
        <v>147</v>
      </c>
      <c r="K24" s="132">
        <f>I23</f>
        <v>353141.67555405572</v>
      </c>
      <c r="L24" s="78"/>
      <c r="M24" s="134"/>
      <c r="N24" s="135"/>
    </row>
    <row r="25" spans="1:14" x14ac:dyDescent="0.25">
      <c r="A25" s="142"/>
      <c r="B25" s="138"/>
      <c r="C25" s="138"/>
      <c r="D25" s="137"/>
      <c r="E25" s="138"/>
      <c r="F25" s="138"/>
      <c r="G25" s="139"/>
      <c r="H25" s="140" t="s">
        <v>150</v>
      </c>
      <c r="I25" s="139">
        <f>F9-I23</f>
        <v>2212566.7022162229</v>
      </c>
      <c r="J25" s="138"/>
      <c r="K25" s="138"/>
      <c r="L25" s="138"/>
      <c r="M25" s="138"/>
      <c r="N25" s="141"/>
    </row>
    <row r="26" spans="1:14" x14ac:dyDescent="0.25">
      <c r="A26"/>
      <c r="B26" s="99"/>
      <c r="C26"/>
      <c r="D26"/>
      <c r="E26"/>
      <c r="F26"/>
      <c r="G26"/>
      <c r="I26" s="143"/>
    </row>
    <row r="27" spans="1:14" ht="26.4" x14ac:dyDescent="0.25">
      <c r="A27"/>
      <c r="B27" s="83" t="s">
        <v>114</v>
      </c>
      <c r="C27" s="84" t="s">
        <v>156</v>
      </c>
      <c r="D27" s="84" t="s">
        <v>157</v>
      </c>
      <c r="E27" s="84" t="s">
        <v>158</v>
      </c>
      <c r="F27" s="84" t="s">
        <v>159</v>
      </c>
      <c r="G27" s="144" t="s">
        <v>160</v>
      </c>
    </row>
    <row r="28" spans="1:14" x14ac:dyDescent="0.25">
      <c r="A28"/>
      <c r="B28" s="145"/>
      <c r="C28" s="146"/>
      <c r="D28" s="146"/>
      <c r="E28" s="146"/>
      <c r="F28" s="147"/>
      <c r="G28" s="148"/>
    </row>
    <row r="29" spans="1:14" x14ac:dyDescent="0.25">
      <c r="A29"/>
      <c r="B29" s="94">
        <v>1</v>
      </c>
      <c r="C29" s="149">
        <f>'Initial Inputs'!C11</f>
        <v>900000</v>
      </c>
      <c r="D29" s="150">
        <f t="shared" ref="D29:D48" si="0">$F$12</f>
        <v>0.05</v>
      </c>
      <c r="E29" s="149">
        <f t="shared" ref="E29:E48" si="1">$F$13</f>
        <v>45000</v>
      </c>
      <c r="F29" s="149">
        <f>E29</f>
        <v>45000</v>
      </c>
      <c r="G29" s="151">
        <f t="shared" ref="G29:G48" si="2">$C$29-F29</f>
        <v>855000</v>
      </c>
    </row>
    <row r="30" spans="1:14" x14ac:dyDescent="0.25">
      <c r="A30"/>
      <c r="B30" s="94">
        <v>2</v>
      </c>
      <c r="C30" s="149">
        <f t="shared" ref="C30:C48" si="3">G29</f>
        <v>855000</v>
      </c>
      <c r="D30" s="150">
        <f t="shared" si="0"/>
        <v>0.05</v>
      </c>
      <c r="E30" s="149">
        <f t="shared" si="1"/>
        <v>45000</v>
      </c>
      <c r="F30" s="149">
        <f t="shared" ref="F30:F48" si="4">E30+F29</f>
        <v>90000</v>
      </c>
      <c r="G30" s="151">
        <f t="shared" si="2"/>
        <v>810000</v>
      </c>
    </row>
    <row r="31" spans="1:14" x14ac:dyDescent="0.25">
      <c r="A31"/>
      <c r="B31" s="94">
        <v>3</v>
      </c>
      <c r="C31" s="149">
        <f t="shared" si="3"/>
        <v>810000</v>
      </c>
      <c r="D31" s="150">
        <f t="shared" si="0"/>
        <v>0.05</v>
      </c>
      <c r="E31" s="149">
        <f t="shared" si="1"/>
        <v>45000</v>
      </c>
      <c r="F31" s="149">
        <f t="shared" si="4"/>
        <v>135000</v>
      </c>
      <c r="G31" s="151">
        <f t="shared" si="2"/>
        <v>765000</v>
      </c>
    </row>
    <row r="32" spans="1:14" x14ac:dyDescent="0.25">
      <c r="A32"/>
      <c r="B32" s="152">
        <v>4</v>
      </c>
      <c r="C32" s="149">
        <f t="shared" si="3"/>
        <v>765000</v>
      </c>
      <c r="D32" s="150">
        <f t="shared" si="0"/>
        <v>0.05</v>
      </c>
      <c r="E32" s="149">
        <f t="shared" si="1"/>
        <v>45000</v>
      </c>
      <c r="F32" s="149">
        <f t="shared" si="4"/>
        <v>180000</v>
      </c>
      <c r="G32" s="151">
        <f t="shared" si="2"/>
        <v>720000</v>
      </c>
    </row>
    <row r="33" spans="1:7" x14ac:dyDescent="0.25">
      <c r="A33"/>
      <c r="B33" s="94">
        <v>5</v>
      </c>
      <c r="C33" s="149">
        <f t="shared" si="3"/>
        <v>720000</v>
      </c>
      <c r="D33" s="150">
        <f t="shared" si="0"/>
        <v>0.05</v>
      </c>
      <c r="E33" s="149">
        <f t="shared" si="1"/>
        <v>45000</v>
      </c>
      <c r="F33" s="149">
        <f t="shared" si="4"/>
        <v>225000</v>
      </c>
      <c r="G33" s="151">
        <f t="shared" si="2"/>
        <v>675000</v>
      </c>
    </row>
    <row r="34" spans="1:7" x14ac:dyDescent="0.25">
      <c r="A34"/>
      <c r="B34" s="152">
        <v>6</v>
      </c>
      <c r="C34" s="149">
        <f t="shared" si="3"/>
        <v>675000</v>
      </c>
      <c r="D34" s="150">
        <f t="shared" si="0"/>
        <v>0.05</v>
      </c>
      <c r="E34" s="149">
        <f t="shared" si="1"/>
        <v>45000</v>
      </c>
      <c r="F34" s="149">
        <f t="shared" si="4"/>
        <v>270000</v>
      </c>
      <c r="G34" s="151">
        <f t="shared" si="2"/>
        <v>630000</v>
      </c>
    </row>
    <row r="35" spans="1:7" x14ac:dyDescent="0.25">
      <c r="A35"/>
      <c r="B35" s="94">
        <v>7</v>
      </c>
      <c r="C35" s="149">
        <f t="shared" si="3"/>
        <v>630000</v>
      </c>
      <c r="D35" s="150">
        <f t="shared" si="0"/>
        <v>0.05</v>
      </c>
      <c r="E35" s="149">
        <f t="shared" si="1"/>
        <v>45000</v>
      </c>
      <c r="F35" s="149">
        <f t="shared" si="4"/>
        <v>315000</v>
      </c>
      <c r="G35" s="151">
        <f t="shared" si="2"/>
        <v>585000</v>
      </c>
    </row>
    <row r="36" spans="1:7" x14ac:dyDescent="0.25">
      <c r="A36"/>
      <c r="B36" s="152">
        <v>8</v>
      </c>
      <c r="C36" s="149">
        <f t="shared" si="3"/>
        <v>585000</v>
      </c>
      <c r="D36" s="150">
        <f t="shared" si="0"/>
        <v>0.05</v>
      </c>
      <c r="E36" s="149">
        <f t="shared" si="1"/>
        <v>45000</v>
      </c>
      <c r="F36" s="149">
        <f t="shared" si="4"/>
        <v>360000</v>
      </c>
      <c r="G36" s="151">
        <f t="shared" si="2"/>
        <v>540000</v>
      </c>
    </row>
    <row r="37" spans="1:7" x14ac:dyDescent="0.25">
      <c r="A37"/>
      <c r="B37" s="94">
        <v>9</v>
      </c>
      <c r="C37" s="149">
        <f t="shared" si="3"/>
        <v>540000</v>
      </c>
      <c r="D37" s="150">
        <f t="shared" si="0"/>
        <v>0.05</v>
      </c>
      <c r="E37" s="149">
        <f t="shared" si="1"/>
        <v>45000</v>
      </c>
      <c r="F37" s="149">
        <f t="shared" si="4"/>
        <v>405000</v>
      </c>
      <c r="G37" s="151">
        <f t="shared" si="2"/>
        <v>495000</v>
      </c>
    </row>
    <row r="38" spans="1:7" x14ac:dyDescent="0.25">
      <c r="A38"/>
      <c r="B38" s="152">
        <v>10</v>
      </c>
      <c r="C38" s="149">
        <f t="shared" si="3"/>
        <v>495000</v>
      </c>
      <c r="D38" s="150">
        <f t="shared" si="0"/>
        <v>0.05</v>
      </c>
      <c r="E38" s="149">
        <f t="shared" si="1"/>
        <v>45000</v>
      </c>
      <c r="F38" s="149">
        <f t="shared" si="4"/>
        <v>450000</v>
      </c>
      <c r="G38" s="151">
        <f t="shared" si="2"/>
        <v>450000</v>
      </c>
    </row>
    <row r="39" spans="1:7" x14ac:dyDescent="0.25">
      <c r="A39"/>
      <c r="B39" s="94">
        <v>11</v>
      </c>
      <c r="C39" s="149">
        <f t="shared" si="3"/>
        <v>450000</v>
      </c>
      <c r="D39" s="150">
        <f t="shared" si="0"/>
        <v>0.05</v>
      </c>
      <c r="E39" s="149">
        <f t="shared" si="1"/>
        <v>45000</v>
      </c>
      <c r="F39" s="149">
        <f t="shared" si="4"/>
        <v>495000</v>
      </c>
      <c r="G39" s="151">
        <f t="shared" si="2"/>
        <v>405000</v>
      </c>
    </row>
    <row r="40" spans="1:7" x14ac:dyDescent="0.25">
      <c r="A40"/>
      <c r="B40" s="152">
        <v>12</v>
      </c>
      <c r="C40" s="149">
        <f t="shared" si="3"/>
        <v>405000</v>
      </c>
      <c r="D40" s="150">
        <f t="shared" si="0"/>
        <v>0.05</v>
      </c>
      <c r="E40" s="149">
        <f t="shared" si="1"/>
        <v>45000</v>
      </c>
      <c r="F40" s="149">
        <f t="shared" si="4"/>
        <v>540000</v>
      </c>
      <c r="G40" s="151">
        <f t="shared" si="2"/>
        <v>360000</v>
      </c>
    </row>
    <row r="41" spans="1:7" x14ac:dyDescent="0.25">
      <c r="A41"/>
      <c r="B41" s="94">
        <v>13</v>
      </c>
      <c r="C41" s="149">
        <f t="shared" si="3"/>
        <v>360000</v>
      </c>
      <c r="D41" s="150">
        <f t="shared" si="0"/>
        <v>0.05</v>
      </c>
      <c r="E41" s="149">
        <f t="shared" si="1"/>
        <v>45000</v>
      </c>
      <c r="F41" s="149">
        <f t="shared" si="4"/>
        <v>585000</v>
      </c>
      <c r="G41" s="151">
        <f t="shared" si="2"/>
        <v>315000</v>
      </c>
    </row>
    <row r="42" spans="1:7" x14ac:dyDescent="0.25">
      <c r="A42"/>
      <c r="B42" s="152">
        <v>14</v>
      </c>
      <c r="C42" s="149">
        <f t="shared" si="3"/>
        <v>315000</v>
      </c>
      <c r="D42" s="150">
        <f t="shared" si="0"/>
        <v>0.05</v>
      </c>
      <c r="E42" s="149">
        <f t="shared" si="1"/>
        <v>45000</v>
      </c>
      <c r="F42" s="149">
        <f t="shared" si="4"/>
        <v>630000</v>
      </c>
      <c r="G42" s="151">
        <f t="shared" si="2"/>
        <v>270000</v>
      </c>
    </row>
    <row r="43" spans="1:7" x14ac:dyDescent="0.25">
      <c r="A43"/>
      <c r="B43" s="94">
        <v>15</v>
      </c>
      <c r="C43" s="149">
        <f t="shared" si="3"/>
        <v>270000</v>
      </c>
      <c r="D43" s="150">
        <f t="shared" si="0"/>
        <v>0.05</v>
      </c>
      <c r="E43" s="149">
        <f t="shared" si="1"/>
        <v>45000</v>
      </c>
      <c r="F43" s="149">
        <f t="shared" si="4"/>
        <v>675000</v>
      </c>
      <c r="G43" s="151">
        <f t="shared" si="2"/>
        <v>225000</v>
      </c>
    </row>
    <row r="44" spans="1:7" x14ac:dyDescent="0.25">
      <c r="A44"/>
      <c r="B44" s="152">
        <v>16</v>
      </c>
      <c r="C44" s="149">
        <f t="shared" si="3"/>
        <v>225000</v>
      </c>
      <c r="D44" s="150">
        <f t="shared" si="0"/>
        <v>0.05</v>
      </c>
      <c r="E44" s="149">
        <f t="shared" si="1"/>
        <v>45000</v>
      </c>
      <c r="F44" s="149">
        <f t="shared" si="4"/>
        <v>720000</v>
      </c>
      <c r="G44" s="151">
        <f t="shared" si="2"/>
        <v>180000</v>
      </c>
    </row>
    <row r="45" spans="1:7" x14ac:dyDescent="0.25">
      <c r="A45"/>
      <c r="B45" s="94">
        <v>17</v>
      </c>
      <c r="C45" s="149">
        <f t="shared" si="3"/>
        <v>180000</v>
      </c>
      <c r="D45" s="150">
        <f t="shared" si="0"/>
        <v>0.05</v>
      </c>
      <c r="E45" s="149">
        <f t="shared" si="1"/>
        <v>45000</v>
      </c>
      <c r="F45" s="149">
        <f t="shared" si="4"/>
        <v>765000</v>
      </c>
      <c r="G45" s="151">
        <f t="shared" si="2"/>
        <v>135000</v>
      </c>
    </row>
    <row r="46" spans="1:7" x14ac:dyDescent="0.25">
      <c r="A46"/>
      <c r="B46" s="152">
        <v>18</v>
      </c>
      <c r="C46" s="149">
        <f t="shared" si="3"/>
        <v>135000</v>
      </c>
      <c r="D46" s="150">
        <f t="shared" si="0"/>
        <v>0.05</v>
      </c>
      <c r="E46" s="149">
        <f t="shared" si="1"/>
        <v>45000</v>
      </c>
      <c r="F46" s="149">
        <f t="shared" si="4"/>
        <v>810000</v>
      </c>
      <c r="G46" s="151">
        <f t="shared" si="2"/>
        <v>90000</v>
      </c>
    </row>
    <row r="47" spans="1:7" x14ac:dyDescent="0.25">
      <c r="A47"/>
      <c r="B47" s="94">
        <v>19</v>
      </c>
      <c r="C47" s="149">
        <f t="shared" si="3"/>
        <v>90000</v>
      </c>
      <c r="D47" s="150">
        <f t="shared" si="0"/>
        <v>0.05</v>
      </c>
      <c r="E47" s="149">
        <f t="shared" si="1"/>
        <v>45000</v>
      </c>
      <c r="F47" s="149">
        <f t="shared" si="4"/>
        <v>855000</v>
      </c>
      <c r="G47" s="151">
        <f t="shared" si="2"/>
        <v>45000</v>
      </c>
    </row>
    <row r="48" spans="1:7" x14ac:dyDescent="0.25">
      <c r="A48"/>
      <c r="B48" s="152">
        <v>20</v>
      </c>
      <c r="C48" s="149">
        <f t="shared" si="3"/>
        <v>45000</v>
      </c>
      <c r="D48" s="153">
        <f t="shared" si="0"/>
        <v>0.05</v>
      </c>
      <c r="E48" s="149">
        <f t="shared" si="1"/>
        <v>45000</v>
      </c>
      <c r="F48" s="149">
        <f t="shared" si="4"/>
        <v>900000</v>
      </c>
      <c r="G48" s="151">
        <f t="shared" si="2"/>
        <v>0</v>
      </c>
    </row>
    <row r="49" spans="1:7" x14ac:dyDescent="0.25">
      <c r="A49"/>
      <c r="B49" s="154" t="s">
        <v>161</v>
      </c>
      <c r="C49" s="155"/>
      <c r="D49" s="155"/>
      <c r="E49" s="156">
        <f>SUM(E29:E48)</f>
        <v>900000</v>
      </c>
      <c r="F49" s="155"/>
      <c r="G49" s="157"/>
    </row>
    <row r="50" spans="1:7" x14ac:dyDescent="0.25">
      <c r="A50"/>
      <c r="B50"/>
    </row>
    <row r="51" spans="1:7" x14ac:dyDescent="0.25">
      <c r="A51" s="158" t="s">
        <v>162</v>
      </c>
      <c r="B51" s="63" t="s">
        <v>163</v>
      </c>
    </row>
  </sheetData>
  <mergeCells count="10">
    <mergeCell ref="A3:E3"/>
    <mergeCell ref="A4:E4"/>
    <mergeCell ref="A5:E5"/>
    <mergeCell ref="A8:E8"/>
    <mergeCell ref="A9:E9"/>
    <mergeCell ref="A11:E11"/>
    <mergeCell ref="A12:E12"/>
    <mergeCell ref="A13:E13"/>
    <mergeCell ref="A15:E15"/>
    <mergeCell ref="A21:E21"/>
  </mergeCells>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33"/>
  <sheetViews>
    <sheetView zoomScaleNormal="100" workbookViewId="0">
      <pane xSplit="3" ySplit="3" topLeftCell="S4" activePane="bottomRight" state="frozen"/>
      <selection pane="topRight" activeCell="P1" sqref="P1"/>
      <selection pane="bottomLeft" activeCell="A4" sqref="A4"/>
      <selection pane="bottomRight" activeCell="U8" sqref="U8"/>
    </sheetView>
  </sheetViews>
  <sheetFormatPr defaultColWidth="8.77734375" defaultRowHeight="13.2" x14ac:dyDescent="0.25"/>
  <cols>
    <col min="1" max="1" width="11.109375" style="159"/>
    <col min="2" max="2" width="7.33203125" style="159"/>
    <col min="3" max="3" width="23.33203125" style="159"/>
    <col min="4" max="24" width="10.44140625" style="159"/>
    <col min="25" max="25" width="13.109375" style="159"/>
    <col min="26" max="1025" width="11.109375" style="159"/>
  </cols>
  <sheetData>
    <row r="1" spans="1:26" ht="15.6" x14ac:dyDescent="0.3">
      <c r="A1" s="160" t="s">
        <v>164</v>
      </c>
      <c r="B1"/>
      <c r="C1"/>
      <c r="D1"/>
      <c r="E1"/>
      <c r="F1"/>
      <c r="G1"/>
      <c r="H1"/>
      <c r="I1"/>
      <c r="J1"/>
      <c r="K1"/>
      <c r="L1"/>
      <c r="M1"/>
      <c r="N1"/>
      <c r="O1"/>
      <c r="P1"/>
      <c r="Q1"/>
      <c r="R1"/>
      <c r="S1"/>
      <c r="T1"/>
      <c r="U1"/>
      <c r="V1"/>
      <c r="W1"/>
      <c r="X1"/>
      <c r="Y1"/>
      <c r="Z1"/>
    </row>
    <row r="2" spans="1:26" x14ac:dyDescent="0.25">
      <c r="B2"/>
      <c r="C2"/>
      <c r="D2"/>
      <c r="E2"/>
      <c r="F2"/>
      <c r="G2"/>
      <c r="H2"/>
      <c r="I2"/>
      <c r="J2"/>
      <c r="K2"/>
      <c r="L2"/>
      <c r="M2"/>
      <c r="N2"/>
      <c r="O2"/>
      <c r="P2"/>
      <c r="Q2"/>
      <c r="R2"/>
      <c r="S2"/>
      <c r="T2"/>
      <c r="U2"/>
      <c r="V2"/>
      <c r="W2"/>
      <c r="X2"/>
      <c r="Y2"/>
      <c r="Z2"/>
    </row>
    <row r="3" spans="1:26" x14ac:dyDescent="0.25">
      <c r="B3" s="161"/>
      <c r="C3" s="162"/>
      <c r="D3" s="163">
        <v>0</v>
      </c>
      <c r="E3" s="163">
        <v>1</v>
      </c>
      <c r="F3" s="163">
        <v>2</v>
      </c>
      <c r="G3" s="164">
        <v>3</v>
      </c>
      <c r="H3" s="163">
        <v>4</v>
      </c>
      <c r="I3" s="164">
        <v>5</v>
      </c>
      <c r="J3" s="163">
        <v>6</v>
      </c>
      <c r="K3" s="164">
        <v>7</v>
      </c>
      <c r="L3" s="163">
        <v>8</v>
      </c>
      <c r="M3" s="164">
        <v>9</v>
      </c>
      <c r="N3" s="163">
        <v>10</v>
      </c>
      <c r="O3" s="164">
        <v>11</v>
      </c>
      <c r="P3" s="163">
        <v>12</v>
      </c>
      <c r="Q3" s="164">
        <v>13</v>
      </c>
      <c r="R3" s="163">
        <v>14</v>
      </c>
      <c r="S3" s="164">
        <v>15</v>
      </c>
      <c r="T3" s="163">
        <v>16</v>
      </c>
      <c r="U3" s="164">
        <v>17</v>
      </c>
      <c r="V3" s="163">
        <v>18</v>
      </c>
      <c r="W3" s="164">
        <v>19</v>
      </c>
      <c r="X3" s="164">
        <v>20</v>
      </c>
      <c r="Y3" s="165" t="s">
        <v>165</v>
      </c>
      <c r="Z3"/>
    </row>
    <row r="4" spans="1:26" x14ac:dyDescent="0.25">
      <c r="B4" s="166">
        <v>1</v>
      </c>
      <c r="C4" s="167" t="s">
        <v>166</v>
      </c>
      <c r="D4" s="168"/>
      <c r="E4" s="168">
        <f>Income!C11*(1+Income!C13)*Income!C15</f>
        <v>184032</v>
      </c>
      <c r="F4" s="168">
        <f>E4*(1+Income!$C$13)</f>
        <v>195994.08</v>
      </c>
      <c r="G4" s="168">
        <f>F4*(1+Income!$C$13)</f>
        <v>208733.69519999999</v>
      </c>
      <c r="H4" s="168">
        <f>G4*(1+Income!$C$13)</f>
        <v>222301.38538799997</v>
      </c>
      <c r="I4" s="168">
        <f>H4*(1+Income!$C$13)</f>
        <v>236750.97543821996</v>
      </c>
      <c r="J4" s="168">
        <f>I4*(1+Income!$C$13)</f>
        <v>252139.78884170426</v>
      </c>
      <c r="K4" s="168">
        <f>J4*(1+Income!$C$13)</f>
        <v>268528.87511641503</v>
      </c>
      <c r="L4" s="168">
        <f>K4*(1+Income!$C$13)</f>
        <v>285983.25199898198</v>
      </c>
      <c r="M4" s="168">
        <f>L4*(1+Income!$C$13)</f>
        <v>304572.16337891581</v>
      </c>
      <c r="N4" s="168">
        <f>M4*(1+Income!$C$13)</f>
        <v>324369.35399854532</v>
      </c>
      <c r="O4" s="168">
        <f>N4*(1+Income!$C$13)</f>
        <v>345453.36200845073</v>
      </c>
      <c r="P4" s="168">
        <f>O4*(1+Income!$C$13)</f>
        <v>367907.83053899999</v>
      </c>
      <c r="Q4" s="168">
        <f>P4*(1+Income!$C$13)</f>
        <v>391821.83952403499</v>
      </c>
      <c r="R4" s="168">
        <f>Q4*(1+Income!$C$13)</f>
        <v>417290.25909309724</v>
      </c>
      <c r="S4" s="168">
        <f>R4*(1+Income!$C$13)</f>
        <v>444414.12593414856</v>
      </c>
      <c r="T4" s="168">
        <f>S4*(1+Income!$C$13)</f>
        <v>473301.04411986819</v>
      </c>
      <c r="U4" s="168">
        <f>T4*(1+Income!$C$13)</f>
        <v>504065.61198765959</v>
      </c>
      <c r="V4" s="168">
        <f>U4*(1+Income!$C$13)</f>
        <v>536829.87676685746</v>
      </c>
      <c r="W4" s="168">
        <f>V4*(1+Income!$C$13)</f>
        <v>571723.81875670317</v>
      </c>
      <c r="X4" s="168">
        <f>W4*(1+Income!$C$13)</f>
        <v>608885.86697588884</v>
      </c>
      <c r="Y4" s="169">
        <f t="shared" ref="Y4:Y14" si="0">SUM(D4:X4)</f>
        <v>7145099.2050664918</v>
      </c>
      <c r="Z4"/>
    </row>
    <row r="5" spans="1:26" x14ac:dyDescent="0.25">
      <c r="B5" s="170">
        <f t="shared" ref="B5:B15" si="1">1+B4</f>
        <v>2</v>
      </c>
      <c r="C5" s="171" t="s">
        <v>167</v>
      </c>
      <c r="D5" s="172"/>
      <c r="E5" s="172">
        <f>-Expenses!C18*(1+Expenses!C20)</f>
        <v>-30240</v>
      </c>
      <c r="F5" s="172">
        <f>E5*(1+Expenses!$C$20)</f>
        <v>-31752</v>
      </c>
      <c r="G5" s="172">
        <f>F5*(1+Expenses!$C$20)</f>
        <v>-33339.599999999999</v>
      </c>
      <c r="H5" s="172">
        <f>G5*(1+Expenses!$C$20)</f>
        <v>-35006.58</v>
      </c>
      <c r="I5" s="172">
        <f>H5*(1+Expenses!$C$20)</f>
        <v>-36756.909000000007</v>
      </c>
      <c r="J5" s="172">
        <f>I5*(1+Expenses!$C$20)</f>
        <v>-38594.754450000008</v>
      </c>
      <c r="K5" s="172">
        <f>J5*(1+Expenses!$C$20)</f>
        <v>-40524.492172500009</v>
      </c>
      <c r="L5" s="172">
        <f>K5*(1+Expenses!$C$20)</f>
        <v>-42550.716781125011</v>
      </c>
      <c r="M5" s="172">
        <f>L5*(1+Expenses!$C$20)</f>
        <v>-44678.252620181265</v>
      </c>
      <c r="N5" s="172">
        <f>M5*(1+Expenses!$C$20)</f>
        <v>-46912.16525119033</v>
      </c>
      <c r="O5" s="172">
        <f>N5*(1+Expenses!$C$20)</f>
        <v>-49257.773513749846</v>
      </c>
      <c r="P5" s="172">
        <f>O5*(1+Expenses!$C$20)</f>
        <v>-51720.662189437338</v>
      </c>
      <c r="Q5" s="172">
        <f>P5*(1+Expenses!$C$20)</f>
        <v>-54306.69529890921</v>
      </c>
      <c r="R5" s="172">
        <f>Q5*(1+Expenses!$C$20)</f>
        <v>-57022.030063854676</v>
      </c>
      <c r="S5" s="172">
        <f>R5*(1+Expenses!$C$20)</f>
        <v>-59873.131567047414</v>
      </c>
      <c r="T5" s="172">
        <f>S5*(1+Expenses!$C$20)</f>
        <v>-62866.788145399791</v>
      </c>
      <c r="U5" s="172">
        <f>T5*(1+Expenses!$C$20)</f>
        <v>-66010.127552669786</v>
      </c>
      <c r="V5" s="172">
        <f>U5*(1+Expenses!$C$20)</f>
        <v>-69310.633930303273</v>
      </c>
      <c r="W5" s="172">
        <f>V5*(1+Expenses!$C$20)</f>
        <v>-72776.165626818445</v>
      </c>
      <c r="X5" s="172">
        <f>W5*(1+Expenses!$C$20)</f>
        <v>-76414.973908159373</v>
      </c>
      <c r="Y5" s="173">
        <f t="shared" si="0"/>
        <v>-999914.45207134564</v>
      </c>
      <c r="Z5"/>
    </row>
    <row r="6" spans="1:26" x14ac:dyDescent="0.25">
      <c r="B6" s="170">
        <f t="shared" si="1"/>
        <v>3</v>
      </c>
      <c r="C6" s="171" t="s">
        <v>168</v>
      </c>
      <c r="D6" s="172">
        <f t="shared" ref="D6:X6" si="2">D4+D5</f>
        <v>0</v>
      </c>
      <c r="E6" s="172">
        <f t="shared" si="2"/>
        <v>153792</v>
      </c>
      <c r="F6" s="172">
        <f t="shared" si="2"/>
        <v>164242.07999999999</v>
      </c>
      <c r="G6" s="172">
        <f t="shared" si="2"/>
        <v>175394.09519999998</v>
      </c>
      <c r="H6" s="172">
        <f t="shared" si="2"/>
        <v>187294.80538799998</v>
      </c>
      <c r="I6" s="172">
        <f t="shared" si="2"/>
        <v>199994.06643821995</v>
      </c>
      <c r="J6" s="172">
        <f t="shared" si="2"/>
        <v>213545.03439170425</v>
      </c>
      <c r="K6" s="172">
        <f t="shared" si="2"/>
        <v>228004.38294391503</v>
      </c>
      <c r="L6" s="172">
        <f t="shared" si="2"/>
        <v>243432.53521785699</v>
      </c>
      <c r="M6" s="172">
        <f t="shared" si="2"/>
        <v>259893.91075873454</v>
      </c>
      <c r="N6" s="172">
        <f t="shared" si="2"/>
        <v>277457.18874735502</v>
      </c>
      <c r="O6" s="172">
        <f t="shared" si="2"/>
        <v>296195.5884947009</v>
      </c>
      <c r="P6" s="172">
        <f t="shared" si="2"/>
        <v>316187.16834956268</v>
      </c>
      <c r="Q6" s="172">
        <f t="shared" si="2"/>
        <v>337515.14422512578</v>
      </c>
      <c r="R6" s="172">
        <f t="shared" si="2"/>
        <v>360268.22902924253</v>
      </c>
      <c r="S6" s="172">
        <f t="shared" si="2"/>
        <v>384540.99436710111</v>
      </c>
      <c r="T6" s="172">
        <f t="shared" si="2"/>
        <v>410434.25597446843</v>
      </c>
      <c r="U6" s="172">
        <f t="shared" si="2"/>
        <v>438055.4844349898</v>
      </c>
      <c r="V6" s="172">
        <f t="shared" si="2"/>
        <v>467519.24283655419</v>
      </c>
      <c r="W6" s="172">
        <f t="shared" si="2"/>
        <v>498947.65312988474</v>
      </c>
      <c r="X6" s="172">
        <f t="shared" si="2"/>
        <v>532470.89306772943</v>
      </c>
      <c r="Y6" s="173">
        <f t="shared" si="0"/>
        <v>6145184.7529951464</v>
      </c>
      <c r="Z6"/>
    </row>
    <row r="7" spans="1:26" x14ac:dyDescent="0.25">
      <c r="B7" s="170">
        <f t="shared" si="1"/>
        <v>4</v>
      </c>
      <c r="C7" s="171" t="s">
        <v>169</v>
      </c>
      <c r="D7" s="172"/>
      <c r="E7" s="174">
        <f>-'Cap &amp; Depr'!$F$13</f>
        <v>-45000</v>
      </c>
      <c r="F7" s="174">
        <f>-'Cap &amp; Depr'!$F$13</f>
        <v>-45000</v>
      </c>
      <c r="G7" s="174">
        <f>-'Cap &amp; Depr'!$F$13</f>
        <v>-45000</v>
      </c>
      <c r="H7" s="174">
        <f>-'Cap &amp; Depr'!$F$13</f>
        <v>-45000</v>
      </c>
      <c r="I7" s="174">
        <f>-'Cap &amp; Depr'!$F$13</f>
        <v>-45000</v>
      </c>
      <c r="J7" s="174">
        <f>-'Cap &amp; Depr'!$F$13</f>
        <v>-45000</v>
      </c>
      <c r="K7" s="174">
        <f>-'Cap &amp; Depr'!$F$13</f>
        <v>-45000</v>
      </c>
      <c r="L7" s="174">
        <f>-'Cap &amp; Depr'!$F$13</f>
        <v>-45000</v>
      </c>
      <c r="M7" s="174">
        <f>-'Cap &amp; Depr'!$F$13</f>
        <v>-45000</v>
      </c>
      <c r="N7" s="174">
        <f>-'Cap &amp; Depr'!$F$13</f>
        <v>-45000</v>
      </c>
      <c r="O7" s="174">
        <f>-'Cap &amp; Depr'!$F$13</f>
        <v>-45000</v>
      </c>
      <c r="P7" s="174">
        <f>-'Cap &amp; Depr'!$F$13</f>
        <v>-45000</v>
      </c>
      <c r="Q7" s="174">
        <f>-'Cap &amp; Depr'!$F$13</f>
        <v>-45000</v>
      </c>
      <c r="R7" s="174">
        <f>-'Cap &amp; Depr'!$F$13</f>
        <v>-45000</v>
      </c>
      <c r="S7" s="174">
        <f>-'Cap &amp; Depr'!$F$13</f>
        <v>-45000</v>
      </c>
      <c r="T7" s="174">
        <f>-'Cap &amp; Depr'!$F$13</f>
        <v>-45000</v>
      </c>
      <c r="U7" s="174">
        <f>-'Cap &amp; Depr'!$F$13</f>
        <v>-45000</v>
      </c>
      <c r="V7" s="174">
        <f>-'Cap &amp; Depr'!$F$13</f>
        <v>-45000</v>
      </c>
      <c r="W7" s="174">
        <f>-'Cap &amp; Depr'!$F$13</f>
        <v>-45000</v>
      </c>
      <c r="X7" s="174">
        <f>-'Cap &amp; Depr'!$F$13</f>
        <v>-45000</v>
      </c>
      <c r="Y7" s="173">
        <f t="shared" si="0"/>
        <v>-900000</v>
      </c>
      <c r="Z7"/>
    </row>
    <row r="8" spans="1:26" x14ac:dyDescent="0.25">
      <c r="B8" s="170">
        <f t="shared" si="1"/>
        <v>5</v>
      </c>
      <c r="C8" s="171" t="s">
        <v>168</v>
      </c>
      <c r="D8" s="172">
        <f t="shared" ref="D8:X8" si="3">D6+D7</f>
        <v>0</v>
      </c>
      <c r="E8" s="175">
        <f t="shared" si="3"/>
        <v>108792</v>
      </c>
      <c r="F8" s="172">
        <f t="shared" si="3"/>
        <v>119242.07999999999</v>
      </c>
      <c r="G8" s="172">
        <f t="shared" si="3"/>
        <v>130394.09519999998</v>
      </c>
      <c r="H8" s="172">
        <f t="shared" si="3"/>
        <v>142294.80538799998</v>
      </c>
      <c r="I8" s="172">
        <f t="shared" si="3"/>
        <v>154994.06643821995</v>
      </c>
      <c r="J8" s="172">
        <f t="shared" si="3"/>
        <v>168545.03439170425</v>
      </c>
      <c r="K8" s="172">
        <f t="shared" si="3"/>
        <v>183004.38294391503</v>
      </c>
      <c r="L8" s="172">
        <f t="shared" si="3"/>
        <v>198432.53521785699</v>
      </c>
      <c r="M8" s="172">
        <f t="shared" si="3"/>
        <v>214893.91075873454</v>
      </c>
      <c r="N8" s="172">
        <f t="shared" si="3"/>
        <v>232457.18874735502</v>
      </c>
      <c r="O8" s="172">
        <f t="shared" si="3"/>
        <v>251195.5884947009</v>
      </c>
      <c r="P8" s="172">
        <f t="shared" si="3"/>
        <v>271187.16834956268</v>
      </c>
      <c r="Q8" s="172">
        <f t="shared" si="3"/>
        <v>292515.14422512578</v>
      </c>
      <c r="R8" s="172">
        <f t="shared" si="3"/>
        <v>315268.22902924253</v>
      </c>
      <c r="S8" s="172">
        <f t="shared" si="3"/>
        <v>339540.99436710111</v>
      </c>
      <c r="T8" s="172">
        <f t="shared" si="3"/>
        <v>365434.25597446843</v>
      </c>
      <c r="U8" s="172">
        <f t="shared" si="3"/>
        <v>393055.4844349898</v>
      </c>
      <c r="V8" s="172">
        <f t="shared" si="3"/>
        <v>422519.24283655419</v>
      </c>
      <c r="W8" s="172">
        <f t="shared" si="3"/>
        <v>453947.65312988474</v>
      </c>
      <c r="X8" s="172">
        <f t="shared" si="3"/>
        <v>487470.89306772943</v>
      </c>
      <c r="Y8" s="173">
        <f t="shared" si="0"/>
        <v>5245184.7529951455</v>
      </c>
      <c r="Z8"/>
    </row>
    <row r="9" spans="1:26" x14ac:dyDescent="0.25">
      <c r="B9" s="170">
        <f t="shared" si="1"/>
        <v>6</v>
      </c>
      <c r="C9" s="171" t="s">
        <v>170</v>
      </c>
      <c r="D9" s="172"/>
      <c r="E9" s="172">
        <f>-Mortgage!E9</f>
        <v>-81600</v>
      </c>
      <c r="F9" s="174">
        <f>-Mortgage!E10</f>
        <v>-79381.740150688915</v>
      </c>
      <c r="G9" s="174">
        <f>-Mortgage!E11</f>
        <v>-77030.384710419166</v>
      </c>
      <c r="H9" s="174">
        <f>-Mortgage!E12</f>
        <v>-74537.947943733248</v>
      </c>
      <c r="I9" s="174">
        <f>-Mortgage!E13</f>
        <v>-71895.964971046167</v>
      </c>
      <c r="J9" s="174">
        <f>-Mortgage!E14</f>
        <v>-69095.463019997856</v>
      </c>
      <c r="K9" s="174">
        <f>-Mortgage!E15</f>
        <v>-66126.930951886636</v>
      </c>
      <c r="L9" s="174">
        <f>-Mortgage!E16</f>
        <v>-62980.286959688754</v>
      </c>
      <c r="M9" s="174">
        <f>-Mortgage!E17</f>
        <v>-59644.844327958999</v>
      </c>
      <c r="N9" s="174">
        <f>-Mortgage!E18</f>
        <v>-56109.275138325458</v>
      </c>
      <c r="O9" s="174">
        <f>-Mortgage!E19</f>
        <v>-52361.571797313911</v>
      </c>
      <c r="P9" s="174">
        <f>-Mortgage!E20</f>
        <v>-48389.006255841668</v>
      </c>
      <c r="Q9" s="174">
        <f>-Mortgage!E21</f>
        <v>-44178.086781881088</v>
      </c>
      <c r="R9" s="174">
        <f>-Mortgage!E22</f>
        <v>-39714.512139482882</v>
      </c>
      <c r="S9" s="174">
        <f>-Mortgage!E23</f>
        <v>-34983.123018540769</v>
      </c>
      <c r="T9" s="174">
        <f>-Mortgage!E24</f>
        <v>-29967.850550342137</v>
      </c>
      <c r="U9" s="174">
        <f>-Mortgage!E25</f>
        <v>-24651.661734051588</v>
      </c>
      <c r="V9" s="174">
        <f>-Mortgage!E26</f>
        <v>-19016.501588783602</v>
      </c>
      <c r="W9" s="174">
        <f>-Mortgage!E27</f>
        <v>-13043.231834799541</v>
      </c>
      <c r="X9" s="174">
        <f>-Mortgage!E28</f>
        <v>-6711.5658955764357</v>
      </c>
      <c r="Y9" s="173">
        <f t="shared" si="0"/>
        <v>-1011419.9497703586</v>
      </c>
      <c r="Z9"/>
    </row>
    <row r="10" spans="1:26" x14ac:dyDescent="0.25">
      <c r="B10" s="170">
        <f t="shared" si="1"/>
        <v>7</v>
      </c>
      <c r="C10" s="171" t="s">
        <v>171</v>
      </c>
      <c r="D10" s="172">
        <f t="shared" ref="D10:X10" si="4">D8+D9</f>
        <v>0</v>
      </c>
      <c r="E10" s="172">
        <f t="shared" si="4"/>
        <v>27192</v>
      </c>
      <c r="F10" s="172">
        <f t="shared" si="4"/>
        <v>39860.339849311073</v>
      </c>
      <c r="G10" s="172">
        <f t="shared" si="4"/>
        <v>53363.710489580815</v>
      </c>
      <c r="H10" s="172">
        <f t="shared" si="4"/>
        <v>67756.85744426673</v>
      </c>
      <c r="I10" s="172">
        <f t="shared" si="4"/>
        <v>83098.101467173779</v>
      </c>
      <c r="J10" s="172">
        <f t="shared" si="4"/>
        <v>99449.571371706392</v>
      </c>
      <c r="K10" s="172">
        <f t="shared" si="4"/>
        <v>116877.45199202839</v>
      </c>
      <c r="L10" s="172">
        <f t="shared" si="4"/>
        <v>135452.24825816823</v>
      </c>
      <c r="M10" s="172">
        <f t="shared" si="4"/>
        <v>155249.06643077554</v>
      </c>
      <c r="N10" s="172">
        <f t="shared" si="4"/>
        <v>176347.91360902955</v>
      </c>
      <c r="O10" s="172">
        <f t="shared" si="4"/>
        <v>198834.01669738698</v>
      </c>
      <c r="P10" s="172">
        <f t="shared" si="4"/>
        <v>222798.16209372101</v>
      </c>
      <c r="Q10" s="172">
        <f t="shared" si="4"/>
        <v>248337.0574432447</v>
      </c>
      <c r="R10" s="172">
        <f t="shared" si="4"/>
        <v>275553.71688975964</v>
      </c>
      <c r="S10" s="172">
        <f t="shared" si="4"/>
        <v>304557.87134856032</v>
      </c>
      <c r="T10" s="172">
        <f t="shared" si="4"/>
        <v>335466.40542412631</v>
      </c>
      <c r="U10" s="172">
        <f t="shared" si="4"/>
        <v>368403.82270093821</v>
      </c>
      <c r="V10" s="172">
        <f t="shared" si="4"/>
        <v>403502.74124777061</v>
      </c>
      <c r="W10" s="172">
        <f t="shared" si="4"/>
        <v>440904.42129508522</v>
      </c>
      <c r="X10" s="172">
        <f t="shared" si="4"/>
        <v>480759.32717215299</v>
      </c>
      <c r="Y10" s="173">
        <f t="shared" si="0"/>
        <v>4233764.8032247862</v>
      </c>
      <c r="Z10"/>
    </row>
    <row r="11" spans="1:26" x14ac:dyDescent="0.25">
      <c r="B11" s="170">
        <f t="shared" si="1"/>
        <v>8</v>
      </c>
      <c r="C11" s="171" t="s">
        <v>172</v>
      </c>
      <c r="D11" s="172"/>
      <c r="E11" s="174">
        <f>-E10*'Initial Inputs'!$C$24</f>
        <v>-5438.4000000000005</v>
      </c>
      <c r="F11" s="174">
        <f>-F10*'Initial Inputs'!$C$24</f>
        <v>-7972.0679698622153</v>
      </c>
      <c r="G11" s="174">
        <f>-G10*'Initial Inputs'!$C$24</f>
        <v>-10672.742097916163</v>
      </c>
      <c r="H11" s="174">
        <f>-H10*'Initial Inputs'!$C$24</f>
        <v>-13551.371488853347</v>
      </c>
      <c r="I11" s="174">
        <f>-I10*'Initial Inputs'!$C$24</f>
        <v>-16619.620293434757</v>
      </c>
      <c r="J11" s="174">
        <f>-J10*'Initial Inputs'!$C$24</f>
        <v>-19889.914274341281</v>
      </c>
      <c r="K11" s="174">
        <f>-K10*'Initial Inputs'!$C$24</f>
        <v>-23375.49039840568</v>
      </c>
      <c r="L11" s="174">
        <f>-L10*'Initial Inputs'!$C$24</f>
        <v>-27090.449651633648</v>
      </c>
      <c r="M11" s="174">
        <f>-M10*'Initial Inputs'!$C$24</f>
        <v>-31049.813286155109</v>
      </c>
      <c r="N11" s="174">
        <f>-N10*'Initial Inputs'!$C$24</f>
        <v>-35269.582721805913</v>
      </c>
      <c r="O11" s="174">
        <f>-O10*'Initial Inputs'!$C$24</f>
        <v>-39766.803339477396</v>
      </c>
      <c r="P11" s="174">
        <f>-P10*'Initial Inputs'!$C$24</f>
        <v>-44559.632418744208</v>
      </c>
      <c r="Q11" s="174">
        <f>-Q10*'Initial Inputs'!$C$24</f>
        <v>-49667.411488648941</v>
      </c>
      <c r="R11" s="174">
        <f>-R10*'Initial Inputs'!$C$24</f>
        <v>-55110.743377951934</v>
      </c>
      <c r="S11" s="174">
        <f>-S10*'Initial Inputs'!$C$24</f>
        <v>-60911.574269712066</v>
      </c>
      <c r="T11" s="174">
        <f>-T10*'Initial Inputs'!$C$24</f>
        <v>-67093.28108482527</v>
      </c>
      <c r="U11" s="174">
        <f>-U10*'Initial Inputs'!$C$24</f>
        <v>-73680.764540187651</v>
      </c>
      <c r="V11" s="174">
        <f>-V10*'Initial Inputs'!$C$24</f>
        <v>-80700.548249554122</v>
      </c>
      <c r="W11" s="174">
        <f>-W10*'Initial Inputs'!$C$24</f>
        <v>-88180.884259017053</v>
      </c>
      <c r="X11" s="174">
        <f>-X10*'Initial Inputs'!$C$24</f>
        <v>-96151.865434430598</v>
      </c>
      <c r="Y11" s="173">
        <f t="shared" si="0"/>
        <v>-846752.96064495738</v>
      </c>
      <c r="Z11"/>
    </row>
    <row r="12" spans="1:26" x14ac:dyDescent="0.25">
      <c r="B12" s="170">
        <f t="shared" si="1"/>
        <v>9</v>
      </c>
      <c r="C12" s="171" t="s">
        <v>173</v>
      </c>
      <c r="D12" s="172"/>
      <c r="E12" s="174"/>
      <c r="F12" s="174"/>
      <c r="G12" s="174"/>
      <c r="H12" s="174"/>
      <c r="I12" s="174"/>
      <c r="J12" s="174"/>
      <c r="K12" s="174"/>
      <c r="L12" s="174"/>
      <c r="M12" s="174"/>
      <c r="N12" s="174"/>
      <c r="O12" s="174"/>
      <c r="P12" s="174"/>
      <c r="Q12" s="174"/>
      <c r="R12" s="174"/>
      <c r="S12" s="174"/>
      <c r="T12" s="174"/>
      <c r="U12" s="174"/>
      <c r="V12" s="174"/>
      <c r="W12" s="174"/>
      <c r="X12" s="174"/>
      <c r="Y12" s="173">
        <f t="shared" si="0"/>
        <v>0</v>
      </c>
      <c r="Z12"/>
    </row>
    <row r="13" spans="1:26" x14ac:dyDescent="0.25">
      <c r="B13" s="170">
        <f t="shared" si="1"/>
        <v>10</v>
      </c>
      <c r="C13" s="171" t="s">
        <v>174</v>
      </c>
      <c r="D13" s="172">
        <f t="shared" ref="D13:X13" si="5">D10+D11+D12</f>
        <v>0</v>
      </c>
      <c r="E13" s="172">
        <f t="shared" si="5"/>
        <v>21753.599999999999</v>
      </c>
      <c r="F13" s="172">
        <f t="shared" si="5"/>
        <v>31888.271879448857</v>
      </c>
      <c r="G13" s="172">
        <f t="shared" si="5"/>
        <v>42690.968391664654</v>
      </c>
      <c r="H13" s="172">
        <f t="shared" si="5"/>
        <v>54205.485955413387</v>
      </c>
      <c r="I13" s="172">
        <f t="shared" si="5"/>
        <v>66478.481173739026</v>
      </c>
      <c r="J13" s="172">
        <f t="shared" si="5"/>
        <v>79559.657097365111</v>
      </c>
      <c r="K13" s="172">
        <f t="shared" si="5"/>
        <v>93501.96159362272</v>
      </c>
      <c r="L13" s="172">
        <f t="shared" si="5"/>
        <v>108361.79860653458</v>
      </c>
      <c r="M13" s="172">
        <f t="shared" si="5"/>
        <v>124199.25314462042</v>
      </c>
      <c r="N13" s="172">
        <f t="shared" si="5"/>
        <v>141078.33088722365</v>
      </c>
      <c r="O13" s="172">
        <f t="shared" si="5"/>
        <v>159067.21335790958</v>
      </c>
      <c r="P13" s="172">
        <f t="shared" si="5"/>
        <v>178238.5296749768</v>
      </c>
      <c r="Q13" s="172">
        <f t="shared" si="5"/>
        <v>198669.64595459576</v>
      </c>
      <c r="R13" s="172">
        <f t="shared" si="5"/>
        <v>220442.97351180771</v>
      </c>
      <c r="S13" s="172">
        <f t="shared" si="5"/>
        <v>243646.29707884826</v>
      </c>
      <c r="T13" s="172">
        <f t="shared" si="5"/>
        <v>268373.12433930102</v>
      </c>
      <c r="U13" s="172">
        <f t="shared" si="5"/>
        <v>294723.05816075054</v>
      </c>
      <c r="V13" s="172">
        <f t="shared" si="5"/>
        <v>322802.19299821649</v>
      </c>
      <c r="W13" s="172">
        <f t="shared" si="5"/>
        <v>352723.53703606816</v>
      </c>
      <c r="X13" s="172">
        <f t="shared" si="5"/>
        <v>384607.46173772239</v>
      </c>
      <c r="Y13" s="173">
        <f t="shared" si="0"/>
        <v>3387011.8425798295</v>
      </c>
      <c r="Z13"/>
    </row>
    <row r="14" spans="1:26" x14ac:dyDescent="0.25">
      <c r="B14" s="170">
        <f t="shared" si="1"/>
        <v>11</v>
      </c>
      <c r="C14" s="171" t="s">
        <v>169</v>
      </c>
      <c r="D14" s="172">
        <f t="shared" ref="D14:X14" si="6">-D7</f>
        <v>0</v>
      </c>
      <c r="E14" s="172">
        <f t="shared" si="6"/>
        <v>45000</v>
      </c>
      <c r="F14" s="172">
        <f t="shared" si="6"/>
        <v>45000</v>
      </c>
      <c r="G14" s="172">
        <f t="shared" si="6"/>
        <v>45000</v>
      </c>
      <c r="H14" s="172">
        <f t="shared" si="6"/>
        <v>45000</v>
      </c>
      <c r="I14" s="172">
        <f t="shared" si="6"/>
        <v>45000</v>
      </c>
      <c r="J14" s="172">
        <f t="shared" si="6"/>
        <v>45000</v>
      </c>
      <c r="K14" s="172">
        <f t="shared" si="6"/>
        <v>45000</v>
      </c>
      <c r="L14" s="172">
        <f t="shared" si="6"/>
        <v>45000</v>
      </c>
      <c r="M14" s="172">
        <f t="shared" si="6"/>
        <v>45000</v>
      </c>
      <c r="N14" s="172">
        <f t="shared" si="6"/>
        <v>45000</v>
      </c>
      <c r="O14" s="172">
        <f t="shared" si="6"/>
        <v>45000</v>
      </c>
      <c r="P14" s="172">
        <f t="shared" si="6"/>
        <v>45000</v>
      </c>
      <c r="Q14" s="172">
        <f t="shared" si="6"/>
        <v>45000</v>
      </c>
      <c r="R14" s="172">
        <f t="shared" si="6"/>
        <v>45000</v>
      </c>
      <c r="S14" s="172">
        <f t="shared" si="6"/>
        <v>45000</v>
      </c>
      <c r="T14" s="172">
        <f t="shared" si="6"/>
        <v>45000</v>
      </c>
      <c r="U14" s="172">
        <f t="shared" si="6"/>
        <v>45000</v>
      </c>
      <c r="V14" s="172">
        <f t="shared" si="6"/>
        <v>45000</v>
      </c>
      <c r="W14" s="172">
        <f t="shared" si="6"/>
        <v>45000</v>
      </c>
      <c r="X14" s="172">
        <f t="shared" si="6"/>
        <v>45000</v>
      </c>
      <c r="Y14" s="173">
        <f t="shared" si="0"/>
        <v>900000</v>
      </c>
      <c r="Z14"/>
    </row>
    <row r="15" spans="1:26" x14ac:dyDescent="0.25">
      <c r="B15" s="176">
        <f t="shared" si="1"/>
        <v>12</v>
      </c>
      <c r="C15" s="177" t="s">
        <v>175</v>
      </c>
      <c r="D15" s="178">
        <f t="shared" ref="D15:Y15" si="7">D13+D14</f>
        <v>0</v>
      </c>
      <c r="E15" s="178">
        <f t="shared" si="7"/>
        <v>66753.600000000006</v>
      </c>
      <c r="F15" s="178">
        <f t="shared" si="7"/>
        <v>76888.271879448861</v>
      </c>
      <c r="G15" s="178">
        <f t="shared" si="7"/>
        <v>87690.968391664646</v>
      </c>
      <c r="H15" s="178">
        <f t="shared" si="7"/>
        <v>99205.485955413387</v>
      </c>
      <c r="I15" s="178">
        <f t="shared" si="7"/>
        <v>111478.48117373903</v>
      </c>
      <c r="J15" s="178">
        <f t="shared" si="7"/>
        <v>124559.65709736511</v>
      </c>
      <c r="K15" s="178">
        <f t="shared" si="7"/>
        <v>138501.96159362272</v>
      </c>
      <c r="L15" s="178">
        <f t="shared" si="7"/>
        <v>153361.79860653458</v>
      </c>
      <c r="M15" s="178">
        <f t="shared" si="7"/>
        <v>169199.25314462042</v>
      </c>
      <c r="N15" s="178">
        <f t="shared" si="7"/>
        <v>186078.33088722365</v>
      </c>
      <c r="O15" s="178">
        <f t="shared" si="7"/>
        <v>204067.21335790958</v>
      </c>
      <c r="P15" s="178">
        <f t="shared" si="7"/>
        <v>223238.5296749768</v>
      </c>
      <c r="Q15" s="178">
        <f t="shared" si="7"/>
        <v>243669.64595459576</v>
      </c>
      <c r="R15" s="178">
        <f t="shared" si="7"/>
        <v>265442.97351180774</v>
      </c>
      <c r="S15" s="178">
        <f t="shared" si="7"/>
        <v>288646.29707884823</v>
      </c>
      <c r="T15" s="178">
        <f t="shared" si="7"/>
        <v>313373.12433930102</v>
      </c>
      <c r="U15" s="178">
        <f t="shared" si="7"/>
        <v>339723.05816075054</v>
      </c>
      <c r="V15" s="178">
        <f t="shared" si="7"/>
        <v>367802.19299821649</v>
      </c>
      <c r="W15" s="178">
        <f t="shared" si="7"/>
        <v>397723.53703606816</v>
      </c>
      <c r="X15" s="178">
        <f t="shared" si="7"/>
        <v>429607.46173772239</v>
      </c>
      <c r="Y15" s="179">
        <f t="shared" si="7"/>
        <v>4287011.8425798295</v>
      </c>
      <c r="Z15"/>
    </row>
    <row r="16" spans="1:26" x14ac:dyDescent="0.25">
      <c r="B16" s="180"/>
      <c r="C16" s="180"/>
      <c r="D16" s="181"/>
      <c r="E16" s="181"/>
      <c r="F16" s="181"/>
      <c r="G16" s="181"/>
      <c r="H16" s="181"/>
      <c r="I16" s="181"/>
      <c r="J16" s="181"/>
      <c r="K16" s="181"/>
      <c r="L16" s="181"/>
      <c r="M16" s="181"/>
      <c r="N16" s="181"/>
      <c r="O16" s="181"/>
      <c r="P16" s="181"/>
      <c r="Q16" s="181"/>
      <c r="R16" s="181"/>
      <c r="S16" s="181"/>
      <c r="T16" s="181"/>
      <c r="U16" s="181"/>
      <c r="V16" s="181"/>
      <c r="W16" s="181"/>
      <c r="X16" s="181"/>
      <c r="Y16" s="181"/>
      <c r="Z16"/>
    </row>
    <row r="17" spans="2:26" x14ac:dyDescent="0.25">
      <c r="B17" s="166">
        <f>1+B15</f>
        <v>13</v>
      </c>
      <c r="C17" s="167" t="s">
        <v>176</v>
      </c>
      <c r="D17" s="168"/>
      <c r="E17" s="168">
        <f>-Mortgage!F9</f>
        <v>-36970.997488517969</v>
      </c>
      <c r="F17" s="168">
        <f>-Mortgage!F10</f>
        <v>-39189.257337829054</v>
      </c>
      <c r="G17" s="168">
        <f>-Mortgage!F11</f>
        <v>-41540.612778098803</v>
      </c>
      <c r="H17" s="168">
        <f>-Mortgage!F12</f>
        <v>-44033.049544784721</v>
      </c>
      <c r="I17" s="168">
        <f>-Mortgage!F13</f>
        <v>-46675.032517471802</v>
      </c>
      <c r="J17" s="168">
        <f>-Mortgage!F14</f>
        <v>-49475.534468520113</v>
      </c>
      <c r="K17" s="168">
        <f>-Mortgage!F15</f>
        <v>-52444.066536631333</v>
      </c>
      <c r="L17" s="168">
        <f>-Mortgage!F16</f>
        <v>-55590.710528829215</v>
      </c>
      <c r="M17" s="168">
        <f>-Mortgage!F17</f>
        <v>-58926.15316055897</v>
      </c>
      <c r="N17" s="168">
        <f>-Mortgage!F18</f>
        <v>-62461.722350192511</v>
      </c>
      <c r="O17" s="168">
        <f>-Mortgage!F19</f>
        <v>-66209.425691204058</v>
      </c>
      <c r="P17" s="168">
        <f>-Mortgage!F20</f>
        <v>-70181.991232676301</v>
      </c>
      <c r="Q17" s="168">
        <f>-Mortgage!F21</f>
        <v>-74392.910706636874</v>
      </c>
      <c r="R17" s="168">
        <f>-Mortgage!F22</f>
        <v>-78856.485349035094</v>
      </c>
      <c r="S17" s="168">
        <f>-Mortgage!F23</f>
        <v>-83587.874469977192</v>
      </c>
      <c r="T17" s="168">
        <f>-Mortgage!F24</f>
        <v>-88603.146938175836</v>
      </c>
      <c r="U17" s="168">
        <f>-Mortgage!F25</f>
        <v>-93919.335754466389</v>
      </c>
      <c r="V17" s="168">
        <f>-Mortgage!F26</f>
        <v>-99554.495899734364</v>
      </c>
      <c r="W17" s="168">
        <f>-Mortgage!F27</f>
        <v>-105527.76565371842</v>
      </c>
      <c r="X17" s="168">
        <f>-Mortgage!F28</f>
        <v>-111859.43159294153</v>
      </c>
      <c r="Y17" s="169">
        <f>SUM(D17:X17)</f>
        <v>-1360000.0000000007</v>
      </c>
      <c r="Z17"/>
    </row>
    <row r="18" spans="2:26" x14ac:dyDescent="0.25">
      <c r="B18" s="166" t="s">
        <v>177</v>
      </c>
      <c r="C18" s="167" t="s">
        <v>91</v>
      </c>
      <c r="D18" s="168">
        <f>-'Initial Inputs'!C9</f>
        <v>-900000</v>
      </c>
      <c r="E18" s="168"/>
      <c r="F18" s="168"/>
      <c r="G18" s="182"/>
      <c r="H18" s="182"/>
      <c r="I18" s="182"/>
      <c r="J18" s="182"/>
      <c r="K18" s="182"/>
      <c r="L18" s="182"/>
      <c r="M18" s="182"/>
      <c r="N18" s="182"/>
      <c r="O18" s="182"/>
      <c r="P18" s="182"/>
      <c r="Q18" s="182"/>
      <c r="R18" s="182"/>
      <c r="S18" s="182"/>
      <c r="T18" s="182"/>
      <c r="U18" s="182"/>
      <c r="V18" s="182"/>
      <c r="W18" s="182"/>
      <c r="X18" s="182">
        <f>'Cap &amp; Depr'!I19</f>
        <v>2309137.5399932507</v>
      </c>
      <c r="Y18" s="169">
        <f>SUM(D18:X18)</f>
        <v>1409137.5399932507</v>
      </c>
      <c r="Z18"/>
    </row>
    <row r="19" spans="2:26" x14ac:dyDescent="0.25">
      <c r="B19" s="170" t="s">
        <v>178</v>
      </c>
      <c r="C19" s="171" t="s">
        <v>179</v>
      </c>
      <c r="D19" s="172">
        <f>-'Initial Inputs'!C14</f>
        <v>-800000</v>
      </c>
      <c r="E19" s="172"/>
      <c r="F19" s="172"/>
      <c r="G19" s="172"/>
      <c r="H19" s="172"/>
      <c r="I19" s="172"/>
      <c r="J19" s="172"/>
      <c r="K19" s="172"/>
      <c r="L19" s="172"/>
      <c r="M19" s="172"/>
      <c r="N19" s="172"/>
      <c r="O19" s="172"/>
      <c r="P19" s="172"/>
      <c r="Q19" s="172"/>
      <c r="R19" s="172"/>
      <c r="S19" s="172"/>
      <c r="T19" s="172"/>
      <c r="U19" s="172"/>
      <c r="V19" s="172"/>
      <c r="W19" s="172"/>
      <c r="X19" s="172">
        <f>'Cap &amp; Depr'!I25</f>
        <v>2212566.7022162229</v>
      </c>
      <c r="Y19" s="173">
        <f>SUM(D19:X19)</f>
        <v>1412566.7022162229</v>
      </c>
      <c r="Z19"/>
    </row>
    <row r="20" spans="2:26" x14ac:dyDescent="0.25">
      <c r="B20" s="176" t="s">
        <v>180</v>
      </c>
      <c r="C20" s="177" t="s">
        <v>181</v>
      </c>
      <c r="D20" s="178">
        <f>Mortgage!E4</f>
        <v>1360000</v>
      </c>
      <c r="E20" s="178"/>
      <c r="F20" s="178"/>
      <c r="G20" s="183"/>
      <c r="H20" s="183"/>
      <c r="I20" s="183"/>
      <c r="J20" s="183"/>
      <c r="K20" s="183"/>
      <c r="L20" s="183"/>
      <c r="M20" s="183"/>
      <c r="N20" s="183"/>
      <c r="O20" s="183"/>
      <c r="P20" s="183"/>
      <c r="Q20" s="183"/>
      <c r="R20" s="183"/>
      <c r="S20" s="183"/>
      <c r="T20" s="183"/>
      <c r="U20" s="183"/>
      <c r="V20" s="183"/>
      <c r="W20" s="183"/>
      <c r="X20" s="183"/>
      <c r="Y20" s="179">
        <f>SUM(D20:X20)</f>
        <v>1360000</v>
      </c>
      <c r="Z20"/>
    </row>
    <row r="21" spans="2:26" x14ac:dyDescent="0.25">
      <c r="B21" s="170">
        <f>B17+2</f>
        <v>15</v>
      </c>
      <c r="C21" s="171" t="s">
        <v>182</v>
      </c>
      <c r="D21" s="181"/>
      <c r="E21" s="172"/>
      <c r="F21" s="172"/>
      <c r="G21" s="172"/>
      <c r="H21" s="172"/>
      <c r="I21" s="172"/>
      <c r="J21" s="172"/>
      <c r="K21" s="172"/>
      <c r="L21" s="172"/>
      <c r="M21" s="172"/>
      <c r="N21" s="172"/>
      <c r="O21" s="172"/>
      <c r="P21" s="172"/>
      <c r="Q21" s="172"/>
      <c r="R21" s="172"/>
      <c r="S21" s="172"/>
      <c r="T21" s="172"/>
      <c r="U21" s="172"/>
      <c r="V21" s="172"/>
      <c r="W21" s="172"/>
      <c r="X21" s="172"/>
      <c r="Y21" s="173">
        <f>SUM(D21:F21)</f>
        <v>0</v>
      </c>
      <c r="Z21"/>
    </row>
    <row r="22" spans="2:26" x14ac:dyDescent="0.25">
      <c r="B22" s="170">
        <f>1+B21</f>
        <v>16</v>
      </c>
      <c r="C22" s="171" t="s">
        <v>183</v>
      </c>
      <c r="D22" s="172">
        <f>-Expenses!C22</f>
        <v>-38000</v>
      </c>
      <c r="E22" s="172"/>
      <c r="F22" s="172"/>
      <c r="G22" s="172"/>
      <c r="H22" s="172"/>
      <c r="I22" s="172"/>
      <c r="J22" s="172"/>
      <c r="K22" s="172"/>
      <c r="L22" s="172"/>
      <c r="M22" s="172"/>
      <c r="N22" s="172"/>
      <c r="O22" s="172"/>
      <c r="P22" s="172"/>
      <c r="Q22" s="172"/>
      <c r="R22" s="172"/>
      <c r="S22" s="172"/>
      <c r="T22" s="172"/>
      <c r="U22" s="172"/>
      <c r="V22" s="172"/>
      <c r="W22" s="172"/>
      <c r="X22" s="172">
        <f>Expenses!C22</f>
        <v>38000</v>
      </c>
      <c r="Y22" s="173">
        <f>SUM(D22:X22)</f>
        <v>0</v>
      </c>
      <c r="Z22"/>
    </row>
    <row r="23" spans="2:26" x14ac:dyDescent="0.25">
      <c r="B23" s="176">
        <f>1+B22</f>
        <v>17</v>
      </c>
      <c r="C23" s="177" t="s">
        <v>184</v>
      </c>
      <c r="D23" s="178">
        <f t="shared" ref="D23:Y23" si="8">SUM(D17:D22)</f>
        <v>-378000</v>
      </c>
      <c r="E23" s="178">
        <f t="shared" si="8"/>
        <v>-36970.997488517969</v>
      </c>
      <c r="F23" s="178">
        <f t="shared" si="8"/>
        <v>-39189.257337829054</v>
      </c>
      <c r="G23" s="178">
        <f t="shared" si="8"/>
        <v>-41540.612778098803</v>
      </c>
      <c r="H23" s="178">
        <f t="shared" si="8"/>
        <v>-44033.049544784721</v>
      </c>
      <c r="I23" s="178">
        <f t="shared" si="8"/>
        <v>-46675.032517471802</v>
      </c>
      <c r="J23" s="178">
        <f t="shared" si="8"/>
        <v>-49475.534468520113</v>
      </c>
      <c r="K23" s="178">
        <f t="shared" si="8"/>
        <v>-52444.066536631333</v>
      </c>
      <c r="L23" s="178">
        <f t="shared" si="8"/>
        <v>-55590.710528829215</v>
      </c>
      <c r="M23" s="178">
        <f t="shared" si="8"/>
        <v>-58926.15316055897</v>
      </c>
      <c r="N23" s="178">
        <f t="shared" si="8"/>
        <v>-62461.722350192511</v>
      </c>
      <c r="O23" s="178">
        <f t="shared" si="8"/>
        <v>-66209.425691204058</v>
      </c>
      <c r="P23" s="178">
        <f t="shared" si="8"/>
        <v>-70181.991232676301</v>
      </c>
      <c r="Q23" s="178">
        <f t="shared" si="8"/>
        <v>-74392.910706636874</v>
      </c>
      <c r="R23" s="178">
        <f t="shared" si="8"/>
        <v>-78856.485349035094</v>
      </c>
      <c r="S23" s="178">
        <f t="shared" si="8"/>
        <v>-83587.874469977192</v>
      </c>
      <c r="T23" s="178">
        <f t="shared" si="8"/>
        <v>-88603.146938175836</v>
      </c>
      <c r="U23" s="178">
        <f t="shared" si="8"/>
        <v>-93919.335754466389</v>
      </c>
      <c r="V23" s="178">
        <f t="shared" si="8"/>
        <v>-99554.495899734364</v>
      </c>
      <c r="W23" s="178">
        <f t="shared" si="8"/>
        <v>-105527.76565371842</v>
      </c>
      <c r="X23" s="178">
        <f t="shared" si="8"/>
        <v>4447844.8106165323</v>
      </c>
      <c r="Y23" s="179">
        <f t="shared" si="8"/>
        <v>2821704.2422094727</v>
      </c>
      <c r="Z23"/>
    </row>
    <row r="24" spans="2:26" x14ac:dyDescent="0.25">
      <c r="B24"/>
      <c r="C24"/>
      <c r="D24" s="184"/>
      <c r="E24" s="184"/>
      <c r="F24" s="184"/>
      <c r="G24" s="184"/>
      <c r="H24" s="184"/>
      <c r="I24" s="184"/>
      <c r="J24" s="184"/>
      <c r="K24" s="184"/>
      <c r="L24" s="184"/>
      <c r="M24" s="184"/>
      <c r="N24" s="184"/>
      <c r="O24" s="184"/>
      <c r="P24" s="184"/>
      <c r="Q24" s="184"/>
      <c r="R24" s="184"/>
      <c r="S24" s="184"/>
      <c r="T24" s="184"/>
      <c r="U24" s="184"/>
      <c r="V24" s="184"/>
      <c r="W24" s="184"/>
      <c r="X24" s="184"/>
      <c r="Y24" s="184"/>
      <c r="Z24"/>
    </row>
    <row r="25" spans="2:26" x14ac:dyDescent="0.25">
      <c r="B25" s="166">
        <f>1+B23</f>
        <v>18</v>
      </c>
      <c r="C25" s="167" t="s">
        <v>185</v>
      </c>
      <c r="D25" s="168">
        <f t="shared" ref="D25:X25" si="9">D23+D15</f>
        <v>-378000</v>
      </c>
      <c r="E25" s="168">
        <f t="shared" si="9"/>
        <v>29782.602511482037</v>
      </c>
      <c r="F25" s="168">
        <f t="shared" si="9"/>
        <v>37699.014541619807</v>
      </c>
      <c r="G25" s="168">
        <f t="shared" si="9"/>
        <v>46150.355613565844</v>
      </c>
      <c r="H25" s="168">
        <f t="shared" si="9"/>
        <v>55172.436410628667</v>
      </c>
      <c r="I25" s="168">
        <f t="shared" si="9"/>
        <v>64803.448656267225</v>
      </c>
      <c r="J25" s="168">
        <f t="shared" si="9"/>
        <v>75084.122628844998</v>
      </c>
      <c r="K25" s="168">
        <f t="shared" si="9"/>
        <v>86057.895056991387</v>
      </c>
      <c r="L25" s="168">
        <f t="shared" si="9"/>
        <v>97771.088077705353</v>
      </c>
      <c r="M25" s="168">
        <f t="shared" si="9"/>
        <v>110273.09998406145</v>
      </c>
      <c r="N25" s="168">
        <f t="shared" si="9"/>
        <v>123616.60853703113</v>
      </c>
      <c r="O25" s="168">
        <f t="shared" si="9"/>
        <v>137857.78766670552</v>
      </c>
      <c r="P25" s="168">
        <f t="shared" si="9"/>
        <v>153056.53844230052</v>
      </c>
      <c r="Q25" s="168">
        <f t="shared" si="9"/>
        <v>169276.73524795889</v>
      </c>
      <c r="R25" s="168">
        <f t="shared" si="9"/>
        <v>186586.48816277264</v>
      </c>
      <c r="S25" s="168">
        <f t="shared" si="9"/>
        <v>205058.42260887104</v>
      </c>
      <c r="T25" s="168">
        <f t="shared" si="9"/>
        <v>224769.97740112519</v>
      </c>
      <c r="U25" s="168">
        <f t="shared" si="9"/>
        <v>245803.72240628416</v>
      </c>
      <c r="V25" s="168">
        <f t="shared" si="9"/>
        <v>268247.69709848211</v>
      </c>
      <c r="W25" s="168">
        <f t="shared" si="9"/>
        <v>292195.77138234972</v>
      </c>
      <c r="X25" s="168">
        <f t="shared" si="9"/>
        <v>4877452.2723542545</v>
      </c>
      <c r="Y25" s="169">
        <f>SUM(D25:X25)</f>
        <v>7108716.0847893022</v>
      </c>
      <c r="Z25"/>
    </row>
    <row r="26" spans="2:26" x14ac:dyDescent="0.25">
      <c r="B26" s="170">
        <f>1+B25</f>
        <v>19</v>
      </c>
      <c r="C26" s="171" t="s">
        <v>186</v>
      </c>
      <c r="D26" s="185">
        <f>1/(1+'Initial Inputs'!$C$22)^D3</f>
        <v>1</v>
      </c>
      <c r="E26" s="185">
        <f>1/(1+'Initial Inputs'!$C$22)^E3</f>
        <v>0.89285714285714279</v>
      </c>
      <c r="F26" s="185">
        <f>1/(1+'Initial Inputs'!$C$22)^F3</f>
        <v>0.79719387755102034</v>
      </c>
      <c r="G26" s="185">
        <f>1/(1+'Initial Inputs'!$C$22)^G3</f>
        <v>0.71178024781341087</v>
      </c>
      <c r="H26" s="185">
        <f>1/(1+'Initial Inputs'!$C$22)^H3</f>
        <v>0.63551807840483121</v>
      </c>
      <c r="I26" s="185">
        <f>1/(1+'Initial Inputs'!$C$22)^I3</f>
        <v>0.56742685571859919</v>
      </c>
      <c r="J26" s="185">
        <f>1/(1+'Initial Inputs'!$C$22)^J3</f>
        <v>0.50663112117732068</v>
      </c>
      <c r="K26" s="185">
        <f>1/(1+'Initial Inputs'!$C$22)^K3</f>
        <v>0.45234921533689343</v>
      </c>
      <c r="L26" s="185">
        <f>1/(1+'Initial Inputs'!$C$22)^L3</f>
        <v>0.4038832279793691</v>
      </c>
      <c r="M26" s="185">
        <f>1/(1+'Initial Inputs'!$C$22)^M3</f>
        <v>0.36061002498157957</v>
      </c>
      <c r="N26" s="185">
        <f>1/(1+'Initial Inputs'!$C$22)^N3</f>
        <v>0.32197323659069599</v>
      </c>
      <c r="O26" s="185">
        <f>1/(1+'Initial Inputs'!$C$22)^O3</f>
        <v>0.28747610409883567</v>
      </c>
      <c r="P26" s="185">
        <f>1/(1+'Initial Inputs'!$C$22)^P3</f>
        <v>0.25667509294538904</v>
      </c>
      <c r="Q26" s="185">
        <f>1/(1+'Initial Inputs'!$C$22)^Q3</f>
        <v>0.22917419012981158</v>
      </c>
      <c r="R26" s="185">
        <f>1/(1+'Initial Inputs'!$C$22)^R3</f>
        <v>0.20461981261590317</v>
      </c>
      <c r="S26" s="185">
        <f>1/(1+'Initial Inputs'!$C$22)^S3</f>
        <v>0.18269626126419927</v>
      </c>
      <c r="T26" s="185">
        <f>1/(1+'Initial Inputs'!$C$22)^T3</f>
        <v>0.16312166184303503</v>
      </c>
      <c r="U26" s="185">
        <f>1/(1+'Initial Inputs'!$C$22)^U3</f>
        <v>0.14564434093128129</v>
      </c>
      <c r="V26" s="185">
        <f>1/(1+'Initial Inputs'!$C$22)^V3</f>
        <v>0.13003959011721541</v>
      </c>
      <c r="W26" s="185">
        <f>1/(1+'Initial Inputs'!$C$22)^W3</f>
        <v>0.1161067768903709</v>
      </c>
      <c r="X26" s="185">
        <f>1/(1+'Initial Inputs'!$C$22)^X3</f>
        <v>0.1036667650806883</v>
      </c>
      <c r="Y26" s="186" t="s">
        <v>147</v>
      </c>
      <c r="Z26"/>
    </row>
    <row r="27" spans="2:26" x14ac:dyDescent="0.25">
      <c r="B27" s="170">
        <f>1+B26</f>
        <v>20</v>
      </c>
      <c r="C27" s="171" t="s">
        <v>187</v>
      </c>
      <c r="D27" s="187">
        <f t="shared" ref="D27:X27" si="10">D25*D26</f>
        <v>-378000</v>
      </c>
      <c r="E27" s="187">
        <f t="shared" si="10"/>
        <v>26591.609385251817</v>
      </c>
      <c r="F27" s="187">
        <f t="shared" si="10"/>
        <v>30053.423582286196</v>
      </c>
      <c r="G27" s="187">
        <f t="shared" si="10"/>
        <v>32848.911555300932</v>
      </c>
      <c r="H27" s="187">
        <f t="shared" si="10"/>
        <v>35063.080768595471</v>
      </c>
      <c r="I27" s="187">
        <f t="shared" si="10"/>
        <v>36771.217110747391</v>
      </c>
      <c r="J27" s="187">
        <f t="shared" si="10"/>
        <v>38039.953230067178</v>
      </c>
      <c r="K27" s="187">
        <f t="shared" si="10"/>
        <v>38928.221302574777</v>
      </c>
      <c r="L27" s="187">
        <f t="shared" si="10"/>
        <v>39488.102655878851</v>
      </c>
      <c r="M27" s="187">
        <f t="shared" si="10"/>
        <v>39765.585340048623</v>
      </c>
      <c r="N27" s="187">
        <f t="shared" si="10"/>
        <v>39801.239547032972</v>
      </c>
      <c r="O27" s="187">
        <f t="shared" si="10"/>
        <v>39630.819718109022</v>
      </c>
      <c r="P27" s="187">
        <f t="shared" si="10"/>
        <v>39285.801230576995</v>
      </c>
      <c r="Q27" s="187">
        <f t="shared" si="10"/>
        <v>38793.858708269508</v>
      </c>
      <c r="R27" s="187">
        <f t="shared" si="10"/>
        <v>38179.292244525976</v>
      </c>
      <c r="S27" s="187">
        <f t="shared" si="10"/>
        <v>37463.407151374893</v>
      </c>
      <c r="T27" s="187">
        <f t="shared" si="10"/>
        <v>36664.852246092967</v>
      </c>
      <c r="U27" s="187">
        <f t="shared" si="10"/>
        <v>35799.921148318877</v>
      </c>
      <c r="V27" s="187">
        <f t="shared" si="10"/>
        <v>34882.820580573571</v>
      </c>
      <c r="W27" s="187">
        <f t="shared" si="10"/>
        <v>33925.909236200299</v>
      </c>
      <c r="X27" s="187">
        <f t="shared" si="10"/>
        <v>505629.69891041779</v>
      </c>
      <c r="Y27" s="188">
        <f>SUM(D27:X27)</f>
        <v>819607.72565224417</v>
      </c>
      <c r="Z27" s="189"/>
    </row>
    <row r="28" spans="2:26" x14ac:dyDescent="0.25">
      <c r="B28" s="176">
        <f>1+B27</f>
        <v>21</v>
      </c>
      <c r="C28" s="177" t="s">
        <v>188</v>
      </c>
      <c r="D28" s="178">
        <f>D27</f>
        <v>-378000</v>
      </c>
      <c r="E28" s="178">
        <f t="shared" ref="E28:X28" si="11">D28+E27</f>
        <v>-351408.39061474818</v>
      </c>
      <c r="F28" s="178">
        <f t="shared" si="11"/>
        <v>-321354.96703246201</v>
      </c>
      <c r="G28" s="178">
        <f t="shared" si="11"/>
        <v>-288506.05547716108</v>
      </c>
      <c r="H28" s="178">
        <f t="shared" si="11"/>
        <v>-253442.9747085656</v>
      </c>
      <c r="I28" s="178">
        <f t="shared" si="11"/>
        <v>-216671.75759781821</v>
      </c>
      <c r="J28" s="178">
        <f t="shared" si="11"/>
        <v>-178631.80436775103</v>
      </c>
      <c r="K28" s="178">
        <f t="shared" si="11"/>
        <v>-139703.58306517627</v>
      </c>
      <c r="L28" s="178">
        <f t="shared" si="11"/>
        <v>-100215.48040929742</v>
      </c>
      <c r="M28" s="178">
        <f t="shared" si="11"/>
        <v>-60449.8950692488</v>
      </c>
      <c r="N28" s="178">
        <f t="shared" si="11"/>
        <v>-20648.655522215828</v>
      </c>
      <c r="O28" s="178">
        <f t="shared" si="11"/>
        <v>18982.164195893194</v>
      </c>
      <c r="P28" s="178">
        <f t="shared" si="11"/>
        <v>58267.965426470189</v>
      </c>
      <c r="Q28" s="178">
        <f t="shared" si="11"/>
        <v>97061.824134739698</v>
      </c>
      <c r="R28" s="178">
        <f t="shared" si="11"/>
        <v>135241.11637926567</v>
      </c>
      <c r="S28" s="178">
        <f t="shared" si="11"/>
        <v>172704.52353064058</v>
      </c>
      <c r="T28" s="178">
        <f t="shared" si="11"/>
        <v>209369.37577673356</v>
      </c>
      <c r="U28" s="178">
        <f t="shared" si="11"/>
        <v>245169.29692505245</v>
      </c>
      <c r="V28" s="178">
        <f t="shared" si="11"/>
        <v>280052.117505626</v>
      </c>
      <c r="W28" s="178">
        <f t="shared" si="11"/>
        <v>313978.02674182632</v>
      </c>
      <c r="X28" s="178">
        <f t="shared" si="11"/>
        <v>819607.72565224417</v>
      </c>
      <c r="Y28" s="190"/>
    </row>
    <row r="29" spans="2:26" x14ac:dyDescent="0.25">
      <c r="B29"/>
      <c r="C29"/>
      <c r="D29" s="184"/>
      <c r="E29" s="184"/>
      <c r="F29" s="184"/>
      <c r="G29" s="184"/>
      <c r="H29" s="184"/>
      <c r="I29" s="184"/>
      <c r="J29" s="184"/>
      <c r="K29" s="184"/>
      <c r="L29" s="184"/>
      <c r="M29" s="184"/>
      <c r="N29" s="184"/>
      <c r="O29" s="184"/>
      <c r="P29" s="184"/>
      <c r="Q29" s="184"/>
      <c r="R29" s="184"/>
      <c r="S29" s="184"/>
      <c r="T29" s="184"/>
      <c r="U29" s="184"/>
      <c r="V29" s="184"/>
      <c r="W29" s="184"/>
      <c r="X29" s="184"/>
      <c r="Y29" s="184"/>
    </row>
    <row r="30" spans="2:26" x14ac:dyDescent="0.25">
      <c r="B30" s="191" t="s">
        <v>120</v>
      </c>
      <c r="C30" s="159" t="s">
        <v>189</v>
      </c>
      <c r="F30" s="192"/>
      <c r="G30"/>
      <c r="H30"/>
      <c r="I30"/>
      <c r="J30"/>
      <c r="K30"/>
      <c r="L30"/>
      <c r="M30"/>
      <c r="N30"/>
      <c r="O30"/>
      <c r="P30"/>
      <c r="Q30"/>
      <c r="R30"/>
      <c r="S30"/>
      <c r="T30"/>
      <c r="U30"/>
      <c r="V30"/>
      <c r="W30"/>
      <c r="X30" s="192"/>
      <c r="Y30"/>
    </row>
    <row r="31" spans="2:26" x14ac:dyDescent="0.25">
      <c r="B31"/>
      <c r="C31" s="159" t="s">
        <v>190</v>
      </c>
      <c r="F31" s="184"/>
      <c r="G31" s="184"/>
      <c r="H31" s="184"/>
      <c r="I31" s="184"/>
      <c r="J31" s="184"/>
      <c r="K31" s="184"/>
      <c r="L31" s="184"/>
      <c r="M31" s="184"/>
      <c r="N31" s="184"/>
      <c r="O31" s="184"/>
      <c r="P31" s="184"/>
      <c r="Q31" s="184"/>
      <c r="R31" s="184"/>
      <c r="S31" s="184"/>
      <c r="T31" s="184"/>
      <c r="U31" s="184"/>
      <c r="V31" s="184"/>
      <c r="W31" s="184"/>
      <c r="X31" s="184"/>
      <c r="Y31" s="184"/>
    </row>
    <row r="32" spans="2:26" x14ac:dyDescent="0.25">
      <c r="B32"/>
      <c r="C32"/>
    </row>
    <row r="33" spans="2:3" x14ac:dyDescent="0.25">
      <c r="B33" s="193" t="s">
        <v>22</v>
      </c>
      <c r="C33" s="194">
        <f>IRR(D25:X25)</f>
        <v>0.22982968319027397</v>
      </c>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12"/>
  <sheetViews>
    <sheetView zoomScaleNormal="100" workbookViewId="0">
      <selection activeCell="B12" sqref="B12"/>
    </sheetView>
  </sheetViews>
  <sheetFormatPr defaultColWidth="8.77734375" defaultRowHeight="15" x14ac:dyDescent="0.25"/>
  <cols>
    <col min="1" max="1" width="42.77734375" style="31"/>
    <col min="2" max="2" width="15.44140625" style="31"/>
    <col min="3" max="3" width="11.109375" style="31"/>
    <col min="4" max="4" width="24.44140625" style="31"/>
    <col min="5" max="5" width="9.77734375" style="31"/>
    <col min="6" max="1025" width="11.109375" style="31"/>
  </cols>
  <sheetData>
    <row r="1" spans="1:4" ht="17.399999999999999" x14ac:dyDescent="0.3">
      <c r="A1" s="35" t="s">
        <v>191</v>
      </c>
      <c r="B1"/>
      <c r="C1"/>
      <c r="D1"/>
    </row>
    <row r="2" spans="1:4" x14ac:dyDescent="0.25">
      <c r="A2"/>
      <c r="B2"/>
      <c r="C2"/>
      <c r="D2"/>
    </row>
    <row r="3" spans="1:4" x14ac:dyDescent="0.25">
      <c r="A3" s="195" t="s">
        <v>192</v>
      </c>
      <c r="B3" s="196">
        <f>ROUND('AT Analysis'!Y27,-3)</f>
        <v>820000</v>
      </c>
      <c r="C3"/>
      <c r="D3"/>
    </row>
    <row r="4" spans="1:4" x14ac:dyDescent="0.25">
      <c r="A4"/>
      <c r="B4"/>
      <c r="C4"/>
      <c r="D4"/>
    </row>
    <row r="5" spans="1:4" x14ac:dyDescent="0.25">
      <c r="A5" s="195" t="s">
        <v>193</v>
      </c>
      <c r="B5" s="197">
        <f>'AT Analysis'!C33</f>
        <v>0.22982968319027397</v>
      </c>
      <c r="C5"/>
      <c r="D5"/>
    </row>
    <row r="6" spans="1:4" x14ac:dyDescent="0.25">
      <c r="A6"/>
      <c r="B6"/>
      <c r="C6"/>
      <c r="D6"/>
    </row>
    <row r="7" spans="1:4" x14ac:dyDescent="0.25">
      <c r="A7" s="195" t="s">
        <v>194</v>
      </c>
      <c r="B7" s="198">
        <f>'Initial Inputs'!C22</f>
        <v>0.12</v>
      </c>
      <c r="C7"/>
      <c r="D7"/>
    </row>
    <row r="8" spans="1:4" x14ac:dyDescent="0.25">
      <c r="A8"/>
      <c r="B8"/>
      <c r="C8"/>
      <c r="D8"/>
    </row>
    <row r="9" spans="1:4" x14ac:dyDescent="0.25">
      <c r="A9" s="33" t="s">
        <v>195</v>
      </c>
      <c r="B9"/>
      <c r="C9"/>
      <c r="D9"/>
    </row>
    <row r="10" spans="1:4" x14ac:dyDescent="0.25">
      <c r="A10"/>
      <c r="B10"/>
      <c r="C10" s="49"/>
      <c r="D10"/>
    </row>
    <row r="11" spans="1:4" ht="30" x14ac:dyDescent="0.25">
      <c r="A11" s="199" t="s">
        <v>196</v>
      </c>
      <c r="B11" s="200">
        <f>(Income!C11/'Initial Inputs'!C18)</f>
        <v>0.12705882352941175</v>
      </c>
      <c r="D11" s="31" t="s">
        <v>197</v>
      </c>
    </row>
    <row r="12" spans="1:4" ht="30" x14ac:dyDescent="0.25">
      <c r="A12" s="201" t="s">
        <v>198</v>
      </c>
      <c r="B12" s="202">
        <f>('AT Analysis'!X4/('Cap &amp; Depr'!F8+'Cap &amp; Depr'!F9))</f>
        <v>0.11167852438659627</v>
      </c>
      <c r="D12" s="31" t="s">
        <v>199</v>
      </c>
    </row>
  </sheetData>
  <pageMargins left="0.5" right="0.52013888888888904" top="1" bottom="1" header="0.51180555555555496" footer="0.5"/>
  <pageSetup firstPageNumber="0" orientation="portrait" horizontalDpi="0" verticalDpi="0"/>
  <headerFooter>
    <oddFooter>&amp;LDr. Donald Merino, PhD., PE; Alexander Crombie Humphreys Professor of Economics of Engineering
Copyright © - Do not use or copy without the permission of Dr. D. N. Merino
&amp;F / &amp;A&amp;C1 of 8&amp;R&amp;D; &amp;T</oddFooter>
  </headerFooter>
  <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Lab 7 Questions</vt:lpstr>
      <vt:lpstr>Introduction</vt:lpstr>
      <vt:lpstr>Initial Inputs</vt:lpstr>
      <vt:lpstr>Income</vt:lpstr>
      <vt:lpstr>Mortgage</vt:lpstr>
      <vt:lpstr>Expenses</vt:lpstr>
      <vt:lpstr>Cap &amp; Depr</vt:lpstr>
      <vt:lpstr>AT Analysis</vt:lpstr>
      <vt:lpstr>Summary</vt:lpstr>
      <vt:lpstr>Sensitivity</vt:lpstr>
      <vt:lpstr>Income!Print_Area</vt:lpstr>
      <vt:lpstr>Introduction!Print_Area</vt:lpstr>
      <vt:lpstr>Mortgage!Print_Area</vt:lpstr>
    </vt:vector>
  </TitlesOfParts>
  <Company>Stevens Institute of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Charlie</dc:creator>
  <dc:description/>
  <cp:lastModifiedBy>Gabriela Onelli</cp:lastModifiedBy>
  <cp:revision>1</cp:revision>
  <cp:lastPrinted>2020-10-28T04:06:20Z</cp:lastPrinted>
  <dcterms:created xsi:type="dcterms:W3CDTF">2004-06-19T21:55:36Z</dcterms:created>
  <dcterms:modified xsi:type="dcterms:W3CDTF">2021-04-20T13:54:02Z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