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abica_data" sheetId="1" r:id="rId4"/>
  </sheets>
  <definedNames>
    <definedName hidden="1" localSheetId="0" name="_xlnm._FilterDatabase">arabica_data!$A$1:$AN$208</definedName>
  </definedNames>
  <calcPr/>
</workbook>
</file>

<file path=xl/sharedStrings.xml><?xml version="1.0" encoding="utf-8"?>
<sst xmlns="http://schemas.openxmlformats.org/spreadsheetml/2006/main" count="6250" uniqueCount="1052">
  <si>
    <t>ID</t>
  </si>
  <si>
    <t>Country of Origin</t>
  </si>
  <si>
    <t>Lot Number</t>
  </si>
  <si>
    <t>Lot Number_en</t>
  </si>
  <si>
    <t>Altitude</t>
  </si>
  <si>
    <t>Lower_Altitude</t>
  </si>
  <si>
    <t>Upper_Altitude</t>
  </si>
  <si>
    <t>Altitude_Avg</t>
  </si>
  <si>
    <t>Region</t>
  </si>
  <si>
    <t>Region_en</t>
  </si>
  <si>
    <t>Number of Bags</t>
  </si>
  <si>
    <t>Bag Weight</t>
  </si>
  <si>
    <t>In-Country Partner</t>
  </si>
  <si>
    <t>In-Country Partner_en</t>
  </si>
  <si>
    <t>Harvest Year</t>
  </si>
  <si>
    <t>Harvest Start_Year</t>
  </si>
  <si>
    <t>Grading Date</t>
  </si>
  <si>
    <t>Grading Norm_date</t>
  </si>
  <si>
    <t>Variety</t>
  </si>
  <si>
    <t>Status</t>
  </si>
  <si>
    <t>Processing Method</t>
  </si>
  <si>
    <t>Aroma</t>
  </si>
  <si>
    <t>Flavor</t>
  </si>
  <si>
    <t>Aftertaste</t>
  </si>
  <si>
    <t>Acidity</t>
  </si>
  <si>
    <t>Body</t>
  </si>
  <si>
    <t>Balance</t>
  </si>
  <si>
    <t>Uniformity</t>
  </si>
  <si>
    <t>Clean Cup</t>
  </si>
  <si>
    <t>Sweetness</t>
  </si>
  <si>
    <t>Overall</t>
  </si>
  <si>
    <t>Defects</t>
  </si>
  <si>
    <t>Total Cup Points</t>
  </si>
  <si>
    <t>Moisture Percentage</t>
  </si>
  <si>
    <t>Category One Defects</t>
  </si>
  <si>
    <t>Quakers</t>
  </si>
  <si>
    <t>Color</t>
  </si>
  <si>
    <t>Category Two Defects</t>
  </si>
  <si>
    <t>Expiration</t>
  </si>
  <si>
    <t>Expiration Norm_Date</t>
  </si>
  <si>
    <t>0</t>
  </si>
  <si>
    <t>Colombia</t>
  </si>
  <si>
    <t>CQU2022015</t>
  </si>
  <si>
    <t>1700-1930</t>
  </si>
  <si>
    <t>Piendamo,Cauca</t>
  </si>
  <si>
    <t>1</t>
  </si>
  <si>
    <t>Japan Coffee Exchange</t>
  </si>
  <si>
    <t>2021 / 2022</t>
  </si>
  <si>
    <t>September 21st, 2022</t>
  </si>
  <si>
    <t>Castillo</t>
  </si>
  <si>
    <t>Completed</t>
  </si>
  <si>
    <t>Double Anaerobic Washed</t>
  </si>
  <si>
    <t>8.58</t>
  </si>
  <si>
    <t>8.5</t>
  </si>
  <si>
    <t>8.42</t>
  </si>
  <si>
    <t>8.25</t>
  </si>
  <si>
    <t>10</t>
  </si>
  <si>
    <t>89.33</t>
  </si>
  <si>
    <t>11.8</t>
  </si>
  <si>
    <t>Green</t>
  </si>
  <si>
    <t>3</t>
  </si>
  <si>
    <t>September 21st, 2023</t>
  </si>
  <si>
    <t>Taiwan</t>
  </si>
  <si>
    <t>The 2022 Pacific Rim Coffee Summit,T037</t>
  </si>
  <si>
    <t>1200</t>
  </si>
  <si>
    <t>Chiayi</t>
  </si>
  <si>
    <t>Taiwan Coffee Laboratory 台灣咖啡研究室</t>
  </si>
  <si>
    <t>November 15th, 2022</t>
  </si>
  <si>
    <t>Gesha</t>
  </si>
  <si>
    <t>Washed</t>
  </si>
  <si>
    <t>7.92</t>
  </si>
  <si>
    <t>8</t>
  </si>
  <si>
    <t>87.58</t>
  </si>
  <si>
    <t>10.5</t>
  </si>
  <si>
    <t>Blue-Green</t>
  </si>
  <si>
    <t>November 15th, 2023</t>
  </si>
  <si>
    <t>2</t>
  </si>
  <si>
    <t>Laos</t>
  </si>
  <si>
    <t>The 2022 Pacific Rim Coffee Summit,LA01</t>
  </si>
  <si>
    <t>1300</t>
  </si>
  <si>
    <t>Laos Borofen Plateau</t>
  </si>
  <si>
    <t>19</t>
  </si>
  <si>
    <t>Java</t>
  </si>
  <si>
    <t>Semi Washed</t>
  </si>
  <si>
    <t>8.33</t>
  </si>
  <si>
    <t>8.08</t>
  </si>
  <si>
    <t>8.17</t>
  </si>
  <si>
    <t>87.42</t>
  </si>
  <si>
    <t>10.4</t>
  </si>
  <si>
    <t>Yellowish</t>
  </si>
  <si>
    <t>Costa Rica</t>
  </si>
  <si>
    <t>CQU2022017</t>
  </si>
  <si>
    <t>1900</t>
  </si>
  <si>
    <t>Los Santos,Tarrazu</t>
  </si>
  <si>
    <t>2022</t>
  </si>
  <si>
    <t>87.17</t>
  </si>
  <si>
    <t>4</t>
  </si>
  <si>
    <t>CQU2023002</t>
  </si>
  <si>
    <t>1850-2100</t>
  </si>
  <si>
    <t>Popayan,Cauca</t>
  </si>
  <si>
    <t>March 6th, 2023</t>
  </si>
  <si>
    <t>Red Bourbon</t>
  </si>
  <si>
    <t>Honey,Mossto</t>
  </si>
  <si>
    <t>87.08</t>
  </si>
  <si>
    <t>11.6</t>
  </si>
  <si>
    <t>Yellow-Green</t>
  </si>
  <si>
    <t>March 5th, 2024</t>
  </si>
  <si>
    <t>5</t>
  </si>
  <si>
    <t>Guatemala</t>
  </si>
  <si>
    <t>The 2022 Pacific Rim Coffee Summit,GT02</t>
  </si>
  <si>
    <t>1668</t>
  </si>
  <si>
    <t>Chimaltenango</t>
  </si>
  <si>
    <t>7.83</t>
  </si>
  <si>
    <t>87</t>
  </si>
  <si>
    <t>10.7</t>
  </si>
  <si>
    <t>6</t>
  </si>
  <si>
    <t>The 2022 Pacific Rim Coffee Summit,T034</t>
  </si>
  <si>
    <t>1250</t>
  </si>
  <si>
    <t>86.92</t>
  </si>
  <si>
    <t>9.1</t>
  </si>
  <si>
    <t>7</t>
  </si>
  <si>
    <t>The 2022 Pacific Rim Coffee Summit,T050</t>
  </si>
  <si>
    <t>Sl34+Gesha</t>
  </si>
  <si>
    <t>Natural</t>
  </si>
  <si>
    <t>86.75</t>
  </si>
  <si>
    <t>The 2022 Pacific Rim Coffee Summit,T018</t>
  </si>
  <si>
    <t>Sl34</t>
  </si>
  <si>
    <t>86.67</t>
  </si>
  <si>
    <t>10.8</t>
  </si>
  <si>
    <t>9</t>
  </si>
  <si>
    <t>Tanzania, United Republic Of</t>
  </si>
  <si>
    <t>CN 4127230034/4189230113</t>
  </si>
  <si>
    <t>1400-1700</t>
  </si>
  <si>
    <t>KILIMANJARO</t>
  </si>
  <si>
    <t>320</t>
  </si>
  <si>
    <t>Kenya Coffee Traders Association</t>
  </si>
  <si>
    <t>2022 / 2023</t>
  </si>
  <si>
    <t>February 1st, 2023</t>
  </si>
  <si>
    <t>Bourbon</t>
  </si>
  <si>
    <t>86.5</t>
  </si>
  <si>
    <t>11</t>
  </si>
  <si>
    <t>February 1st, 2024</t>
  </si>
  <si>
    <t>Ethiopia</t>
  </si>
  <si>
    <t>010/0296/600</t>
  </si>
  <si>
    <t>1800-2200</t>
  </si>
  <si>
    <t>Guji</t>
  </si>
  <si>
    <t>May 31st, 2022</t>
  </si>
  <si>
    <t>Ethiopian Heirlooms</t>
  </si>
  <si>
    <t>86.25</t>
  </si>
  <si>
    <t>May 31st, 2023</t>
  </si>
  <si>
    <t>The 2022 Pacific Rim Coffee Summit,GT12</t>
  </si>
  <si>
    <t>2000</t>
  </si>
  <si>
    <t>Acatenango</t>
  </si>
  <si>
    <t>2021</t>
  </si>
  <si>
    <t>7.75</t>
  </si>
  <si>
    <t>11.5</t>
  </si>
  <si>
    <t>Brownish</t>
  </si>
  <si>
    <t>12</t>
  </si>
  <si>
    <t>The 2022 Pacific Rim Coffee Summit,T051</t>
  </si>
  <si>
    <t>Yunlin</t>
  </si>
  <si>
    <t>11.9</t>
  </si>
  <si>
    <t>13</t>
  </si>
  <si>
    <t>Grade 1, Guji, Natural, Gelana Geisha</t>
  </si>
  <si>
    <t>1900-2000</t>
  </si>
  <si>
    <t>40</t>
  </si>
  <si>
    <t>METAD Agricultural Development plc</t>
  </si>
  <si>
    <t>August 26th, 2022</t>
  </si>
  <si>
    <t>7.67</t>
  </si>
  <si>
    <t>86.17</t>
  </si>
  <si>
    <t>August 26th, 2023</t>
  </si>
  <si>
    <t>14</t>
  </si>
  <si>
    <t>The 2022 Pacific Rim Coffee Summit,CO03</t>
  </si>
  <si>
    <t>1850</t>
  </si>
  <si>
    <t>tolima</t>
  </si>
  <si>
    <t>70</t>
  </si>
  <si>
    <t>Caturra</t>
  </si>
  <si>
    <t>10.6</t>
  </si>
  <si>
    <t>15</t>
  </si>
  <si>
    <t>The 2022 Pacific Rim Coffee Summit,T014</t>
  </si>
  <si>
    <t>1100</t>
  </si>
  <si>
    <t>Honey</t>
  </si>
  <si>
    <t>86.08</t>
  </si>
  <si>
    <t>10.2</t>
  </si>
  <si>
    <t>16</t>
  </si>
  <si>
    <t>CQU2023006</t>
  </si>
  <si>
    <t>1900-2100</t>
  </si>
  <si>
    <t>Gedeb,Yirgacheffe,Sidamo</t>
  </si>
  <si>
    <t>April 7th, 2023</t>
  </si>
  <si>
    <t>Wolishalo,Kurume,Dega</t>
  </si>
  <si>
    <t>11.3</t>
  </si>
  <si>
    <t>April 6th, 2024</t>
  </si>
  <si>
    <t>17</t>
  </si>
  <si>
    <t>202203</t>
  </si>
  <si>
    <t>Shibi, Gukeng Township, Yunlin County 郵遞區號 , Taiwan (R.O.C.)</t>
  </si>
  <si>
    <t>Blossom Valley International宸嶧國際</t>
  </si>
  <si>
    <t>October 24th, 2022</t>
  </si>
  <si>
    <t>10.3</t>
  </si>
  <si>
    <t>October 24th, 2023</t>
  </si>
  <si>
    <t>18</t>
  </si>
  <si>
    <t>202112</t>
  </si>
  <si>
    <t>Gukeng Township, Yunlin County</t>
  </si>
  <si>
    <t>85.92</t>
  </si>
  <si>
    <t>CN 4127230032/P-9140</t>
  </si>
  <si>
    <t>1570-1600</t>
  </si>
  <si>
    <t>Arusha</t>
  </si>
  <si>
    <t>200</t>
  </si>
  <si>
    <t>85.83</t>
  </si>
  <si>
    <t>20</t>
  </si>
  <si>
    <t>The 2022 Pacific Rim Coffee Summit,GT03</t>
  </si>
  <si>
    <t>Guatemala, Fraijanes, Santa Rosa</t>
  </si>
  <si>
    <t>85.75</t>
  </si>
  <si>
    <t>21</t>
  </si>
  <si>
    <t>2022/03</t>
  </si>
  <si>
    <t>850</t>
  </si>
  <si>
    <t>卓溪鄉Zhuoxi Township</t>
  </si>
  <si>
    <t>December 12th, 2022</t>
  </si>
  <si>
    <t>Typica</t>
  </si>
  <si>
    <t>85.67</t>
  </si>
  <si>
    <t>December 12th, 2023</t>
  </si>
  <si>
    <t>22</t>
  </si>
  <si>
    <t>Thailand</t>
  </si>
  <si>
    <t>1500-1700</t>
  </si>
  <si>
    <t>Chiang Mai</t>
  </si>
  <si>
    <t>FABB Academy of Coffee</t>
  </si>
  <si>
    <t>August 16th, 2022</t>
  </si>
  <si>
    <t>Catimor</t>
  </si>
  <si>
    <t>9.8</t>
  </si>
  <si>
    <t>Brown-Green</t>
  </si>
  <si>
    <t>August 16th, 2023</t>
  </si>
  <si>
    <t>23</t>
  </si>
  <si>
    <t>CQU2023005</t>
  </si>
  <si>
    <t>1350</t>
  </si>
  <si>
    <t>Quindio</t>
  </si>
  <si>
    <t>Castillo Paraguaycito</t>
  </si>
  <si>
    <t>Not Available</t>
  </si>
  <si>
    <t>24</t>
  </si>
  <si>
    <t>The 2022 Pacific Rim Coffee Summit, T003</t>
  </si>
  <si>
    <t>85.58</t>
  </si>
  <si>
    <t>25</t>
  </si>
  <si>
    <t>Brazil</t>
  </si>
  <si>
    <t>Arara 1</t>
  </si>
  <si>
    <t>Região Vulcânica</t>
  </si>
  <si>
    <t>Brazil Specialty Coffee Association</t>
  </si>
  <si>
    <t>January 6th, 2023</t>
  </si>
  <si>
    <t>85.5</t>
  </si>
  <si>
    <t>January 6th, 2024</t>
  </si>
  <si>
    <t>26</t>
  </si>
  <si>
    <t>The 2022 Pacific Rim Coffee Summit,T024</t>
  </si>
  <si>
    <t>27</t>
  </si>
  <si>
    <t>The 2022 Pacific Rim Coffee Summit,T048</t>
  </si>
  <si>
    <t>7.58</t>
  </si>
  <si>
    <t>28</t>
  </si>
  <si>
    <t>The 2022 Pacific Rim Coffee Summit,T045</t>
  </si>
  <si>
    <t>1060</t>
  </si>
  <si>
    <t>29</t>
  </si>
  <si>
    <t>United States (Hawaii)</t>
  </si>
  <si>
    <t>The 2022 Pacific Rim Coffee Summit,US01</t>
  </si>
  <si>
    <t>600</t>
  </si>
  <si>
    <t>Kona</t>
  </si>
  <si>
    <t>80</t>
  </si>
  <si>
    <t>85.42</t>
  </si>
  <si>
    <t>9.3</t>
  </si>
  <si>
    <t>30</t>
  </si>
  <si>
    <t>2022/3/1(老叢)</t>
  </si>
  <si>
    <t>150-250</t>
  </si>
  <si>
    <t>壽豐鄉Shoufeng Township</t>
  </si>
  <si>
    <t>11.4</t>
  </si>
  <si>
    <t>31</t>
  </si>
  <si>
    <t>2022/02</t>
  </si>
  <si>
    <t>85.33</t>
  </si>
  <si>
    <t>32</t>
  </si>
  <si>
    <t>2022臺南市精品咖啡評鑑批次</t>
  </si>
  <si>
    <t>668</t>
  </si>
  <si>
    <t>Dongshan Dist., Tainan City</t>
  </si>
  <si>
    <t>June 8th, 2022</t>
  </si>
  <si>
    <t>June 8th, 2023</t>
  </si>
  <si>
    <t>33</t>
  </si>
  <si>
    <t>Washed Limmu</t>
  </si>
  <si>
    <t>1950</t>
  </si>
  <si>
    <t>Oromia</t>
  </si>
  <si>
    <t>June 6th, 2022</t>
  </si>
  <si>
    <t>9.9</t>
  </si>
  <si>
    <t>June 6th, 2023</t>
  </si>
  <si>
    <t>34</t>
  </si>
  <si>
    <t>65</t>
  </si>
  <si>
    <t>2150 - 2350</t>
  </si>
  <si>
    <t>Southern Ethiopia Guji</t>
  </si>
  <si>
    <t>September 30th, 2022</t>
  </si>
  <si>
    <t>12.3</t>
  </si>
  <si>
    <t>September 30th, 2023</t>
  </si>
  <si>
    <t>35</t>
  </si>
  <si>
    <t>1700</t>
  </si>
  <si>
    <t>OROMIA</t>
  </si>
  <si>
    <t>85.25</t>
  </si>
  <si>
    <t>9.4</t>
  </si>
  <si>
    <t>36</t>
  </si>
  <si>
    <t>The 2022 Pacific Rim Coffee Summit, T004</t>
  </si>
  <si>
    <t>9.5</t>
  </si>
  <si>
    <t>37</t>
  </si>
  <si>
    <t>650</t>
  </si>
  <si>
    <t>38</t>
  </si>
  <si>
    <t>Kenya</t>
  </si>
  <si>
    <t>5516</t>
  </si>
  <si>
    <t>1600-1900</t>
  </si>
  <si>
    <t>Central</t>
  </si>
  <si>
    <t>300</t>
  </si>
  <si>
    <t>February 28th, 2023</t>
  </si>
  <si>
    <t>Sl28</t>
  </si>
  <si>
    <t>9.2</t>
  </si>
  <si>
    <t>February 28th, 2024</t>
  </si>
  <si>
    <t>39</t>
  </si>
  <si>
    <t>Caoling , Gukeng Township, Yunlin County</t>
  </si>
  <si>
    <t>2017 / 2018</t>
  </si>
  <si>
    <t>85.17</t>
  </si>
  <si>
    <t>2022/01</t>
  </si>
  <si>
    <t>300-500</t>
  </si>
  <si>
    <t>秀林鄉Show Linxia Township</t>
  </si>
  <si>
    <t>85.08</t>
  </si>
  <si>
    <t>41</t>
  </si>
  <si>
    <t>屏東縣三地門鄉德文段</t>
  </si>
  <si>
    <t>1000</t>
  </si>
  <si>
    <t>台灣屏東</t>
  </si>
  <si>
    <t>December 30th, 2022</t>
  </si>
  <si>
    <t>December 30th, 2023</t>
  </si>
  <si>
    <t>42</t>
  </si>
  <si>
    <t>A26-Northern Taiwan Specialty Coffee Evaluation</t>
  </si>
  <si>
    <t>800</t>
  </si>
  <si>
    <t>苗栗縣</t>
  </si>
  <si>
    <t>Pale Yellow</t>
  </si>
  <si>
    <t>43</t>
  </si>
  <si>
    <t>Uganda</t>
  </si>
  <si>
    <t>7938</t>
  </si>
  <si>
    <t>1905</t>
  </si>
  <si>
    <t>Rwenzori</t>
  </si>
  <si>
    <t>Uganda Coffee Development Authority</t>
  </si>
  <si>
    <t>June 29th, 2022</t>
  </si>
  <si>
    <t>Sl14</t>
  </si>
  <si>
    <t>85</t>
  </si>
  <si>
    <t>June 29th, 2023</t>
  </si>
  <si>
    <t>44</t>
  </si>
  <si>
    <t>2021/01</t>
  </si>
  <si>
    <t>150</t>
  </si>
  <si>
    <t>10.9</t>
  </si>
  <si>
    <t>45</t>
  </si>
  <si>
    <t>The 2022 Pacific Rim Coffee Summit,T011</t>
  </si>
  <si>
    <t>10.1</t>
  </si>
  <si>
    <t>46</t>
  </si>
  <si>
    <t>11/15/118</t>
  </si>
  <si>
    <t>1600</t>
  </si>
  <si>
    <t>Antigua</t>
  </si>
  <si>
    <t>Asociacion Nacional Del Café</t>
  </si>
  <si>
    <t>April 17th, 2023</t>
  </si>
  <si>
    <t>April 16th, 2024</t>
  </si>
  <si>
    <t>47</t>
  </si>
  <si>
    <t>11/951/279</t>
  </si>
  <si>
    <t>4700</t>
  </si>
  <si>
    <t>Santa Rosa</t>
  </si>
  <si>
    <t>632</t>
  </si>
  <si>
    <t>February 23rd, 2023</t>
  </si>
  <si>
    <t>Catuai</t>
  </si>
  <si>
    <t>February 23rd, 2024</t>
  </si>
  <si>
    <t>48</t>
  </si>
  <si>
    <t>11/441/50</t>
  </si>
  <si>
    <t>quiche</t>
  </si>
  <si>
    <t>275</t>
  </si>
  <si>
    <t>June 22nd, 2022</t>
  </si>
  <si>
    <t>84.92</t>
  </si>
  <si>
    <t>11.7</t>
  </si>
  <si>
    <t>June 22nd, 2023</t>
  </si>
  <si>
    <t>49</t>
  </si>
  <si>
    <t>A03-Northern Taiwan Specialty Coffee Evaluation</t>
  </si>
  <si>
    <t>350-400</t>
  </si>
  <si>
    <t>新竹縣</t>
  </si>
  <si>
    <t>50</t>
  </si>
  <si>
    <t>A23-Northern Taiwan Specialty Coffee Evaluation</t>
  </si>
  <si>
    <t>230</t>
  </si>
  <si>
    <t>Yellow Bourbon</t>
  </si>
  <si>
    <t>84.83</t>
  </si>
  <si>
    <t>9.7</t>
  </si>
  <si>
    <t>51</t>
  </si>
  <si>
    <t>Indonesia</t>
  </si>
  <si>
    <t>016/1513/262</t>
  </si>
  <si>
    <t>Aceh Tengah</t>
  </si>
  <si>
    <t>NKG Quality Service (a division of Bernhard Rothfos Intercafé AG)</t>
  </si>
  <si>
    <t>September 23rd, 2022</t>
  </si>
  <si>
    <t>September 23rd, 2023</t>
  </si>
  <si>
    <t>52</t>
  </si>
  <si>
    <t>Peru</t>
  </si>
  <si>
    <t>The 2022 Pacific Rim Coffee Summit,PE02</t>
  </si>
  <si>
    <t>1750</t>
  </si>
  <si>
    <t>Villa Rica</t>
  </si>
  <si>
    <t>53</t>
  </si>
  <si>
    <t>S59588/P03989</t>
  </si>
  <si>
    <t>1654</t>
  </si>
  <si>
    <t>Mbeya</t>
  </si>
  <si>
    <t>620</t>
  </si>
  <si>
    <t>November 9th, 2022</t>
  </si>
  <si>
    <t>11.2</t>
  </si>
  <si>
    <t>November 9th, 2023</t>
  </si>
  <si>
    <t>54</t>
  </si>
  <si>
    <t>The 2022 Pacific Rim Coffee Summit,T029</t>
  </si>
  <si>
    <t>55</t>
  </si>
  <si>
    <t>The 2022 Pacific Rim Coffee Summit,T039</t>
  </si>
  <si>
    <t>1400</t>
  </si>
  <si>
    <t>Nantou</t>
  </si>
  <si>
    <t>84.75</t>
  </si>
  <si>
    <t>56</t>
  </si>
  <si>
    <t>FBT111</t>
  </si>
  <si>
    <t>Campo das Vertentes</t>
  </si>
  <si>
    <t>February 13th, 2023</t>
  </si>
  <si>
    <t>Double Carbonic Maceration / Natural</t>
  </si>
  <si>
    <t>February 13th, 2024</t>
  </si>
  <si>
    <t>57</t>
  </si>
  <si>
    <t>Panama</t>
  </si>
  <si>
    <t>2-237-05</t>
  </si>
  <si>
    <t>Boquete</t>
  </si>
  <si>
    <t>Specialty Coffee Association of Costa Rica</t>
  </si>
  <si>
    <t>April 26th, 2023</t>
  </si>
  <si>
    <t>April 25th, 2024</t>
  </si>
  <si>
    <t>58</t>
  </si>
  <si>
    <t>屏東縣瑪家鄉</t>
  </si>
  <si>
    <t>59</t>
  </si>
  <si>
    <t>11/15/117</t>
  </si>
  <si>
    <t>Huehuetenango</t>
  </si>
  <si>
    <t>April 28th, 2023</t>
  </si>
  <si>
    <t>84.67</t>
  </si>
  <si>
    <t>April 27th, 2024</t>
  </si>
  <si>
    <t>60</t>
  </si>
  <si>
    <t>11/54876/03</t>
  </si>
  <si>
    <t>4895</t>
  </si>
  <si>
    <t>ANTIGUA GUATEMALA</t>
  </si>
  <si>
    <t>66</t>
  </si>
  <si>
    <t>May 19th, 2022</t>
  </si>
  <si>
    <t>May 19th, 2023</t>
  </si>
  <si>
    <t>61</t>
  </si>
  <si>
    <t>12075</t>
  </si>
  <si>
    <t>Tarrazu</t>
  </si>
  <si>
    <t>260</t>
  </si>
  <si>
    <t>April 19th, 2023</t>
  </si>
  <si>
    <t>7.5</t>
  </si>
  <si>
    <t>April 18th, 2024</t>
  </si>
  <si>
    <t>62</t>
  </si>
  <si>
    <t>A11-Northern Taiwan Specialty Coffee Evaluation</t>
  </si>
  <si>
    <t>200-300</t>
  </si>
  <si>
    <t>84.58</t>
  </si>
  <si>
    <t>9.6</t>
  </si>
  <si>
    <t>63</t>
  </si>
  <si>
    <t>700</t>
  </si>
  <si>
    <t>64</t>
  </si>
  <si>
    <t>Nicaragua</t>
  </si>
  <si>
    <t>10 1.1</t>
  </si>
  <si>
    <t>ESTELI</t>
  </si>
  <si>
    <t>74</t>
  </si>
  <si>
    <t>Specialty Coffee Association</t>
  </si>
  <si>
    <t>June 9th, 2022</t>
  </si>
  <si>
    <t>Catrenic</t>
  </si>
  <si>
    <t>June 9th, 2023</t>
  </si>
  <si>
    <t>The 2022 Pacific Rim Coffee Summit,T036</t>
  </si>
  <si>
    <t>The 2022 Pacific Rim Coffee Summit,T042</t>
  </si>
  <si>
    <t>1450</t>
  </si>
  <si>
    <t>67</t>
  </si>
  <si>
    <t>Vietnam</t>
  </si>
  <si>
    <t>The 2022 Pacific Rim Coffee Summit,VN02</t>
  </si>
  <si>
    <t>Quang Tri</t>
  </si>
  <si>
    <t>68</t>
  </si>
  <si>
    <t>CQU2022018</t>
  </si>
  <si>
    <t>October 4th, 2022</t>
  </si>
  <si>
    <t>84.5</t>
  </si>
  <si>
    <t>October 4th, 2023</t>
  </si>
  <si>
    <t>69</t>
  </si>
  <si>
    <t>A37-Northern Taiwan Specialty Coffee Evaluation</t>
  </si>
  <si>
    <t>520</t>
  </si>
  <si>
    <t>Honduras</t>
  </si>
  <si>
    <t>1368</t>
  </si>
  <si>
    <t>Centro, Lagunetillas-Ajuterique, Comayagua</t>
  </si>
  <si>
    <t>340</t>
  </si>
  <si>
    <t>Instituto Hondureño del Café</t>
  </si>
  <si>
    <t>April 25th, 2023</t>
  </si>
  <si>
    <t>April 24th, 2024</t>
  </si>
  <si>
    <t>71</t>
  </si>
  <si>
    <t>712</t>
  </si>
  <si>
    <t>1943</t>
  </si>
  <si>
    <t>584</t>
  </si>
  <si>
    <t>August 23rd, 2022</t>
  </si>
  <si>
    <t>August 23rd, 2023</t>
  </si>
  <si>
    <t>72</t>
  </si>
  <si>
    <t>2021/11</t>
  </si>
  <si>
    <t>400</t>
  </si>
  <si>
    <t>玉里鎮Yuli Township</t>
  </si>
  <si>
    <t>73</t>
  </si>
  <si>
    <t>The 2022 Pacific Rim Coffee Summit,T031</t>
  </si>
  <si>
    <t>84.42</t>
  </si>
  <si>
    <t>11-63-657</t>
  </si>
  <si>
    <t>1300-1400</t>
  </si>
  <si>
    <t>84.33</t>
  </si>
  <si>
    <t>75</t>
  </si>
  <si>
    <t>Islander’s Coffee for Pacific Rim Summit</t>
  </si>
  <si>
    <t>Ka'u district of Big Island</t>
  </si>
  <si>
    <t>76</t>
  </si>
  <si>
    <t>2361</t>
  </si>
  <si>
    <t>Addis Ababa</t>
  </si>
  <si>
    <t>September 19th, 2022</t>
  </si>
  <si>
    <t>September 19th, 2023</t>
  </si>
  <si>
    <t>77</t>
  </si>
  <si>
    <t>El Salvador</t>
  </si>
  <si>
    <t>The 2022 Pacific Rim Coffee Summit,SV01</t>
  </si>
  <si>
    <t>1500</t>
  </si>
  <si>
    <t>Chalatenango</t>
  </si>
  <si>
    <t>Pacamara</t>
  </si>
  <si>
    <t>78</t>
  </si>
  <si>
    <t>NPCO-17418</t>
  </si>
  <si>
    <t>2100</t>
  </si>
  <si>
    <t>Sierra Nevada de Santa Marta</t>
  </si>
  <si>
    <t>ASOCIACIÓN COLOMBIANA PARA LA EXCELENCIA DEL CAFE</t>
  </si>
  <si>
    <t>May 11th, 2022</t>
  </si>
  <si>
    <t>Castillo And Colombia Blend</t>
  </si>
  <si>
    <t>May 11th, 2023</t>
  </si>
  <si>
    <t>79</t>
  </si>
  <si>
    <t>1250-1350</t>
  </si>
  <si>
    <t>Lintong Nihuta/Dolok Sanggul,Sumatera Utara</t>
  </si>
  <si>
    <t>Jember,Tim-Tim,Ateng</t>
  </si>
  <si>
    <t>Wet Hulling</t>
  </si>
  <si>
    <t>84.25</t>
  </si>
  <si>
    <t>11/15/96</t>
  </si>
  <si>
    <t>Atitlán</t>
  </si>
  <si>
    <t>81</t>
  </si>
  <si>
    <t>Madagascar</t>
  </si>
  <si>
    <t>Itasy</t>
  </si>
  <si>
    <t>12.1</t>
  </si>
  <si>
    <t>82</t>
  </si>
  <si>
    <t>345</t>
  </si>
  <si>
    <t>84.17</t>
  </si>
  <si>
    <t>83</t>
  </si>
  <si>
    <t>11/441/49</t>
  </si>
  <si>
    <t>84.08</t>
  </si>
  <si>
    <t>84</t>
  </si>
  <si>
    <t>A32-Northern Taiwan Specialty Coffee Evaluation</t>
  </si>
  <si>
    <t>新北市</t>
  </si>
  <si>
    <t>The 2022 Pacific Rim Coffee Summit,T017</t>
  </si>
  <si>
    <t>9.33</t>
  </si>
  <si>
    <t>86</t>
  </si>
  <si>
    <t>11/15/51</t>
  </si>
  <si>
    <t>1500-1600</t>
  </si>
  <si>
    <t>Oriente Santa rosa</t>
  </si>
  <si>
    <t>430</t>
  </si>
  <si>
    <t>March 22nd, 2023</t>
  </si>
  <si>
    <t>March 21st, 2024</t>
  </si>
  <si>
    <t>11/15/59</t>
  </si>
  <si>
    <t>Sierra de las minas</t>
  </si>
  <si>
    <t>88</t>
  </si>
  <si>
    <t>The 2022 Pacific Rim Coffee Summit,HN04</t>
  </si>
  <si>
    <t>1800</t>
  </si>
  <si>
    <t>San Andrés, Lempira</t>
  </si>
  <si>
    <t>89</t>
  </si>
  <si>
    <t>CN 4127230031/P-9139</t>
  </si>
  <si>
    <t>1600-1750</t>
  </si>
  <si>
    <t>ARUSHA</t>
  </si>
  <si>
    <t>January 3rd, 2023</t>
  </si>
  <si>
    <t>January 3rd, 2024</t>
  </si>
  <si>
    <t>90</t>
  </si>
  <si>
    <t>1077</t>
  </si>
  <si>
    <t>Sidama</t>
  </si>
  <si>
    <t>Centro Agroecológico del Café A.C.</t>
  </si>
  <si>
    <t>November 18th, 2022</t>
  </si>
  <si>
    <t>November 18th, 2023</t>
  </si>
  <si>
    <t>91</t>
  </si>
  <si>
    <t>CN 4127220159/4189220459</t>
  </si>
  <si>
    <t>November 21st, 2022</t>
  </si>
  <si>
    <t>November 21st, 2023</t>
  </si>
  <si>
    <t>92</t>
  </si>
  <si>
    <t>3-002-00883</t>
  </si>
  <si>
    <t>Huila</t>
  </si>
  <si>
    <t>July 27th, 2022</t>
  </si>
  <si>
    <t>13.3</t>
  </si>
  <si>
    <t>July 27th, 2023</t>
  </si>
  <si>
    <t>93</t>
  </si>
  <si>
    <t>12077-01</t>
  </si>
  <si>
    <t>250</t>
  </si>
  <si>
    <t>83.92</t>
  </si>
  <si>
    <t>94</t>
  </si>
  <si>
    <t>The 2022 Pacific Rim Coffee Summit,GT01</t>
  </si>
  <si>
    <t>New Oriente</t>
  </si>
  <si>
    <t>95</t>
  </si>
  <si>
    <t>11/15/95</t>
  </si>
  <si>
    <t>96</t>
  </si>
  <si>
    <t>CQU2022016</t>
  </si>
  <si>
    <t>Nan</t>
  </si>
  <si>
    <t>97</t>
  </si>
  <si>
    <t>3/37/1370</t>
  </si>
  <si>
    <t>1411</t>
  </si>
  <si>
    <t>Pereira</t>
  </si>
  <si>
    <t>375</t>
  </si>
  <si>
    <t>83.83</t>
  </si>
  <si>
    <t>98</t>
  </si>
  <si>
    <t>11/63/908</t>
  </si>
  <si>
    <t>HUEHUETENANGO</t>
  </si>
  <si>
    <t>May 13th, 2022</t>
  </si>
  <si>
    <t>Bourbon, Caturra Y Catimor</t>
  </si>
  <si>
    <t>May 13th, 2023</t>
  </si>
  <si>
    <t>99</t>
  </si>
  <si>
    <t>AMNI-22-0905</t>
  </si>
  <si>
    <t>4895 - 5650</t>
  </si>
  <si>
    <t>635</t>
  </si>
  <si>
    <t>100</t>
  </si>
  <si>
    <t>September 9th, 2022</t>
  </si>
  <si>
    <t>September 9th, 2023</t>
  </si>
  <si>
    <t>101</t>
  </si>
  <si>
    <t>3-0068-00886</t>
  </si>
  <si>
    <t>Cauca</t>
  </si>
  <si>
    <t>285</t>
  </si>
  <si>
    <t>February 22nd, 2023</t>
  </si>
  <si>
    <t>7.42</t>
  </si>
  <si>
    <t>February 22nd, 2024</t>
  </si>
  <si>
    <t>102</t>
  </si>
  <si>
    <t>The 2022 Pacific Rim Coffee Summit,US02</t>
  </si>
  <si>
    <t>400-600</t>
  </si>
  <si>
    <t>Ka'u</t>
  </si>
  <si>
    <t>103</t>
  </si>
  <si>
    <t>The 2022 Pacific Rim Coffee Summit,CO02</t>
  </si>
  <si>
    <t>Tolima</t>
  </si>
  <si>
    <t>Bourbon Sidra</t>
  </si>
  <si>
    <t>83.75</t>
  </si>
  <si>
    <t>104</t>
  </si>
  <si>
    <t>Mexico</t>
  </si>
  <si>
    <t>312</t>
  </si>
  <si>
    <t>Chiapas</t>
  </si>
  <si>
    <t>April 5th, 2023</t>
  </si>
  <si>
    <t>Sarchimor</t>
  </si>
  <si>
    <t>April 4th, 2024</t>
  </si>
  <si>
    <t>105</t>
  </si>
  <si>
    <t>Barista and Coffee Academy of Asia</t>
  </si>
  <si>
    <t>September 26th, 2022</t>
  </si>
  <si>
    <t>83.67</t>
  </si>
  <si>
    <t>12.4</t>
  </si>
  <si>
    <t>September 26th, 2023</t>
  </si>
  <si>
    <t>106</t>
  </si>
  <si>
    <t>107</t>
  </si>
  <si>
    <t>Myanmar</t>
  </si>
  <si>
    <t>The 2022 Pacific Rim Coffee Summit,MM01</t>
  </si>
  <si>
    <t>South Shan State</t>
  </si>
  <si>
    <t>Catimor,Catuai,Caturra,Bourbon</t>
  </si>
  <si>
    <t>108</t>
  </si>
  <si>
    <t>A05-Northern Taiwan Specialty Coffee Evaluation</t>
  </si>
  <si>
    <t>200-400</t>
  </si>
  <si>
    <t>109</t>
  </si>
  <si>
    <t>The 2022 Pacific Rim Coffee Summit,HN01</t>
  </si>
  <si>
    <t>1470</t>
  </si>
  <si>
    <t>San Jose, La Paz</t>
  </si>
  <si>
    <t>Parainema</t>
  </si>
  <si>
    <t>11.1</t>
  </si>
  <si>
    <t>110</t>
  </si>
  <si>
    <t>A30-Northern Taiwan Specialty Coffee Evaluation</t>
  </si>
  <si>
    <t>250-400</t>
  </si>
  <si>
    <t>83.58</t>
  </si>
  <si>
    <t>8.4</t>
  </si>
  <si>
    <t>111</t>
  </si>
  <si>
    <t>A14-Northern Taiwan Specialty Coffee Evaluation</t>
  </si>
  <si>
    <t>250-300</t>
  </si>
  <si>
    <t>112</t>
  </si>
  <si>
    <t>P-4142</t>
  </si>
  <si>
    <t>QUICHE</t>
  </si>
  <si>
    <t>113</t>
  </si>
  <si>
    <t>AMNI-22-6011-1</t>
  </si>
  <si>
    <t>Marcala</t>
  </si>
  <si>
    <t>August 17th, 2022</t>
  </si>
  <si>
    <t>Shg</t>
  </si>
  <si>
    <t>83.5</t>
  </si>
  <si>
    <t>August 17th, 2023</t>
  </si>
  <si>
    <t>114</t>
  </si>
  <si>
    <t>3-0104-00202 Popayán Supremo</t>
  </si>
  <si>
    <t>Popayán Cauca</t>
  </si>
  <si>
    <t>January 18th, 2023</t>
  </si>
  <si>
    <t>12.2</t>
  </si>
  <si>
    <t>January 18th, 2024</t>
  </si>
  <si>
    <t>115</t>
  </si>
  <si>
    <t>BOURBON 21/22 (Coffea Arabica)</t>
  </si>
  <si>
    <t>1200 - 1580</t>
  </si>
  <si>
    <t>North of Thailand</t>
  </si>
  <si>
    <t>July 14th, 2022</t>
  </si>
  <si>
    <t>13.1</t>
  </si>
  <si>
    <t>July 14th, 2023</t>
  </si>
  <si>
    <t>116</t>
  </si>
  <si>
    <t>November 30th, 2022</t>
  </si>
  <si>
    <t>November 30th, 2023</t>
  </si>
  <si>
    <t>117</t>
  </si>
  <si>
    <t>CQU2022011</t>
  </si>
  <si>
    <t>Suan Ya Lung</t>
  </si>
  <si>
    <t>June 16th, 2022</t>
  </si>
  <si>
    <t>83.42</t>
  </si>
  <si>
    <t>June 16th, 2023</t>
  </si>
  <si>
    <t>118</t>
  </si>
  <si>
    <t>035/170/5021210</t>
  </si>
  <si>
    <t>1400 - 1900</t>
  </si>
  <si>
    <t>Mt Elgon</t>
  </si>
  <si>
    <t>July 7th, 2022</t>
  </si>
  <si>
    <t>July 7th, 2023</t>
  </si>
  <si>
    <t>119</t>
  </si>
  <si>
    <t>The 2022 Pacific Rim Coffee Summit,T022</t>
  </si>
  <si>
    <t>Typica + Sl34</t>
  </si>
  <si>
    <t>8.67</t>
  </si>
  <si>
    <t>120</t>
  </si>
  <si>
    <t>7969</t>
  </si>
  <si>
    <t>September 1st, 2022</t>
  </si>
  <si>
    <t>83.33</t>
  </si>
  <si>
    <t>September 1st, 2023</t>
  </si>
  <si>
    <t>121</t>
  </si>
  <si>
    <t>A04-Northern Taiwan Specialty Coffee Evaluation</t>
  </si>
  <si>
    <t>122</t>
  </si>
  <si>
    <t>1280-1325</t>
  </si>
  <si>
    <t>NEW ORIENTE &amp; HUEHUETENANGO</t>
  </si>
  <si>
    <t>Marsellesa, Catuai, Caturra &amp; Marsellesa, Anacafe 14, Catuai</t>
  </si>
  <si>
    <t>123</t>
  </si>
  <si>
    <t>A21-Northern Taiwan Specialty Coffee Evaluation</t>
  </si>
  <si>
    <t>桃園市</t>
  </si>
  <si>
    <t>124</t>
  </si>
  <si>
    <t>13.5</t>
  </si>
  <si>
    <t>125</t>
  </si>
  <si>
    <t>12074</t>
  </si>
  <si>
    <t>126</t>
  </si>
  <si>
    <t>The 2022 Pacific Rim Coffee Summit,T019</t>
  </si>
  <si>
    <t>750</t>
  </si>
  <si>
    <t>127</t>
  </si>
  <si>
    <t>TYPICA 21/22 (Coffea Arabica)</t>
  </si>
  <si>
    <t>1300-1500</t>
  </si>
  <si>
    <t>7.33</t>
  </si>
  <si>
    <t>128</t>
  </si>
  <si>
    <t>CN 4127220163/4189220459</t>
  </si>
  <si>
    <t>83.25</t>
  </si>
  <si>
    <t>129</t>
  </si>
  <si>
    <t>004/22</t>
  </si>
  <si>
    <t>950</t>
  </si>
  <si>
    <t>Sul de Minas</t>
  </si>
  <si>
    <t>960</t>
  </si>
  <si>
    <t>Mundo Novo</t>
  </si>
  <si>
    <t>130</t>
  </si>
  <si>
    <t>A41-Northern Taiwan Specialty Coffee Evaluation</t>
  </si>
  <si>
    <t>1100-1200</t>
  </si>
  <si>
    <t>131</t>
  </si>
  <si>
    <t>CQU2023003</t>
  </si>
  <si>
    <t>1390</t>
  </si>
  <si>
    <t>Red Bourbon,Caturra</t>
  </si>
  <si>
    <t>Anaerobico 1000h</t>
  </si>
  <si>
    <t>132</t>
  </si>
  <si>
    <t>The 2022 Pacific Rim Coffee Summit,HN03</t>
  </si>
  <si>
    <t>Marcala, La Paz</t>
  </si>
  <si>
    <t>Lempira</t>
  </si>
  <si>
    <t>133</t>
  </si>
  <si>
    <t>AMNI-22-6011-2</t>
  </si>
  <si>
    <t>134</t>
  </si>
  <si>
    <t>A35-Northern Taiwan Specialty Coffee Evaluation</t>
  </si>
  <si>
    <t>83.17</t>
  </si>
  <si>
    <t>135</t>
  </si>
  <si>
    <t>A20-Northern Taiwan Specialty Coffee Evaluation</t>
  </si>
  <si>
    <t>136</t>
  </si>
  <si>
    <t>DCN03.11.2022</t>
  </si>
  <si>
    <t>1200 - 1300</t>
  </si>
  <si>
    <t>Nongluang Bolaven Plateau, Champasack, Lao PDR</t>
  </si>
  <si>
    <t>Specialty Coffee Association of Indonesia</t>
  </si>
  <si>
    <t>83.08</t>
  </si>
  <si>
    <t>137</t>
  </si>
  <si>
    <t>187</t>
  </si>
  <si>
    <t>Centro, Lagunetillas - Ajuterique, Comayagua</t>
  </si>
  <si>
    <t>May 23rd, 2022</t>
  </si>
  <si>
    <t>May 23rd, 2023</t>
  </si>
  <si>
    <t>138</t>
  </si>
  <si>
    <t>198</t>
  </si>
  <si>
    <t>Los Planes de Santa Maria, La Paz</t>
  </si>
  <si>
    <t>325</t>
  </si>
  <si>
    <t>139</t>
  </si>
  <si>
    <t>3-59-0654</t>
  </si>
  <si>
    <t>1650</t>
  </si>
  <si>
    <t>HUILA</t>
  </si>
  <si>
    <t>January 13th, 2023</t>
  </si>
  <si>
    <t>January 13th, 2024</t>
  </si>
  <si>
    <t>140</t>
  </si>
  <si>
    <t>A17-Northern Taiwan Specialty Coffee Evaluation</t>
  </si>
  <si>
    <t>82.92</t>
  </si>
  <si>
    <t>8.9</t>
  </si>
  <si>
    <t>141</t>
  </si>
  <si>
    <t>ZONGOLICA, VERACRUZ</t>
  </si>
  <si>
    <t>August 11th, 2022</t>
  </si>
  <si>
    <t>August 11th, 2023</t>
  </si>
  <si>
    <t>142</t>
  </si>
  <si>
    <t>CQU2022013</t>
  </si>
  <si>
    <t>Typica Gesha</t>
  </si>
  <si>
    <t>143</t>
  </si>
  <si>
    <t>144</t>
  </si>
  <si>
    <t>273</t>
  </si>
  <si>
    <t>1280</t>
  </si>
  <si>
    <t>April 24th, 2023</t>
  </si>
  <si>
    <t>82.83</t>
  </si>
  <si>
    <t>April 23rd, 2024</t>
  </si>
  <si>
    <t>145</t>
  </si>
  <si>
    <t>GAYO 21/22 (Coffea Arabica)</t>
  </si>
  <si>
    <t>Gayo</t>
  </si>
  <si>
    <t>7.17</t>
  </si>
  <si>
    <t>146</t>
  </si>
  <si>
    <t>VHA- S3</t>
  </si>
  <si>
    <t>900</t>
  </si>
  <si>
    <t>Eatan Commune, Krong Nang District, Krong Nang Province</t>
  </si>
  <si>
    <t>June 3rd, 2022</t>
  </si>
  <si>
    <t>June 3rd, 2023</t>
  </si>
  <si>
    <t>147</t>
  </si>
  <si>
    <t>017-053-0017</t>
  </si>
  <si>
    <t>Matagalpa</t>
  </si>
  <si>
    <t>Asociación de Cafés Especiales de Nicaragua</t>
  </si>
  <si>
    <t>January 30th, 2023</t>
  </si>
  <si>
    <t>7.25</t>
  </si>
  <si>
    <t>82.75</t>
  </si>
  <si>
    <t>January 30th, 2024</t>
  </si>
  <si>
    <t>148</t>
  </si>
  <si>
    <t>The 2022 Pacific Rim Coffee Summit,CR01</t>
  </si>
  <si>
    <t>west Villege</t>
  </si>
  <si>
    <t>149</t>
  </si>
  <si>
    <t>3/01/12857</t>
  </si>
  <si>
    <t>July 11th, 2022</t>
  </si>
  <si>
    <t>82.67</t>
  </si>
  <si>
    <t>July 11th, 2023</t>
  </si>
  <si>
    <t>CATURRA 21/22 (Coffea Arabica)</t>
  </si>
  <si>
    <t>151</t>
  </si>
  <si>
    <t>21/22</t>
  </si>
  <si>
    <t>Specialty Coffee Institute of Thailand</t>
  </si>
  <si>
    <t>June 14th, 2022</t>
  </si>
  <si>
    <t>Bourbon, Catimor, Caturra, Typica</t>
  </si>
  <si>
    <t>June 14th, 2023</t>
  </si>
  <si>
    <t>152</t>
  </si>
  <si>
    <t>197</t>
  </si>
  <si>
    <t>los planes de santa maria la paz</t>
  </si>
  <si>
    <t>153</t>
  </si>
  <si>
    <t>A01-Northern Taiwan Specialty Coffee Evaluation</t>
  </si>
  <si>
    <t>165</t>
  </si>
  <si>
    <t>82.58</t>
  </si>
  <si>
    <t>154</t>
  </si>
  <si>
    <t>A22-Northern Taiwan Specialty Coffee Evaluation</t>
  </si>
  <si>
    <t>465</t>
  </si>
  <si>
    <t>155</t>
  </si>
  <si>
    <t>4 -3.1</t>
  </si>
  <si>
    <t>June 20th, 2022</t>
  </si>
  <si>
    <t>June 20th, 2023</t>
  </si>
  <si>
    <t>156</t>
  </si>
  <si>
    <t>Jan-26</t>
  </si>
  <si>
    <t>Apaneca - Ilamatepec</t>
  </si>
  <si>
    <t>Salvadoran Coffee Council</t>
  </si>
  <si>
    <t>March 3rd, 2023</t>
  </si>
  <si>
    <t>82.5</t>
  </si>
  <si>
    <t>March 2nd, 2024</t>
  </si>
  <si>
    <t>157</t>
  </si>
  <si>
    <t>P03769</t>
  </si>
  <si>
    <t>May 25th, 2022</t>
  </si>
  <si>
    <t>May 25th, 2023</t>
  </si>
  <si>
    <t>158</t>
  </si>
  <si>
    <t>MVB-QCert-001/2022</t>
  </si>
  <si>
    <t>MANTIQUEIRA / SUL DE MINAS</t>
  </si>
  <si>
    <t>November 3rd, 2022</t>
  </si>
  <si>
    <t>November 3rd, 2023</t>
  </si>
  <si>
    <t>159</t>
  </si>
  <si>
    <t>The 2022 Pacific Rim Coffee Summit,US03</t>
  </si>
  <si>
    <t>640</t>
  </si>
  <si>
    <t>Maragogype</t>
  </si>
  <si>
    <t>160</t>
  </si>
  <si>
    <t>The 2022 Pacific Rim Coffee Summit,MX01</t>
  </si>
  <si>
    <t>1340</t>
  </si>
  <si>
    <t>Veracruz</t>
  </si>
  <si>
    <t>161</t>
  </si>
  <si>
    <t>185</t>
  </si>
  <si>
    <t>162</t>
  </si>
  <si>
    <t>A02-Northern Taiwan Specialty Coffee Evaluation</t>
  </si>
  <si>
    <t>163</t>
  </si>
  <si>
    <t>1200-1350</t>
  </si>
  <si>
    <t>Matagalpa, Nicaragua</t>
  </si>
  <si>
    <t>Caturra-Catuai</t>
  </si>
  <si>
    <t>82.42</t>
  </si>
  <si>
    <t>164</t>
  </si>
  <si>
    <t>Apollo Washed 2021</t>
  </si>
  <si>
    <t>1040</t>
  </si>
  <si>
    <t>Dalat</t>
  </si>
  <si>
    <t>June 1st, 2022</t>
  </si>
  <si>
    <t>82.33</t>
  </si>
  <si>
    <t>June 1st, 2023</t>
  </si>
  <si>
    <t>February 21st, 2023</t>
  </si>
  <si>
    <t>February 21st, 2024</t>
  </si>
  <si>
    <t>166</t>
  </si>
  <si>
    <t>Jan-74</t>
  </si>
  <si>
    <t>167</t>
  </si>
  <si>
    <t>A48-Northern Taiwan Specialty Coffee Evaluation</t>
  </si>
  <si>
    <t>168</t>
  </si>
  <si>
    <t>PR138</t>
  </si>
  <si>
    <t>Chanchamayo, La Merced</t>
  </si>
  <si>
    <t>82.25</t>
  </si>
  <si>
    <t>169</t>
  </si>
  <si>
    <t>Kona district of Big Island</t>
  </si>
  <si>
    <t>82.17</t>
  </si>
  <si>
    <t>170</t>
  </si>
  <si>
    <t>CQU2023004</t>
  </si>
  <si>
    <t>1500-1950</t>
  </si>
  <si>
    <t>Kericho</t>
  </si>
  <si>
    <t>Sl28,Sl34,Ruiru11</t>
  </si>
  <si>
    <t>171</t>
  </si>
  <si>
    <t>184</t>
  </si>
  <si>
    <t>172</t>
  </si>
  <si>
    <t>A43-Northern Taiwan Specialty Coffee Evaluation</t>
  </si>
  <si>
    <t>82.08</t>
  </si>
  <si>
    <t>173</t>
  </si>
  <si>
    <t>A34-Northern Taiwan Specialty Coffee Evaluation</t>
  </si>
  <si>
    <t>460</t>
  </si>
  <si>
    <t>8.1</t>
  </si>
  <si>
    <t>174</t>
  </si>
  <si>
    <t>A50-Northern Taiwan Specialty Coffee Evaluation</t>
  </si>
  <si>
    <t>500</t>
  </si>
  <si>
    <t>8.2</t>
  </si>
  <si>
    <t>175</t>
  </si>
  <si>
    <t>MIXED DT 21/22 (Coffea Arabica)</t>
  </si>
  <si>
    <t>800-1200</t>
  </si>
  <si>
    <t>176</t>
  </si>
  <si>
    <t>S019194 - P04178</t>
  </si>
  <si>
    <t>Corralillo Tarrazu</t>
  </si>
  <si>
    <t>2018 / 2019</t>
  </si>
  <si>
    <t>March 29th, 2023</t>
  </si>
  <si>
    <t>March 28th, 2024</t>
  </si>
  <si>
    <t>177</t>
  </si>
  <si>
    <t>SA4238</t>
  </si>
  <si>
    <t>1350-1550</t>
  </si>
  <si>
    <t>Oriente</t>
  </si>
  <si>
    <t>November 28th, 2022</t>
  </si>
  <si>
    <t>November 28th, 2023</t>
  </si>
  <si>
    <t>178</t>
  </si>
  <si>
    <t>015/1686/057</t>
  </si>
  <si>
    <t>Sumatra</t>
  </si>
  <si>
    <t>August 22nd, 2022</t>
  </si>
  <si>
    <t>12.5</t>
  </si>
  <si>
    <t>August 22nd, 2023</t>
  </si>
  <si>
    <t>179</t>
  </si>
  <si>
    <t>301R</t>
  </si>
  <si>
    <t>81.92</t>
  </si>
  <si>
    <t>180</t>
  </si>
  <si>
    <t>GF-23392</t>
  </si>
  <si>
    <t>1200-1600</t>
  </si>
  <si>
    <t>540</t>
  </si>
  <si>
    <t>181</t>
  </si>
  <si>
    <t>A10-Northern Taiwan Specialty Coffee Evaluation</t>
  </si>
  <si>
    <t>81.83</t>
  </si>
  <si>
    <t>182</t>
  </si>
  <si>
    <t>221221</t>
  </si>
  <si>
    <t>5400</t>
  </si>
  <si>
    <t>Lam Dong Province</t>
  </si>
  <si>
    <t>Firedancer Coffee Consultants</t>
  </si>
  <si>
    <t>April 10th, 2023</t>
  </si>
  <si>
    <t>April 9th, 2024</t>
  </si>
  <si>
    <t>183</t>
  </si>
  <si>
    <t>CQU2023007</t>
  </si>
  <si>
    <t>Mantiquira de minas</t>
  </si>
  <si>
    <t>Yellow Catuai</t>
  </si>
  <si>
    <t>900-1000</t>
  </si>
  <si>
    <t>Catucai</t>
  </si>
  <si>
    <t>81.75</t>
  </si>
  <si>
    <t>1574</t>
  </si>
  <si>
    <t>Santander</t>
  </si>
  <si>
    <t>186</t>
  </si>
  <si>
    <t>Coatepec, Veracruz</t>
  </si>
  <si>
    <t>81.67</t>
  </si>
  <si>
    <t>OIC 5-019-0037/ Contenedor: DRYU3106597 / Cliente: O COFFEE</t>
  </si>
  <si>
    <t>occidente</t>
  </si>
  <si>
    <t>81.58</t>
  </si>
  <si>
    <t>188</t>
  </si>
  <si>
    <t>A46-Northern Taiwan Specialty Coffee Evaluation</t>
  </si>
  <si>
    <t>189</t>
  </si>
  <si>
    <t>A38-Northern Taiwan Specialty Coffee Evaluation</t>
  </si>
  <si>
    <t>435</t>
  </si>
  <si>
    <t>臺北市</t>
  </si>
  <si>
    <t>81.5</t>
  </si>
  <si>
    <t>190</t>
  </si>
  <si>
    <t>JAVA 21/22 (Coffea Arabica)</t>
  </si>
  <si>
    <t>81.42</t>
  </si>
  <si>
    <t>191</t>
  </si>
  <si>
    <t>The 2022 Pacific Rim Coffee Summit,TH07</t>
  </si>
  <si>
    <t>Chiang Rai</t>
  </si>
  <si>
    <t>Typica Bourbon Caturra Catimor</t>
  </si>
  <si>
    <t>81.33</t>
  </si>
  <si>
    <t>192</t>
  </si>
  <si>
    <t>MIXED 21/22 (Coffea Arabica)</t>
  </si>
  <si>
    <t>600-800</t>
  </si>
  <si>
    <t>81.17</t>
  </si>
  <si>
    <t>193</t>
  </si>
  <si>
    <t>CQU2022019</t>
  </si>
  <si>
    <t>1300-1800</t>
  </si>
  <si>
    <t>December 22nd, 2022</t>
  </si>
  <si>
    <t>Caturra,Colombia,Castillo</t>
  </si>
  <si>
    <t>December 22nd, 2023</t>
  </si>
  <si>
    <t>194</t>
  </si>
  <si>
    <t>Alta Mogiana-Ibiraci</t>
  </si>
  <si>
    <t>440</t>
  </si>
  <si>
    <t>195</t>
  </si>
  <si>
    <t>0623C01</t>
  </si>
  <si>
    <t>Volcan Chinchontepek, San Vicente, El Salvador</t>
  </si>
  <si>
    <t>2023</t>
  </si>
  <si>
    <t>March 8th, 2023</t>
  </si>
  <si>
    <t>7.08</t>
  </si>
  <si>
    <t>80.83</t>
  </si>
  <si>
    <t>March 7th, 2024</t>
  </si>
  <si>
    <t>196</t>
  </si>
  <si>
    <t>017/053/0603</t>
  </si>
  <si>
    <t>80.5</t>
  </si>
  <si>
    <t>Jinotega</t>
  </si>
  <si>
    <t>April 20th, 2023</t>
  </si>
  <si>
    <t>80.42</t>
  </si>
  <si>
    <t>April 19th, 2024</t>
  </si>
  <si>
    <t>CQU2023001</t>
  </si>
  <si>
    <t>Caicedonia,Valle del Cauca</t>
  </si>
  <si>
    <t>Castillo,Caturra,Bourbon</t>
  </si>
  <si>
    <t>199</t>
  </si>
  <si>
    <t>PR137</t>
  </si>
  <si>
    <t>Chanchamayo, Lamerced</t>
  </si>
  <si>
    <t>June 10th, 2022</t>
  </si>
  <si>
    <t>80.33</t>
  </si>
  <si>
    <t>June 10th, 2023</t>
  </si>
  <si>
    <t>0523B01</t>
  </si>
  <si>
    <t>Pacas</t>
  </si>
  <si>
    <t>201</t>
  </si>
  <si>
    <t>002/1738/0029</t>
  </si>
  <si>
    <t>July 20th, 2022</t>
  </si>
  <si>
    <t>Catuai And Mundo Novo</t>
  </si>
  <si>
    <t>80.17</t>
  </si>
  <si>
    <t>July 20th, 2023</t>
  </si>
  <si>
    <t>202</t>
  </si>
  <si>
    <t>019/22</t>
  </si>
  <si>
    <t>2240</t>
  </si>
  <si>
    <t>February 2nd, 2023</t>
  </si>
  <si>
    <t>6.92</t>
  </si>
  <si>
    <t>80.08</t>
  </si>
  <si>
    <t>February 2nd, 2024</t>
  </si>
  <si>
    <t>203</t>
  </si>
  <si>
    <t>017-053-0155</t>
  </si>
  <si>
    <t>6.75</t>
  </si>
  <si>
    <t>204</t>
  </si>
  <si>
    <t>105/3/VL7285-005</t>
  </si>
  <si>
    <t>Bolaven Plateau</t>
  </si>
  <si>
    <t>343</t>
  </si>
  <si>
    <t>November 11th, 2022</t>
  </si>
  <si>
    <t>79.67</t>
  </si>
  <si>
    <t>November 11th, 2023</t>
  </si>
  <si>
    <t>205</t>
  </si>
  <si>
    <t>0423A01</t>
  </si>
  <si>
    <t>Volcan de San Vicente, La Paz, El Salvador</t>
  </si>
  <si>
    <t>6.5</t>
  </si>
  <si>
    <t>6.83</t>
  </si>
  <si>
    <t>78.08</t>
  </si>
  <si>
    <t>206</t>
  </si>
  <si>
    <t>1058 y 1059</t>
  </si>
  <si>
    <t>850-1100</t>
  </si>
  <si>
    <t>Minas Gerais</t>
  </si>
  <si>
    <t>Semi-Lavado</t>
  </si>
  <si>
    <t>6.67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</si>
</sst>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Alignment="1" applyFont="1">
      <alignment readingOrder="0"/>
    </xf>
    <xf borderId="0" fillId="2" fontId="1" numFmtId="0" xfId="0" applyFont="1"/>
    <xf quotePrefix="1"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.13"/>
    <col customWidth="1" min="2" max="2" width="22.63"/>
    <col customWidth="1" min="3" max="4" width="50.75"/>
    <col customWidth="1" min="5" max="6" width="10.5"/>
    <col customWidth="1" min="7" max="8" width="12.25"/>
    <col customWidth="1" min="9" max="10" width="50.5"/>
    <col customWidth="1" min="11" max="11" width="16.38"/>
    <col customWidth="1" min="12" max="12" width="12.63"/>
    <col customWidth="1" min="13" max="14" width="50.0"/>
    <col customWidth="1" min="15" max="15" width="13.63"/>
    <col customWidth="1" min="16" max="16" width="19.5"/>
    <col customWidth="1" min="17" max="18" width="17.63"/>
    <col customWidth="1" min="19" max="19" width="59.0"/>
    <col customWidth="1" min="20" max="20" width="9.0"/>
    <col customWidth="1" min="21" max="21" width="28.88"/>
    <col customWidth="1" min="22" max="22" width="8.75"/>
    <col customWidth="1" min="23" max="23" width="8.5"/>
    <col customWidth="1" min="24" max="24" width="11.25"/>
    <col customWidth="1" min="25" max="25" width="9.0"/>
    <col customWidth="1" min="26" max="26" width="7.63"/>
    <col customWidth="1" min="27" max="27" width="9.88"/>
    <col customWidth="1" min="28" max="28" width="11.88"/>
    <col customWidth="1" min="29" max="29" width="11.75"/>
    <col customWidth="1" min="30" max="30" width="12.13"/>
    <col customWidth="1" min="31" max="31" width="9.13"/>
    <col customWidth="1" min="32" max="32" width="9.5"/>
    <col customWidth="1" min="33" max="33" width="16.63"/>
    <col customWidth="1" min="34" max="34" width="19.88"/>
    <col customWidth="1" min="35" max="35" width="20.88"/>
    <col customWidth="1" min="36" max="36" width="10.13"/>
    <col customWidth="1" min="37" max="37" width="11.5"/>
    <col customWidth="1" min="38" max="38" width="20.88"/>
    <col customWidth="1" min="39" max="39" width="17.63"/>
    <col customWidth="1" min="40" max="40" width="18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2" t="s">
        <v>39</v>
      </c>
      <c r="AO1" s="3"/>
    </row>
    <row r="2">
      <c r="A2" s="4" t="s">
        <v>40</v>
      </c>
      <c r="B2" s="5" t="s">
        <v>41</v>
      </c>
      <c r="C2" s="5" t="s">
        <v>42</v>
      </c>
      <c r="D2" s="6" t="str">
        <f>IFERROR(__xludf.DUMMYFUNCTION("GOOGLETRANSLATE(C2,""auto"",""en"")"),"CQU2022015")</f>
        <v>CQU2022015</v>
      </c>
      <c r="E2" s="5" t="s">
        <v>43</v>
      </c>
      <c r="F2" s="5">
        <f>IFERROR(__xludf.DUMMYFUNCTION("SPLIT(E2,""-"")
"),1700.0)</f>
        <v>1700</v>
      </c>
      <c r="G2" s="5">
        <f>IFERROR(__xludf.DUMMYFUNCTION("""COMPUTED_VALUE"""),1930.0)</f>
        <v>1930</v>
      </c>
      <c r="H2" s="5">
        <f t="shared" ref="H2:H106" si="1">AVERAGE(F2:G2)</f>
        <v>1815</v>
      </c>
      <c r="I2" s="5" t="s">
        <v>44</v>
      </c>
      <c r="J2" s="5" t="str">
        <f t="shared" ref="J2:J208" si="2">PROPER(I2)</f>
        <v>Piendamo,Cauca</v>
      </c>
      <c r="K2" s="4" t="s">
        <v>45</v>
      </c>
      <c r="L2" s="5">
        <v>35.0</v>
      </c>
      <c r="M2" s="5" t="s">
        <v>46</v>
      </c>
      <c r="N2" s="5" t="s">
        <v>46</v>
      </c>
      <c r="O2" s="5" t="s">
        <v>47</v>
      </c>
      <c r="P2" s="5" t="str">
        <f t="shared" ref="P2:P208" si="3">LEFT(O2,4)</f>
        <v>2021</v>
      </c>
      <c r="Q2" s="5" t="s">
        <v>48</v>
      </c>
      <c r="R2" s="6" t="str">
        <f>IFERROR(__xludf.DUMMYFUNCTION("TEXT(DATEVALUE(REGEXREPLACE(Q2,""(\d+)(st|nd|rd|th)"",""$1"")),""yyyy-mm-dd"")"),"2022-09-21")</f>
        <v>2022-09-21</v>
      </c>
      <c r="S2" s="7" t="s">
        <v>49</v>
      </c>
      <c r="T2" s="5" t="s">
        <v>50</v>
      </c>
      <c r="U2" s="5" t="s">
        <v>51</v>
      </c>
      <c r="V2" s="4" t="s">
        <v>52</v>
      </c>
      <c r="W2" s="4" t="s">
        <v>53</v>
      </c>
      <c r="X2" s="4" t="s">
        <v>54</v>
      </c>
      <c r="Y2" s="4" t="s">
        <v>52</v>
      </c>
      <c r="Z2" s="4" t="s">
        <v>55</v>
      </c>
      <c r="AA2" s="4" t="s">
        <v>54</v>
      </c>
      <c r="AB2" s="4" t="s">
        <v>56</v>
      </c>
      <c r="AC2" s="4" t="s">
        <v>56</v>
      </c>
      <c r="AD2" s="4" t="s">
        <v>56</v>
      </c>
      <c r="AE2" s="4" t="s">
        <v>52</v>
      </c>
      <c r="AF2" s="4" t="s">
        <v>40</v>
      </c>
      <c r="AG2" s="4" t="s">
        <v>57</v>
      </c>
      <c r="AH2" s="4" t="s">
        <v>58</v>
      </c>
      <c r="AI2" s="4" t="s">
        <v>40</v>
      </c>
      <c r="AJ2" s="4" t="s">
        <v>40</v>
      </c>
      <c r="AK2" s="5" t="s">
        <v>59</v>
      </c>
      <c r="AL2" s="4" t="s">
        <v>60</v>
      </c>
      <c r="AM2" s="5" t="s">
        <v>61</v>
      </c>
      <c r="AN2" s="6" t="str">
        <f>IFERROR(__xludf.DUMMYFUNCTION("TEXT(DATEVALUE(REGEXREPLACE(AM2,""(\d+)(st|nd|rd|th)"",""$1"")),""yyyy-mm-dd"")"),"2023-09-21")</f>
        <v>2023-09-21</v>
      </c>
    </row>
    <row r="3">
      <c r="A3" s="4" t="s">
        <v>45</v>
      </c>
      <c r="B3" s="5" t="s">
        <v>62</v>
      </c>
      <c r="C3" s="5" t="s">
        <v>63</v>
      </c>
      <c r="D3" s="6" t="str">
        <f>IFERROR(__xludf.DUMMYFUNCTION("GOOGLETRANSLATE(C3,""auto"",""en"")"),"The 2022 Pacific Rim Coffee Summit,T037")</f>
        <v>The 2022 Pacific Rim Coffee Summit,T037</v>
      </c>
      <c r="E3" s="4" t="s">
        <v>64</v>
      </c>
      <c r="F3" s="5">
        <f>IFERROR(__xludf.DUMMYFUNCTION("SPLIT(E3,""-"")
"),1200.0)</f>
        <v>1200</v>
      </c>
      <c r="G3" s="5"/>
      <c r="H3" s="5">
        <f t="shared" si="1"/>
        <v>1200</v>
      </c>
      <c r="I3" s="5" t="s">
        <v>65</v>
      </c>
      <c r="J3" s="5" t="str">
        <f t="shared" si="2"/>
        <v>Chiayi</v>
      </c>
      <c r="K3" s="4" t="s">
        <v>45</v>
      </c>
      <c r="L3" s="5">
        <v>80.0</v>
      </c>
      <c r="M3" s="5" t="s">
        <v>66</v>
      </c>
      <c r="N3" s="5" t="str">
        <f>IFERROR(__xludf.DUMMYFUNCTION("PROPER(GOOGLETRANSLATE(M3, ""auto"", ""en""))"),"Taiwan Coffee Laboratory")</f>
        <v>Taiwan Coffee Laboratory</v>
      </c>
      <c r="O3" s="5" t="s">
        <v>47</v>
      </c>
      <c r="P3" s="5" t="str">
        <f t="shared" si="3"/>
        <v>2021</v>
      </c>
      <c r="Q3" s="5" t="s">
        <v>67</v>
      </c>
      <c r="R3" s="6" t="str">
        <f>IFERROR(__xludf.DUMMYFUNCTION("TEXT(DATEVALUE(REGEXREPLACE(Q3,""(\d+)(st|nd|rd|th)"",""$1"")),""yyyy-mm-dd"")"),"2022-11-15")</f>
        <v>2022-11-15</v>
      </c>
      <c r="S3" s="7" t="s">
        <v>68</v>
      </c>
      <c r="T3" s="5" t="s">
        <v>50</v>
      </c>
      <c r="U3" s="5" t="s">
        <v>69</v>
      </c>
      <c r="V3" s="4" t="s">
        <v>53</v>
      </c>
      <c r="W3" s="4" t="s">
        <v>53</v>
      </c>
      <c r="X3" s="4" t="s">
        <v>70</v>
      </c>
      <c r="Y3" s="4" t="s">
        <v>71</v>
      </c>
      <c r="Z3" s="4" t="s">
        <v>70</v>
      </c>
      <c r="AA3" s="4" t="s">
        <v>55</v>
      </c>
      <c r="AB3" s="4" t="s">
        <v>56</v>
      </c>
      <c r="AC3" s="4" t="s">
        <v>56</v>
      </c>
      <c r="AD3" s="4" t="s">
        <v>56</v>
      </c>
      <c r="AE3" s="4" t="s">
        <v>53</v>
      </c>
      <c r="AF3" s="4" t="s">
        <v>40</v>
      </c>
      <c r="AG3" s="4" t="s">
        <v>72</v>
      </c>
      <c r="AH3" s="4" t="s">
        <v>73</v>
      </c>
      <c r="AI3" s="4" t="s">
        <v>40</v>
      </c>
      <c r="AJ3" s="4" t="s">
        <v>40</v>
      </c>
      <c r="AK3" s="5" t="s">
        <v>74</v>
      </c>
      <c r="AL3" s="4" t="s">
        <v>40</v>
      </c>
      <c r="AM3" s="5" t="s">
        <v>75</v>
      </c>
      <c r="AN3" s="6" t="str">
        <f>IFERROR(__xludf.DUMMYFUNCTION("TEXT(DATEVALUE(REGEXREPLACE(AM3,""(\d+)(st|nd|rd|th)"",""$1"")),""yyyy-mm-dd"")"),"2023-11-15")</f>
        <v>2023-11-15</v>
      </c>
    </row>
    <row r="4">
      <c r="A4" s="4" t="s">
        <v>76</v>
      </c>
      <c r="B4" s="5" t="s">
        <v>77</v>
      </c>
      <c r="C4" s="5" t="s">
        <v>78</v>
      </c>
      <c r="D4" s="6" t="str">
        <f>IFERROR(__xludf.DUMMYFUNCTION("GOOGLETRANSLATE(C4,""auto"",""en"")"),"The 2022 Pacific Rim Coffee Summit,LA01")</f>
        <v>The 2022 Pacific Rim Coffee Summit,LA01</v>
      </c>
      <c r="E4" s="4" t="s">
        <v>79</v>
      </c>
      <c r="F4" s="5">
        <f>IFERROR(__xludf.DUMMYFUNCTION("SPLIT(E4,""-"")
"),1300.0)</f>
        <v>1300</v>
      </c>
      <c r="G4" s="5"/>
      <c r="H4" s="5">
        <f t="shared" si="1"/>
        <v>1300</v>
      </c>
      <c r="I4" s="5" t="s">
        <v>80</v>
      </c>
      <c r="J4" s="5" t="str">
        <f t="shared" si="2"/>
        <v>Laos Borofen Plateau</v>
      </c>
      <c r="K4" s="4" t="s">
        <v>81</v>
      </c>
      <c r="L4" s="5">
        <v>25.0</v>
      </c>
      <c r="M4" s="5" t="s">
        <v>66</v>
      </c>
      <c r="N4" s="5" t="str">
        <f>IFERROR(__xludf.DUMMYFUNCTION("PROPER(GOOGLETRANSLATE(M4, ""auto"", ""en""))"),"Taiwan Coffee Laboratory")</f>
        <v>Taiwan Coffee Laboratory</v>
      </c>
      <c r="O4" s="5" t="s">
        <v>47</v>
      </c>
      <c r="P4" s="5" t="str">
        <f t="shared" si="3"/>
        <v>2021</v>
      </c>
      <c r="Q4" s="5" t="s">
        <v>67</v>
      </c>
      <c r="R4" s="6" t="str">
        <f>IFERROR(__xludf.DUMMYFUNCTION("TEXT(DATEVALUE(REGEXREPLACE(Q4,""(\d+)(st|nd|rd|th)"",""$1"")),""yyyy-mm-dd"")"),"2022-11-15")</f>
        <v>2022-11-15</v>
      </c>
      <c r="S4" s="7" t="s">
        <v>82</v>
      </c>
      <c r="T4" s="5" t="s">
        <v>50</v>
      </c>
      <c r="U4" s="5" t="s">
        <v>83</v>
      </c>
      <c r="V4" s="4" t="s">
        <v>84</v>
      </c>
      <c r="W4" s="4" t="s">
        <v>54</v>
      </c>
      <c r="X4" s="4" t="s">
        <v>85</v>
      </c>
      <c r="Y4" s="4" t="s">
        <v>86</v>
      </c>
      <c r="Z4" s="4" t="s">
        <v>70</v>
      </c>
      <c r="AA4" s="4" t="s">
        <v>86</v>
      </c>
      <c r="AB4" s="4" t="s">
        <v>56</v>
      </c>
      <c r="AC4" s="4" t="s">
        <v>56</v>
      </c>
      <c r="AD4" s="4" t="s">
        <v>56</v>
      </c>
      <c r="AE4" s="4" t="s">
        <v>84</v>
      </c>
      <c r="AF4" s="4" t="s">
        <v>40</v>
      </c>
      <c r="AG4" s="4" t="s">
        <v>87</v>
      </c>
      <c r="AH4" s="4" t="s">
        <v>88</v>
      </c>
      <c r="AI4" s="4" t="s">
        <v>40</v>
      </c>
      <c r="AJ4" s="4" t="s">
        <v>40</v>
      </c>
      <c r="AK4" s="5" t="s">
        <v>89</v>
      </c>
      <c r="AL4" s="4" t="s">
        <v>76</v>
      </c>
      <c r="AM4" s="5" t="s">
        <v>75</v>
      </c>
      <c r="AN4" s="6" t="str">
        <f>IFERROR(__xludf.DUMMYFUNCTION("TEXT(DATEVALUE(REGEXREPLACE(AM4,""(\d+)(st|nd|rd|th)"",""$1"")),""yyyy-mm-dd"")"),"2023-11-15")</f>
        <v>2023-11-15</v>
      </c>
    </row>
    <row r="5">
      <c r="A5" s="4" t="s">
        <v>60</v>
      </c>
      <c r="B5" s="5" t="s">
        <v>90</v>
      </c>
      <c r="C5" s="5" t="s">
        <v>91</v>
      </c>
      <c r="D5" s="6" t="str">
        <f>IFERROR(__xludf.DUMMYFUNCTION("GOOGLETRANSLATE(C5,""auto"",""en"")"),"CQU2022017")</f>
        <v>CQU2022017</v>
      </c>
      <c r="E5" s="4" t="s">
        <v>92</v>
      </c>
      <c r="F5" s="5">
        <f>IFERROR(__xludf.DUMMYFUNCTION("SPLIT(E5,""-"")
"),1900.0)</f>
        <v>1900</v>
      </c>
      <c r="G5" s="5"/>
      <c r="H5" s="5">
        <f t="shared" si="1"/>
        <v>1900</v>
      </c>
      <c r="I5" s="5" t="s">
        <v>93</v>
      </c>
      <c r="J5" s="5" t="str">
        <f t="shared" si="2"/>
        <v>Los Santos,Tarrazu</v>
      </c>
      <c r="K5" s="4" t="s">
        <v>45</v>
      </c>
      <c r="L5" s="5">
        <v>22.0</v>
      </c>
      <c r="M5" s="5" t="s">
        <v>46</v>
      </c>
      <c r="N5" s="5" t="str">
        <f>IFERROR(__xludf.DUMMYFUNCTION("PROPER(GOOGLETRANSLATE(M5, ""auto"", ""en""))"),"Japan Coffee Exchange")</f>
        <v>Japan Coffee Exchange</v>
      </c>
      <c r="O5" s="4" t="s">
        <v>94</v>
      </c>
      <c r="P5" s="5" t="str">
        <f t="shared" si="3"/>
        <v>2022</v>
      </c>
      <c r="Q5" s="5" t="s">
        <v>48</v>
      </c>
      <c r="R5" s="6" t="str">
        <f>IFERROR(__xludf.DUMMYFUNCTION("TEXT(DATEVALUE(REGEXREPLACE(Q5,""(\d+)(st|nd|rd|th)"",""$1"")),""yyyy-mm-dd"")"),"2022-09-21")</f>
        <v>2022-09-21</v>
      </c>
      <c r="S5" s="7" t="s">
        <v>68</v>
      </c>
      <c r="T5" s="5" t="s">
        <v>50</v>
      </c>
      <c r="U5" s="5" t="s">
        <v>69</v>
      </c>
      <c r="V5" s="4" t="s">
        <v>85</v>
      </c>
      <c r="W5" s="4" t="s">
        <v>86</v>
      </c>
      <c r="X5" s="4" t="s">
        <v>86</v>
      </c>
      <c r="Y5" s="4" t="s">
        <v>55</v>
      </c>
      <c r="Z5" s="4" t="s">
        <v>86</v>
      </c>
      <c r="AA5" s="4" t="s">
        <v>85</v>
      </c>
      <c r="AB5" s="4" t="s">
        <v>56</v>
      </c>
      <c r="AC5" s="4" t="s">
        <v>56</v>
      </c>
      <c r="AD5" s="4" t="s">
        <v>56</v>
      </c>
      <c r="AE5" s="4" t="s">
        <v>55</v>
      </c>
      <c r="AF5" s="4" t="s">
        <v>40</v>
      </c>
      <c r="AG5" s="4" t="s">
        <v>95</v>
      </c>
      <c r="AH5" s="4" t="s">
        <v>58</v>
      </c>
      <c r="AI5" s="4" t="s">
        <v>40</v>
      </c>
      <c r="AJ5" s="4" t="s">
        <v>40</v>
      </c>
      <c r="AK5" s="5" t="s">
        <v>59</v>
      </c>
      <c r="AL5" s="4" t="s">
        <v>40</v>
      </c>
      <c r="AM5" s="5" t="s">
        <v>61</v>
      </c>
      <c r="AN5" s="6" t="str">
        <f>IFERROR(__xludf.DUMMYFUNCTION("TEXT(DATEVALUE(REGEXREPLACE(AM5,""(\d+)(st|nd|rd|th)"",""$1"")),""yyyy-mm-dd"")"),"2023-09-21")</f>
        <v>2023-09-21</v>
      </c>
    </row>
    <row r="6">
      <c r="A6" s="4" t="s">
        <v>96</v>
      </c>
      <c r="B6" s="5" t="s">
        <v>41</v>
      </c>
      <c r="C6" s="5" t="s">
        <v>97</v>
      </c>
      <c r="D6" s="6" t="str">
        <f>IFERROR(__xludf.DUMMYFUNCTION("GOOGLETRANSLATE(C6,""auto"",""en"")"),"CQU2023002")</f>
        <v>CQU2023002</v>
      </c>
      <c r="E6" s="5" t="s">
        <v>98</v>
      </c>
      <c r="F6" s="5">
        <f>IFERROR(__xludf.DUMMYFUNCTION("SPLIT(E6,""-"")
"),1850.0)</f>
        <v>1850</v>
      </c>
      <c r="G6" s="5">
        <f>IFERROR(__xludf.DUMMYFUNCTION("""COMPUTED_VALUE"""),2100.0)</f>
        <v>2100</v>
      </c>
      <c r="H6" s="5">
        <f t="shared" si="1"/>
        <v>1975</v>
      </c>
      <c r="I6" s="5" t="s">
        <v>99</v>
      </c>
      <c r="J6" s="5" t="str">
        <f t="shared" si="2"/>
        <v>Popayan,Cauca</v>
      </c>
      <c r="K6" s="4" t="s">
        <v>76</v>
      </c>
      <c r="L6" s="5">
        <v>24.0</v>
      </c>
      <c r="M6" s="5" t="s">
        <v>46</v>
      </c>
      <c r="N6" s="5" t="str">
        <f>IFERROR(__xludf.DUMMYFUNCTION("PROPER(GOOGLETRANSLATE(M6, ""auto"", ""en""))"),"Japan Coffee Exchange")</f>
        <v>Japan Coffee Exchange</v>
      </c>
      <c r="O6" s="4" t="s">
        <v>94</v>
      </c>
      <c r="P6" s="5" t="str">
        <f t="shared" si="3"/>
        <v>2022</v>
      </c>
      <c r="Q6" s="5" t="s">
        <v>100</v>
      </c>
      <c r="R6" s="6" t="str">
        <f>IFERROR(__xludf.DUMMYFUNCTION("TEXT(DATEVALUE(REGEXREPLACE(Q6,""(\d+)(st|nd|rd|th)"",""$1"")),""yyyy-mm-dd"")"),"2023-03-06")</f>
        <v>2023-03-06</v>
      </c>
      <c r="S6" s="7" t="s">
        <v>101</v>
      </c>
      <c r="T6" s="5" t="s">
        <v>50</v>
      </c>
      <c r="U6" s="5" t="s">
        <v>102</v>
      </c>
      <c r="V6" s="4" t="s">
        <v>84</v>
      </c>
      <c r="W6" s="4" t="s">
        <v>84</v>
      </c>
      <c r="X6" s="4" t="s">
        <v>85</v>
      </c>
      <c r="Y6" s="4" t="s">
        <v>55</v>
      </c>
      <c r="Z6" s="4" t="s">
        <v>70</v>
      </c>
      <c r="AA6" s="4" t="s">
        <v>70</v>
      </c>
      <c r="AB6" s="4" t="s">
        <v>56</v>
      </c>
      <c r="AC6" s="4" t="s">
        <v>56</v>
      </c>
      <c r="AD6" s="4" t="s">
        <v>56</v>
      </c>
      <c r="AE6" s="4" t="s">
        <v>55</v>
      </c>
      <c r="AF6" s="4" t="s">
        <v>40</v>
      </c>
      <c r="AG6" s="4" t="s">
        <v>103</v>
      </c>
      <c r="AH6" s="4" t="s">
        <v>104</v>
      </c>
      <c r="AI6" s="4" t="s">
        <v>40</v>
      </c>
      <c r="AJ6" s="4" t="s">
        <v>76</v>
      </c>
      <c r="AK6" s="5" t="s">
        <v>105</v>
      </c>
      <c r="AL6" s="4" t="s">
        <v>76</v>
      </c>
      <c r="AM6" s="5" t="s">
        <v>106</v>
      </c>
      <c r="AN6" s="6" t="str">
        <f>IFERROR(__xludf.DUMMYFUNCTION("TEXT(DATEVALUE(REGEXREPLACE(AM6,""(\d+)(st|nd|rd|th)"",""$1"")),""yyyy-mm-dd"")"),"2024-03-05")</f>
        <v>2024-03-05</v>
      </c>
    </row>
    <row r="7">
      <c r="A7" s="4" t="s">
        <v>107</v>
      </c>
      <c r="B7" s="5" t="s">
        <v>108</v>
      </c>
      <c r="C7" s="5" t="s">
        <v>109</v>
      </c>
      <c r="D7" s="6" t="str">
        <f>IFERROR(__xludf.DUMMYFUNCTION("GOOGLETRANSLATE(C7,""auto"",""en"")"),"The 2022 Pacific Rim Coffee Summit,GT02")</f>
        <v>The 2022 Pacific Rim Coffee Summit,GT02</v>
      </c>
      <c r="E7" s="4" t="s">
        <v>110</v>
      </c>
      <c r="F7" s="5">
        <f>IFERROR(__xludf.DUMMYFUNCTION("SPLIT(E7,""-"")
"),1668.0)</f>
        <v>1668</v>
      </c>
      <c r="G7" s="5"/>
      <c r="H7" s="5">
        <f t="shared" si="1"/>
        <v>1668</v>
      </c>
      <c r="I7" s="5" t="s">
        <v>111</v>
      </c>
      <c r="J7" s="5" t="str">
        <f t="shared" si="2"/>
        <v>Chimaltenango</v>
      </c>
      <c r="K7" s="4" t="s">
        <v>107</v>
      </c>
      <c r="L7" s="5">
        <v>30.0</v>
      </c>
      <c r="M7" s="5" t="s">
        <v>66</v>
      </c>
      <c r="N7" s="5" t="str">
        <f>IFERROR(__xludf.DUMMYFUNCTION("PROPER(GOOGLETRANSLATE(M7, ""auto"", ""en""))"),"Taiwan Coffee Laboratory")</f>
        <v>Taiwan Coffee Laboratory</v>
      </c>
      <c r="O7" s="4" t="s">
        <v>94</v>
      </c>
      <c r="P7" s="5" t="str">
        <f t="shared" si="3"/>
        <v>2022</v>
      </c>
      <c r="Q7" s="5" t="s">
        <v>67</v>
      </c>
      <c r="R7" s="6" t="str">
        <f>IFERROR(__xludf.DUMMYFUNCTION("TEXT(DATEVALUE(REGEXREPLACE(Q7,""(\d+)(st|nd|rd|th)"",""$1"")),""yyyy-mm-dd"")"),"2022-11-15")</f>
        <v>2022-11-15</v>
      </c>
      <c r="S7" s="7" t="s">
        <v>68</v>
      </c>
      <c r="T7" s="5" t="s">
        <v>50</v>
      </c>
      <c r="U7" s="5" t="s">
        <v>69</v>
      </c>
      <c r="V7" s="4" t="s">
        <v>84</v>
      </c>
      <c r="W7" s="4" t="s">
        <v>84</v>
      </c>
      <c r="X7" s="4" t="s">
        <v>55</v>
      </c>
      <c r="Y7" s="4" t="s">
        <v>112</v>
      </c>
      <c r="Z7" s="4" t="s">
        <v>112</v>
      </c>
      <c r="AA7" s="4" t="s">
        <v>86</v>
      </c>
      <c r="AB7" s="4" t="s">
        <v>56</v>
      </c>
      <c r="AC7" s="4" t="s">
        <v>56</v>
      </c>
      <c r="AD7" s="4" t="s">
        <v>56</v>
      </c>
      <c r="AE7" s="4" t="s">
        <v>55</v>
      </c>
      <c r="AF7" s="4" t="s">
        <v>40</v>
      </c>
      <c r="AG7" s="4" t="s">
        <v>113</v>
      </c>
      <c r="AH7" s="4" t="s">
        <v>114</v>
      </c>
      <c r="AI7" s="4" t="s">
        <v>40</v>
      </c>
      <c r="AJ7" s="4" t="s">
        <v>40</v>
      </c>
      <c r="AK7" s="5" t="s">
        <v>59</v>
      </c>
      <c r="AL7" s="4" t="s">
        <v>76</v>
      </c>
      <c r="AM7" s="5" t="s">
        <v>75</v>
      </c>
      <c r="AN7" s="6" t="str">
        <f>IFERROR(__xludf.DUMMYFUNCTION("TEXT(DATEVALUE(REGEXREPLACE(AM7,""(\d+)(st|nd|rd|th)"",""$1"")),""yyyy-mm-dd"")"),"2023-11-15")</f>
        <v>2023-11-15</v>
      </c>
    </row>
    <row r="8">
      <c r="A8" s="4" t="s">
        <v>115</v>
      </c>
      <c r="B8" s="5" t="s">
        <v>62</v>
      </c>
      <c r="C8" s="5" t="s">
        <v>116</v>
      </c>
      <c r="D8" s="6" t="str">
        <f>IFERROR(__xludf.DUMMYFUNCTION("GOOGLETRANSLATE(C8,""auto"",""en"")"),"The 2022 Pacific Rim Coffee Summit,T034")</f>
        <v>The 2022 Pacific Rim Coffee Summit,T034</v>
      </c>
      <c r="E8" s="4" t="s">
        <v>117</v>
      </c>
      <c r="F8" s="5">
        <f>IFERROR(__xludf.DUMMYFUNCTION("SPLIT(E8,""-"")
"),1250.0)</f>
        <v>1250</v>
      </c>
      <c r="G8" s="5"/>
      <c r="H8" s="5">
        <f t="shared" si="1"/>
        <v>1250</v>
      </c>
      <c r="I8" s="5" t="s">
        <v>65</v>
      </c>
      <c r="J8" s="5" t="str">
        <f t="shared" si="2"/>
        <v>Chiayi</v>
      </c>
      <c r="K8" s="4" t="s">
        <v>45</v>
      </c>
      <c r="L8" s="5">
        <v>27.0</v>
      </c>
      <c r="M8" s="5" t="s">
        <v>66</v>
      </c>
      <c r="N8" s="5" t="str">
        <f>IFERROR(__xludf.DUMMYFUNCTION("PROPER(GOOGLETRANSLATE(M8, ""auto"", ""en""))"),"Taiwan Coffee Laboratory")</f>
        <v>Taiwan Coffee Laboratory</v>
      </c>
      <c r="O8" s="5" t="s">
        <v>47</v>
      </c>
      <c r="P8" s="5" t="str">
        <f t="shared" si="3"/>
        <v>2021</v>
      </c>
      <c r="Q8" s="5" t="s">
        <v>67</v>
      </c>
      <c r="R8" s="6" t="str">
        <f>IFERROR(__xludf.DUMMYFUNCTION("TEXT(DATEVALUE(REGEXREPLACE(Q8,""(\d+)(st|nd|rd|th)"",""$1"")),""yyyy-mm-dd"")"),"2022-11-15")</f>
        <v>2022-11-15</v>
      </c>
      <c r="S8" s="7" t="s">
        <v>68</v>
      </c>
      <c r="T8" s="5" t="s">
        <v>50</v>
      </c>
      <c r="U8" s="5" t="s">
        <v>69</v>
      </c>
      <c r="V8" s="4" t="s">
        <v>84</v>
      </c>
      <c r="W8" s="4" t="s">
        <v>86</v>
      </c>
      <c r="X8" s="4" t="s">
        <v>85</v>
      </c>
      <c r="Y8" s="4" t="s">
        <v>71</v>
      </c>
      <c r="Z8" s="4" t="s">
        <v>112</v>
      </c>
      <c r="AA8" s="4" t="s">
        <v>55</v>
      </c>
      <c r="AB8" s="4" t="s">
        <v>56</v>
      </c>
      <c r="AC8" s="4" t="s">
        <v>56</v>
      </c>
      <c r="AD8" s="4" t="s">
        <v>56</v>
      </c>
      <c r="AE8" s="4" t="s">
        <v>55</v>
      </c>
      <c r="AF8" s="4" t="s">
        <v>40</v>
      </c>
      <c r="AG8" s="4" t="s">
        <v>118</v>
      </c>
      <c r="AH8" s="4" t="s">
        <v>119</v>
      </c>
      <c r="AI8" s="4" t="s">
        <v>40</v>
      </c>
      <c r="AJ8" s="4" t="s">
        <v>40</v>
      </c>
      <c r="AK8" s="5" t="s">
        <v>59</v>
      </c>
      <c r="AL8" s="4" t="s">
        <v>40</v>
      </c>
      <c r="AM8" s="5" t="s">
        <v>75</v>
      </c>
      <c r="AN8" s="6" t="str">
        <f>IFERROR(__xludf.DUMMYFUNCTION("TEXT(DATEVALUE(REGEXREPLACE(AM8,""(\d+)(st|nd|rd|th)"",""$1"")),""yyyy-mm-dd"")"),"2023-11-15")</f>
        <v>2023-11-15</v>
      </c>
    </row>
    <row r="9">
      <c r="A9" s="4" t="s">
        <v>120</v>
      </c>
      <c r="B9" s="5" t="s">
        <v>62</v>
      </c>
      <c r="C9" s="5" t="s">
        <v>121</v>
      </c>
      <c r="D9" s="6" t="str">
        <f>IFERROR(__xludf.DUMMYFUNCTION("GOOGLETRANSLATE(C9,""auto"",""en"")"),"The 2022 Pacific Rim Coffee Summit,T050")</f>
        <v>The 2022 Pacific Rim Coffee Summit,T050</v>
      </c>
      <c r="E9" s="4" t="s">
        <v>64</v>
      </c>
      <c r="F9" s="5">
        <f>IFERROR(__xludf.DUMMYFUNCTION("SPLIT(E9,""-"")
"),1200.0)</f>
        <v>1200</v>
      </c>
      <c r="G9" s="5"/>
      <c r="H9" s="5">
        <f t="shared" si="1"/>
        <v>1200</v>
      </c>
      <c r="I9" s="5" t="s">
        <v>65</v>
      </c>
      <c r="J9" s="5" t="str">
        <f t="shared" si="2"/>
        <v>Chiayi</v>
      </c>
      <c r="K9" s="4" t="s">
        <v>45</v>
      </c>
      <c r="L9" s="5">
        <v>90.0</v>
      </c>
      <c r="M9" s="5" t="s">
        <v>66</v>
      </c>
      <c r="N9" s="5" t="str">
        <f>IFERROR(__xludf.DUMMYFUNCTION("PROPER(GOOGLETRANSLATE(M9, ""auto"", ""en""))"),"Taiwan Coffee Laboratory")</f>
        <v>Taiwan Coffee Laboratory</v>
      </c>
      <c r="O9" s="5" t="s">
        <v>47</v>
      </c>
      <c r="P9" s="5" t="str">
        <f t="shared" si="3"/>
        <v>2021</v>
      </c>
      <c r="Q9" s="5" t="s">
        <v>67</v>
      </c>
      <c r="R9" s="6" t="str">
        <f>IFERROR(__xludf.DUMMYFUNCTION("TEXT(DATEVALUE(REGEXREPLACE(Q9,""(\d+)(st|nd|rd|th)"",""$1"")),""yyyy-mm-dd"")"),"2022-11-15")</f>
        <v>2022-11-15</v>
      </c>
      <c r="S9" s="7" t="s">
        <v>122</v>
      </c>
      <c r="T9" s="5" t="s">
        <v>50</v>
      </c>
      <c r="U9" s="5" t="s">
        <v>123</v>
      </c>
      <c r="V9" s="4" t="s">
        <v>55</v>
      </c>
      <c r="W9" s="4" t="s">
        <v>55</v>
      </c>
      <c r="X9" s="4" t="s">
        <v>86</v>
      </c>
      <c r="Y9" s="4" t="s">
        <v>71</v>
      </c>
      <c r="Z9" s="4" t="s">
        <v>70</v>
      </c>
      <c r="AA9" s="4" t="s">
        <v>85</v>
      </c>
      <c r="AB9" s="4" t="s">
        <v>56</v>
      </c>
      <c r="AC9" s="4" t="s">
        <v>56</v>
      </c>
      <c r="AD9" s="4" t="s">
        <v>56</v>
      </c>
      <c r="AE9" s="4" t="s">
        <v>85</v>
      </c>
      <c r="AF9" s="4" t="s">
        <v>40</v>
      </c>
      <c r="AG9" s="4" t="s">
        <v>124</v>
      </c>
      <c r="AH9" s="4" t="s">
        <v>56</v>
      </c>
      <c r="AI9" s="4" t="s">
        <v>40</v>
      </c>
      <c r="AJ9" s="4" t="s">
        <v>40</v>
      </c>
      <c r="AK9" s="5" t="s">
        <v>105</v>
      </c>
      <c r="AL9" s="4" t="s">
        <v>45</v>
      </c>
      <c r="AM9" s="5" t="s">
        <v>75</v>
      </c>
      <c r="AN9" s="6" t="str">
        <f>IFERROR(__xludf.DUMMYFUNCTION("TEXT(DATEVALUE(REGEXREPLACE(AM9,""(\d+)(st|nd|rd|th)"",""$1"")),""yyyy-mm-dd"")"),"2023-11-15")</f>
        <v>2023-11-15</v>
      </c>
    </row>
    <row r="10">
      <c r="A10" s="4" t="s">
        <v>71</v>
      </c>
      <c r="B10" s="5" t="s">
        <v>62</v>
      </c>
      <c r="C10" s="5" t="s">
        <v>125</v>
      </c>
      <c r="D10" s="6" t="str">
        <f>IFERROR(__xludf.DUMMYFUNCTION("GOOGLETRANSLATE(C10,""auto"",""en"")"),"The 2022 Pacific Rim Coffee Summit,T018")</f>
        <v>The 2022 Pacific Rim Coffee Summit,T018</v>
      </c>
      <c r="E10" s="4" t="s">
        <v>117</v>
      </c>
      <c r="F10" s="5">
        <f>IFERROR(__xludf.DUMMYFUNCTION("SPLIT(E10,""-"")
"),1250.0)</f>
        <v>1250</v>
      </c>
      <c r="G10" s="5"/>
      <c r="H10" s="5">
        <f t="shared" si="1"/>
        <v>1250</v>
      </c>
      <c r="I10" s="5" t="s">
        <v>65</v>
      </c>
      <c r="J10" s="5" t="str">
        <f t="shared" si="2"/>
        <v>Chiayi</v>
      </c>
      <c r="K10" s="4" t="s">
        <v>45</v>
      </c>
      <c r="L10" s="5">
        <v>30.0</v>
      </c>
      <c r="M10" s="5" t="s">
        <v>66</v>
      </c>
      <c r="N10" s="5" t="str">
        <f>IFERROR(__xludf.DUMMYFUNCTION("PROPER(GOOGLETRANSLATE(M10, ""auto"", ""en""))"),"Taiwan Coffee Laboratory")</f>
        <v>Taiwan Coffee Laboratory</v>
      </c>
      <c r="O10" s="5" t="s">
        <v>47</v>
      </c>
      <c r="P10" s="5" t="str">
        <f t="shared" si="3"/>
        <v>2021</v>
      </c>
      <c r="Q10" s="5" t="s">
        <v>67</v>
      </c>
      <c r="R10" s="6" t="str">
        <f>IFERROR(__xludf.DUMMYFUNCTION("TEXT(DATEVALUE(REGEXREPLACE(Q10,""(\d+)(st|nd|rd|th)"",""$1"")),""yyyy-mm-dd"")"),"2022-11-15")</f>
        <v>2022-11-15</v>
      </c>
      <c r="S10" s="7" t="s">
        <v>126</v>
      </c>
      <c r="T10" s="5" t="s">
        <v>50</v>
      </c>
      <c r="U10" s="5" t="s">
        <v>69</v>
      </c>
      <c r="V10" s="4" t="s">
        <v>85</v>
      </c>
      <c r="W10" s="4" t="s">
        <v>85</v>
      </c>
      <c r="X10" s="4" t="s">
        <v>55</v>
      </c>
      <c r="Y10" s="4" t="s">
        <v>85</v>
      </c>
      <c r="Z10" s="4" t="s">
        <v>70</v>
      </c>
      <c r="AA10" s="4" t="s">
        <v>71</v>
      </c>
      <c r="AB10" s="4" t="s">
        <v>56</v>
      </c>
      <c r="AC10" s="4" t="s">
        <v>56</v>
      </c>
      <c r="AD10" s="4" t="s">
        <v>56</v>
      </c>
      <c r="AE10" s="4" t="s">
        <v>55</v>
      </c>
      <c r="AF10" s="4" t="s">
        <v>40</v>
      </c>
      <c r="AG10" s="4" t="s">
        <v>127</v>
      </c>
      <c r="AH10" s="4" t="s">
        <v>128</v>
      </c>
      <c r="AI10" s="4" t="s">
        <v>40</v>
      </c>
      <c r="AJ10" s="4" t="s">
        <v>40</v>
      </c>
      <c r="AK10" s="5" t="s">
        <v>59</v>
      </c>
      <c r="AL10" s="4" t="s">
        <v>40</v>
      </c>
      <c r="AM10" s="5" t="s">
        <v>75</v>
      </c>
      <c r="AN10" s="6" t="str">
        <f>IFERROR(__xludf.DUMMYFUNCTION("TEXT(DATEVALUE(REGEXREPLACE(AM10,""(\d+)(st|nd|rd|th)"",""$1"")),""yyyy-mm-dd"")"),"2023-11-15")</f>
        <v>2023-11-15</v>
      </c>
    </row>
    <row r="11">
      <c r="A11" s="4" t="s">
        <v>129</v>
      </c>
      <c r="B11" s="5" t="s">
        <v>130</v>
      </c>
      <c r="C11" s="5" t="s">
        <v>131</v>
      </c>
      <c r="D11" s="6" t="str">
        <f>IFERROR(__xludf.DUMMYFUNCTION("GOOGLETRANSLATE(C11,""auto"",""en"")"),"CN 4127230034/4189230113")</f>
        <v>CN 4127230034/4189230113</v>
      </c>
      <c r="E11" s="5" t="s">
        <v>132</v>
      </c>
      <c r="F11" s="5">
        <f>IFERROR(__xludf.DUMMYFUNCTION("SPLIT(E11,""-"")
"),1400.0)</f>
        <v>1400</v>
      </c>
      <c r="G11" s="5">
        <f>IFERROR(__xludf.DUMMYFUNCTION("""COMPUTED_VALUE"""),1700.0)</f>
        <v>1700</v>
      </c>
      <c r="H11" s="5">
        <f t="shared" si="1"/>
        <v>1550</v>
      </c>
      <c r="I11" s="5" t="s">
        <v>133</v>
      </c>
      <c r="J11" s="5" t="str">
        <f t="shared" si="2"/>
        <v>Kilimanjaro</v>
      </c>
      <c r="K11" s="4" t="s">
        <v>134</v>
      </c>
      <c r="L11" s="5">
        <v>60.0</v>
      </c>
      <c r="M11" s="5" t="s">
        <v>135</v>
      </c>
      <c r="N11" s="5" t="str">
        <f>IFERROR(__xludf.DUMMYFUNCTION("PROPER(GOOGLETRANSLATE(M11, ""auto"", ""en""))"),"Kenya Coffee Traders Association")</f>
        <v>Kenya Coffee Traders Association</v>
      </c>
      <c r="O11" s="5" t="s">
        <v>136</v>
      </c>
      <c r="P11" s="5" t="str">
        <f t="shared" si="3"/>
        <v>2022</v>
      </c>
      <c r="Q11" s="5" t="s">
        <v>137</v>
      </c>
      <c r="R11" s="6" t="str">
        <f>IFERROR(__xludf.DUMMYFUNCTION("TEXT(DATEVALUE(REGEXREPLACE(Q11,""(\d+)(st|nd|rd|th)"",""$1"")),""yyyy-mm-dd"")"),"2023-02-01")</f>
        <v>2023-02-01</v>
      </c>
      <c r="S11" s="7" t="s">
        <v>138</v>
      </c>
      <c r="T11" s="5" t="s">
        <v>50</v>
      </c>
      <c r="U11" s="5" t="s">
        <v>69</v>
      </c>
      <c r="V11" s="4" t="s">
        <v>85</v>
      </c>
      <c r="W11" s="4" t="s">
        <v>86</v>
      </c>
      <c r="X11" s="4" t="s">
        <v>85</v>
      </c>
      <c r="Y11" s="4" t="s">
        <v>86</v>
      </c>
      <c r="Z11" s="4" t="s">
        <v>71</v>
      </c>
      <c r="AA11" s="4" t="s">
        <v>71</v>
      </c>
      <c r="AB11" s="4" t="s">
        <v>56</v>
      </c>
      <c r="AC11" s="4" t="s">
        <v>56</v>
      </c>
      <c r="AD11" s="4" t="s">
        <v>56</v>
      </c>
      <c r="AE11" s="4" t="s">
        <v>71</v>
      </c>
      <c r="AF11" s="4" t="s">
        <v>40</v>
      </c>
      <c r="AG11" s="4" t="s">
        <v>139</v>
      </c>
      <c r="AH11" s="4" t="s">
        <v>140</v>
      </c>
      <c r="AI11" s="4" t="s">
        <v>40</v>
      </c>
      <c r="AJ11" s="4" t="s">
        <v>40</v>
      </c>
      <c r="AK11" s="5" t="s">
        <v>59</v>
      </c>
      <c r="AL11" s="4" t="s">
        <v>40</v>
      </c>
      <c r="AM11" s="5" t="s">
        <v>141</v>
      </c>
      <c r="AN11" s="6" t="str">
        <f>IFERROR(__xludf.DUMMYFUNCTION("TEXT(DATEVALUE(REGEXREPLACE(AM11,""(\d+)(st|nd|rd|th)"",""$1"")),""yyyy-mm-dd"")"),"2024-02-01")</f>
        <v>2024-02-01</v>
      </c>
    </row>
    <row r="12">
      <c r="A12" s="4" t="s">
        <v>56</v>
      </c>
      <c r="B12" s="5" t="s">
        <v>142</v>
      </c>
      <c r="C12" s="5" t="s">
        <v>143</v>
      </c>
      <c r="D12" s="6" t="str">
        <f>IFERROR(__xludf.DUMMYFUNCTION("GOOGLETRANSLATE(C12,""auto"",""en"")"),"010/0296/600")</f>
        <v>010/0296/600</v>
      </c>
      <c r="E12" s="5" t="s">
        <v>144</v>
      </c>
      <c r="F12" s="5">
        <f>IFERROR(__xludf.DUMMYFUNCTION("SPLIT(E12,""-"")
"),1800.0)</f>
        <v>1800</v>
      </c>
      <c r="G12" s="5">
        <f>IFERROR(__xludf.DUMMYFUNCTION("""COMPUTED_VALUE"""),2200.0)</f>
        <v>2200</v>
      </c>
      <c r="H12" s="5">
        <f t="shared" si="1"/>
        <v>2000</v>
      </c>
      <c r="I12" s="5" t="s">
        <v>145</v>
      </c>
      <c r="J12" s="5" t="str">
        <f t="shared" si="2"/>
        <v>Guji</v>
      </c>
      <c r="K12" s="4" t="s">
        <v>56</v>
      </c>
      <c r="L12" s="5">
        <v>30.0</v>
      </c>
      <c r="M12" s="5" t="s">
        <v>46</v>
      </c>
      <c r="N12" s="5" t="str">
        <f>IFERROR(__xludf.DUMMYFUNCTION("PROPER(GOOGLETRANSLATE(M12, ""auto"", ""en""))"),"Japan Coffee Exchange")</f>
        <v>Japan Coffee Exchange</v>
      </c>
      <c r="O12" s="5" t="s">
        <v>47</v>
      </c>
      <c r="P12" s="5" t="str">
        <f t="shared" si="3"/>
        <v>2021</v>
      </c>
      <c r="Q12" s="5" t="s">
        <v>146</v>
      </c>
      <c r="R12" s="6" t="str">
        <f>IFERROR(__xludf.DUMMYFUNCTION("TEXT(DATEVALUE(REGEXREPLACE(Q12,""(\d+)(st|nd|rd|th)"",""$1"")),""yyyy-mm-dd"")"),"2022-05-31")</f>
        <v>2022-05-31</v>
      </c>
      <c r="S12" s="7" t="s">
        <v>147</v>
      </c>
      <c r="T12" s="5" t="s">
        <v>50</v>
      </c>
      <c r="U12" s="5" t="s">
        <v>123</v>
      </c>
      <c r="V12" s="4" t="s">
        <v>85</v>
      </c>
      <c r="W12" s="4" t="s">
        <v>55</v>
      </c>
      <c r="X12" s="4" t="s">
        <v>71</v>
      </c>
      <c r="Y12" s="4" t="s">
        <v>85</v>
      </c>
      <c r="Z12" s="4" t="s">
        <v>70</v>
      </c>
      <c r="AA12" s="4" t="s">
        <v>70</v>
      </c>
      <c r="AB12" s="4" t="s">
        <v>56</v>
      </c>
      <c r="AC12" s="4" t="s">
        <v>56</v>
      </c>
      <c r="AD12" s="4" t="s">
        <v>56</v>
      </c>
      <c r="AE12" s="4" t="s">
        <v>71</v>
      </c>
      <c r="AF12" s="4" t="s">
        <v>40</v>
      </c>
      <c r="AG12" s="4" t="s">
        <v>148</v>
      </c>
      <c r="AH12" s="4" t="s">
        <v>58</v>
      </c>
      <c r="AI12" s="4" t="s">
        <v>40</v>
      </c>
      <c r="AJ12" s="4" t="s">
        <v>45</v>
      </c>
      <c r="AK12" s="5" t="s">
        <v>59</v>
      </c>
      <c r="AL12" s="4" t="s">
        <v>45</v>
      </c>
      <c r="AM12" s="5" t="s">
        <v>149</v>
      </c>
      <c r="AN12" s="6" t="str">
        <f>IFERROR(__xludf.DUMMYFUNCTION("TEXT(DATEVALUE(REGEXREPLACE(AM12,""(\d+)(st|nd|rd|th)"",""$1"")),""yyyy-mm-dd"")"),"2023-05-31")</f>
        <v>2023-05-31</v>
      </c>
    </row>
    <row r="13">
      <c r="A13" s="4" t="s">
        <v>140</v>
      </c>
      <c r="B13" s="5" t="s">
        <v>108</v>
      </c>
      <c r="C13" s="5" t="s">
        <v>150</v>
      </c>
      <c r="D13" s="6" t="str">
        <f>IFERROR(__xludf.DUMMYFUNCTION("GOOGLETRANSLATE(C13,""auto"",""en"")"),"The 2022 Pacific Rim Coffee Summit,GT12")</f>
        <v>The 2022 Pacific Rim Coffee Summit,GT12</v>
      </c>
      <c r="E13" s="4" t="s">
        <v>151</v>
      </c>
      <c r="F13" s="5">
        <f>IFERROR(__xludf.DUMMYFUNCTION("SPLIT(E13,""-"")
"),2000.0)</f>
        <v>2000</v>
      </c>
      <c r="G13" s="5"/>
      <c r="H13" s="5">
        <f t="shared" si="1"/>
        <v>2000</v>
      </c>
      <c r="I13" s="5" t="s">
        <v>152</v>
      </c>
      <c r="J13" s="5" t="str">
        <f t="shared" si="2"/>
        <v>Acatenango</v>
      </c>
      <c r="K13" s="4" t="s">
        <v>107</v>
      </c>
      <c r="L13" s="5">
        <v>15.0</v>
      </c>
      <c r="M13" s="5" t="s">
        <v>66</v>
      </c>
      <c r="N13" s="5" t="str">
        <f>IFERROR(__xludf.DUMMYFUNCTION("PROPER(GOOGLETRANSLATE(M13, ""auto"", ""en""))"),"Taiwan Coffee Laboratory")</f>
        <v>Taiwan Coffee Laboratory</v>
      </c>
      <c r="O13" s="4" t="s">
        <v>153</v>
      </c>
      <c r="P13" s="5" t="str">
        <f t="shared" si="3"/>
        <v>2021</v>
      </c>
      <c r="Q13" s="5" t="s">
        <v>67</v>
      </c>
      <c r="R13" s="6" t="str">
        <f>IFERROR(__xludf.DUMMYFUNCTION("TEXT(DATEVALUE(REGEXREPLACE(Q13,""(\d+)(st|nd|rd|th)"",""$1"")),""yyyy-mm-dd"")"),"2022-11-15")</f>
        <v>2022-11-15</v>
      </c>
      <c r="S13" s="7" t="s">
        <v>68</v>
      </c>
      <c r="T13" s="5" t="s">
        <v>50</v>
      </c>
      <c r="U13" s="5" t="s">
        <v>123</v>
      </c>
      <c r="V13" s="4" t="s">
        <v>85</v>
      </c>
      <c r="W13" s="4" t="s">
        <v>71</v>
      </c>
      <c r="X13" s="4" t="s">
        <v>71</v>
      </c>
      <c r="Y13" s="4" t="s">
        <v>154</v>
      </c>
      <c r="Z13" s="4" t="s">
        <v>55</v>
      </c>
      <c r="AA13" s="4" t="s">
        <v>86</v>
      </c>
      <c r="AB13" s="4" t="s">
        <v>56</v>
      </c>
      <c r="AC13" s="4" t="s">
        <v>56</v>
      </c>
      <c r="AD13" s="4" t="s">
        <v>56</v>
      </c>
      <c r="AE13" s="4" t="s">
        <v>71</v>
      </c>
      <c r="AF13" s="4" t="s">
        <v>40</v>
      </c>
      <c r="AG13" s="4" t="s">
        <v>148</v>
      </c>
      <c r="AH13" s="4" t="s">
        <v>155</v>
      </c>
      <c r="AI13" s="4" t="s">
        <v>40</v>
      </c>
      <c r="AJ13" s="4" t="s">
        <v>40</v>
      </c>
      <c r="AK13" s="5" t="s">
        <v>156</v>
      </c>
      <c r="AL13" s="4" t="s">
        <v>45</v>
      </c>
      <c r="AM13" s="5" t="s">
        <v>75</v>
      </c>
      <c r="AN13" s="6" t="str">
        <f>IFERROR(__xludf.DUMMYFUNCTION("TEXT(DATEVALUE(REGEXREPLACE(AM13,""(\d+)(st|nd|rd|th)"",""$1"")),""yyyy-mm-dd"")"),"2023-11-15")</f>
        <v>2023-11-15</v>
      </c>
    </row>
    <row r="14">
      <c r="A14" s="4" t="s">
        <v>157</v>
      </c>
      <c r="B14" s="5" t="s">
        <v>62</v>
      </c>
      <c r="C14" s="5" t="s">
        <v>158</v>
      </c>
      <c r="D14" s="6" t="str">
        <f>IFERROR(__xludf.DUMMYFUNCTION("GOOGLETRANSLATE(C14,""auto"",""en"")"),"The 2022 Pacific Rim Coffee Summit,T051")</f>
        <v>The 2022 Pacific Rim Coffee Summit,T051</v>
      </c>
      <c r="E14" s="4" t="s">
        <v>117</v>
      </c>
      <c r="F14" s="5">
        <f>IFERROR(__xludf.DUMMYFUNCTION("SPLIT(E14,""-"")
"),1250.0)</f>
        <v>1250</v>
      </c>
      <c r="G14" s="5"/>
      <c r="H14" s="5">
        <f t="shared" si="1"/>
        <v>1250</v>
      </c>
      <c r="I14" s="5" t="s">
        <v>159</v>
      </c>
      <c r="J14" s="5" t="str">
        <f t="shared" si="2"/>
        <v>Yunlin</v>
      </c>
      <c r="K14" s="4" t="s">
        <v>45</v>
      </c>
      <c r="L14" s="5">
        <v>60.0</v>
      </c>
      <c r="M14" s="5" t="s">
        <v>66</v>
      </c>
      <c r="N14" s="5" t="str">
        <f>IFERROR(__xludf.DUMMYFUNCTION("PROPER(GOOGLETRANSLATE(M14, ""auto"", ""en""))"),"Taiwan Coffee Laboratory")</f>
        <v>Taiwan Coffee Laboratory</v>
      </c>
      <c r="O14" s="5" t="s">
        <v>47</v>
      </c>
      <c r="P14" s="5" t="str">
        <f t="shared" si="3"/>
        <v>2021</v>
      </c>
      <c r="Q14" s="5" t="s">
        <v>67</v>
      </c>
      <c r="R14" s="6" t="str">
        <f>IFERROR(__xludf.DUMMYFUNCTION("TEXT(DATEVALUE(REGEXREPLACE(Q14,""(\d+)(st|nd|rd|th)"",""$1"")),""yyyy-mm-dd"")"),"2022-11-15")</f>
        <v>2022-11-15</v>
      </c>
      <c r="S14" s="7" t="s">
        <v>68</v>
      </c>
      <c r="T14" s="5" t="s">
        <v>50</v>
      </c>
      <c r="U14" s="5" t="s">
        <v>69</v>
      </c>
      <c r="V14" s="4" t="s">
        <v>85</v>
      </c>
      <c r="W14" s="4" t="s">
        <v>71</v>
      </c>
      <c r="X14" s="4" t="s">
        <v>85</v>
      </c>
      <c r="Y14" s="4" t="s">
        <v>85</v>
      </c>
      <c r="Z14" s="4" t="s">
        <v>71</v>
      </c>
      <c r="AA14" s="4" t="s">
        <v>71</v>
      </c>
      <c r="AB14" s="4" t="s">
        <v>56</v>
      </c>
      <c r="AC14" s="4" t="s">
        <v>56</v>
      </c>
      <c r="AD14" s="4" t="s">
        <v>56</v>
      </c>
      <c r="AE14" s="4" t="s">
        <v>71</v>
      </c>
      <c r="AF14" s="4" t="s">
        <v>40</v>
      </c>
      <c r="AG14" s="4" t="s">
        <v>148</v>
      </c>
      <c r="AH14" s="4" t="s">
        <v>160</v>
      </c>
      <c r="AI14" s="4" t="s">
        <v>40</v>
      </c>
      <c r="AJ14" s="4" t="s">
        <v>40</v>
      </c>
      <c r="AK14" s="5" t="s">
        <v>59</v>
      </c>
      <c r="AL14" s="4" t="s">
        <v>40</v>
      </c>
      <c r="AM14" s="5" t="s">
        <v>75</v>
      </c>
      <c r="AN14" s="6" t="str">
        <f>IFERROR(__xludf.DUMMYFUNCTION("TEXT(DATEVALUE(REGEXREPLACE(AM14,""(\d+)(st|nd|rd|th)"",""$1"")),""yyyy-mm-dd"")"),"2023-11-15")</f>
        <v>2023-11-15</v>
      </c>
    </row>
    <row r="15">
      <c r="A15" s="4" t="s">
        <v>161</v>
      </c>
      <c r="B15" s="5" t="s">
        <v>142</v>
      </c>
      <c r="C15" s="5" t="s">
        <v>162</v>
      </c>
      <c r="D15" s="6" t="str">
        <f>IFERROR(__xludf.DUMMYFUNCTION("GOOGLETRANSLATE(C15,""auto"",""en"")"),"Grade 1, Guji, Natural, Gelana Geisha")</f>
        <v>Grade 1, Guji, Natural, Gelana Geisha</v>
      </c>
      <c r="E15" s="5" t="s">
        <v>163</v>
      </c>
      <c r="F15" s="5">
        <f>IFERROR(__xludf.DUMMYFUNCTION("SPLIT(E15,""-"")
"),1900.0)</f>
        <v>1900</v>
      </c>
      <c r="G15" s="5">
        <f>IFERROR(__xludf.DUMMYFUNCTION("""COMPUTED_VALUE"""),2000.0)</f>
        <v>2000</v>
      </c>
      <c r="H15" s="5">
        <f t="shared" si="1"/>
        <v>1950</v>
      </c>
      <c r="I15" s="5" t="s">
        <v>145</v>
      </c>
      <c r="J15" s="5" t="str">
        <f t="shared" si="2"/>
        <v>Guji</v>
      </c>
      <c r="K15" s="4" t="s">
        <v>164</v>
      </c>
      <c r="L15" s="5">
        <v>60.0</v>
      </c>
      <c r="M15" s="5" t="s">
        <v>165</v>
      </c>
      <c r="N15" s="5" t="str">
        <f>IFERROR(__xludf.DUMMYFUNCTION("PROPER(GOOGLETRANSLATE(M15, ""auto"", ""en""))"),"Metad Agricultural Development Plc")</f>
        <v>Metad Agricultural Development Plc</v>
      </c>
      <c r="O15" s="5" t="s">
        <v>47</v>
      </c>
      <c r="P15" s="5" t="str">
        <f t="shared" si="3"/>
        <v>2021</v>
      </c>
      <c r="Q15" s="5" t="s">
        <v>166</v>
      </c>
      <c r="R15" s="6" t="str">
        <f>IFERROR(__xludf.DUMMYFUNCTION("TEXT(DATEVALUE(REGEXREPLACE(Q15,""(\d+)(st|nd|rd|th)"",""$1"")),""yyyy-mm-dd"")"),"2022-08-26")</f>
        <v>2022-08-26</v>
      </c>
      <c r="S15" s="7" t="s">
        <v>68</v>
      </c>
      <c r="T15" s="5" t="s">
        <v>50</v>
      </c>
      <c r="U15" s="5" t="s">
        <v>123</v>
      </c>
      <c r="V15" s="4" t="s">
        <v>167</v>
      </c>
      <c r="W15" s="4" t="s">
        <v>86</v>
      </c>
      <c r="X15" s="4" t="s">
        <v>71</v>
      </c>
      <c r="Y15" s="4" t="s">
        <v>84</v>
      </c>
      <c r="Z15" s="4" t="s">
        <v>71</v>
      </c>
      <c r="AA15" s="4" t="s">
        <v>71</v>
      </c>
      <c r="AB15" s="4" t="s">
        <v>56</v>
      </c>
      <c r="AC15" s="4" t="s">
        <v>56</v>
      </c>
      <c r="AD15" s="4" t="s">
        <v>56</v>
      </c>
      <c r="AE15" s="4" t="s">
        <v>71</v>
      </c>
      <c r="AF15" s="4" t="s">
        <v>40</v>
      </c>
      <c r="AG15" s="4" t="s">
        <v>168</v>
      </c>
      <c r="AH15" s="4" t="s">
        <v>104</v>
      </c>
      <c r="AI15" s="4" t="s">
        <v>40</v>
      </c>
      <c r="AJ15" s="4" t="s">
        <v>60</v>
      </c>
      <c r="AK15" s="5" t="s">
        <v>105</v>
      </c>
      <c r="AL15" s="4" t="s">
        <v>76</v>
      </c>
      <c r="AM15" s="5" t="s">
        <v>169</v>
      </c>
      <c r="AN15" s="6" t="str">
        <f>IFERROR(__xludf.DUMMYFUNCTION("TEXT(DATEVALUE(REGEXREPLACE(AM15,""(\d+)(st|nd|rd|th)"",""$1"")),""yyyy-mm-dd"")"),"2023-08-26")</f>
        <v>2023-08-26</v>
      </c>
    </row>
    <row r="16">
      <c r="A16" s="4" t="s">
        <v>170</v>
      </c>
      <c r="B16" s="5" t="s">
        <v>41</v>
      </c>
      <c r="C16" s="5" t="s">
        <v>171</v>
      </c>
      <c r="D16" s="6" t="str">
        <f>IFERROR(__xludf.DUMMYFUNCTION("GOOGLETRANSLATE(C16,""auto"",""en"")"),"The 2022 Pacific Rim Coffee Summit,CO03")</f>
        <v>The 2022 Pacific Rim Coffee Summit,CO03</v>
      </c>
      <c r="E16" s="4" t="s">
        <v>172</v>
      </c>
      <c r="F16" s="5">
        <f>IFERROR(__xludf.DUMMYFUNCTION("SPLIT(E16,""-"")
"),1850.0)</f>
        <v>1850</v>
      </c>
      <c r="G16" s="5"/>
      <c r="H16" s="5">
        <f t="shared" si="1"/>
        <v>1850</v>
      </c>
      <c r="I16" s="5" t="s">
        <v>173</v>
      </c>
      <c r="J16" s="5" t="str">
        <f t="shared" si="2"/>
        <v>Tolima</v>
      </c>
      <c r="K16" s="4" t="s">
        <v>174</v>
      </c>
      <c r="L16" s="5">
        <v>35.0</v>
      </c>
      <c r="M16" s="5" t="s">
        <v>66</v>
      </c>
      <c r="N16" s="5" t="str">
        <f>IFERROR(__xludf.DUMMYFUNCTION("PROPER(GOOGLETRANSLATE(M16, ""auto"", ""en""))"),"Taiwan Coffee Laboratory")</f>
        <v>Taiwan Coffee Laboratory</v>
      </c>
      <c r="O16" s="5" t="s">
        <v>47</v>
      </c>
      <c r="P16" s="5" t="str">
        <f t="shared" si="3"/>
        <v>2021</v>
      </c>
      <c r="Q16" s="5" t="s">
        <v>67</v>
      </c>
      <c r="R16" s="6" t="str">
        <f>IFERROR(__xludf.DUMMYFUNCTION("TEXT(DATEVALUE(REGEXREPLACE(Q16,""(\d+)(st|nd|rd|th)"",""$1"")),""yyyy-mm-dd"")"),"2022-11-15")</f>
        <v>2022-11-15</v>
      </c>
      <c r="S16" s="7" t="s">
        <v>175</v>
      </c>
      <c r="T16" s="5" t="s">
        <v>50</v>
      </c>
      <c r="U16" s="5" t="s">
        <v>69</v>
      </c>
      <c r="V16" s="4" t="s">
        <v>85</v>
      </c>
      <c r="W16" s="4" t="s">
        <v>71</v>
      </c>
      <c r="X16" s="4" t="s">
        <v>85</v>
      </c>
      <c r="Y16" s="4" t="s">
        <v>70</v>
      </c>
      <c r="Z16" s="4" t="s">
        <v>85</v>
      </c>
      <c r="AA16" s="4" t="s">
        <v>71</v>
      </c>
      <c r="AB16" s="4" t="s">
        <v>56</v>
      </c>
      <c r="AC16" s="4" t="s">
        <v>56</v>
      </c>
      <c r="AD16" s="4" t="s">
        <v>56</v>
      </c>
      <c r="AE16" s="4" t="s">
        <v>71</v>
      </c>
      <c r="AF16" s="4" t="s">
        <v>40</v>
      </c>
      <c r="AG16" s="4" t="s">
        <v>168</v>
      </c>
      <c r="AH16" s="4" t="s">
        <v>176</v>
      </c>
      <c r="AI16" s="4" t="s">
        <v>40</v>
      </c>
      <c r="AJ16" s="4" t="s">
        <v>40</v>
      </c>
      <c r="AK16" s="5" t="s">
        <v>59</v>
      </c>
      <c r="AL16" s="4" t="s">
        <v>40</v>
      </c>
      <c r="AM16" s="5" t="s">
        <v>75</v>
      </c>
      <c r="AN16" s="6" t="str">
        <f>IFERROR(__xludf.DUMMYFUNCTION("TEXT(DATEVALUE(REGEXREPLACE(AM16,""(\d+)(st|nd|rd|th)"",""$1"")),""yyyy-mm-dd"")"),"2023-11-15")</f>
        <v>2023-11-15</v>
      </c>
    </row>
    <row r="17">
      <c r="A17" s="4" t="s">
        <v>177</v>
      </c>
      <c r="B17" s="5" t="s">
        <v>62</v>
      </c>
      <c r="C17" s="5" t="s">
        <v>178</v>
      </c>
      <c r="D17" s="6" t="str">
        <f>IFERROR(__xludf.DUMMYFUNCTION("GOOGLETRANSLATE(C17,""auto"",""en"")"),"The 2022 Pacific Rim Coffee Summit,T014")</f>
        <v>The 2022 Pacific Rim Coffee Summit,T014</v>
      </c>
      <c r="E17" s="4" t="s">
        <v>179</v>
      </c>
      <c r="F17" s="5">
        <f>IFERROR(__xludf.DUMMYFUNCTION("SPLIT(E17,""-"")
"),1100.0)</f>
        <v>1100</v>
      </c>
      <c r="G17" s="5"/>
      <c r="H17" s="5">
        <f t="shared" si="1"/>
        <v>1100</v>
      </c>
      <c r="I17" s="5" t="s">
        <v>65</v>
      </c>
      <c r="J17" s="5" t="str">
        <f t="shared" si="2"/>
        <v>Chiayi</v>
      </c>
      <c r="K17" s="4" t="s">
        <v>45</v>
      </c>
      <c r="L17" s="5">
        <v>60.0</v>
      </c>
      <c r="M17" s="5" t="s">
        <v>66</v>
      </c>
      <c r="N17" s="5" t="str">
        <f>IFERROR(__xludf.DUMMYFUNCTION("PROPER(GOOGLETRANSLATE(M17, ""auto"", ""en""))"),"Taiwan Coffee Laboratory")</f>
        <v>Taiwan Coffee Laboratory</v>
      </c>
      <c r="O17" s="5" t="s">
        <v>47</v>
      </c>
      <c r="P17" s="5" t="str">
        <f t="shared" si="3"/>
        <v>2021</v>
      </c>
      <c r="Q17" s="5" t="s">
        <v>67</v>
      </c>
      <c r="R17" s="6" t="str">
        <f>IFERROR(__xludf.DUMMYFUNCTION("TEXT(DATEVALUE(REGEXREPLACE(Q17,""(\d+)(st|nd|rd|th)"",""$1"")),""yyyy-mm-dd"")"),"2022-11-15")</f>
        <v>2022-11-15</v>
      </c>
      <c r="S17" s="7" t="s">
        <v>126</v>
      </c>
      <c r="T17" s="5" t="s">
        <v>50</v>
      </c>
      <c r="U17" s="5" t="s">
        <v>180</v>
      </c>
      <c r="V17" s="4" t="s">
        <v>86</v>
      </c>
      <c r="W17" s="4" t="s">
        <v>85</v>
      </c>
      <c r="X17" s="4" t="s">
        <v>71</v>
      </c>
      <c r="Y17" s="4" t="s">
        <v>70</v>
      </c>
      <c r="Z17" s="4" t="s">
        <v>71</v>
      </c>
      <c r="AA17" s="4" t="s">
        <v>70</v>
      </c>
      <c r="AB17" s="4" t="s">
        <v>56</v>
      </c>
      <c r="AC17" s="4" t="s">
        <v>56</v>
      </c>
      <c r="AD17" s="4" t="s">
        <v>56</v>
      </c>
      <c r="AE17" s="4" t="s">
        <v>71</v>
      </c>
      <c r="AF17" s="4" t="s">
        <v>40</v>
      </c>
      <c r="AG17" s="4" t="s">
        <v>181</v>
      </c>
      <c r="AH17" s="4" t="s">
        <v>182</v>
      </c>
      <c r="AI17" s="4" t="s">
        <v>40</v>
      </c>
      <c r="AJ17" s="4" t="s">
        <v>40</v>
      </c>
      <c r="AK17" s="5" t="s">
        <v>59</v>
      </c>
      <c r="AL17" s="4" t="s">
        <v>40</v>
      </c>
      <c r="AM17" s="5" t="s">
        <v>75</v>
      </c>
      <c r="AN17" s="6" t="str">
        <f>IFERROR(__xludf.DUMMYFUNCTION("TEXT(DATEVALUE(REGEXREPLACE(AM17,""(\d+)(st|nd|rd|th)"",""$1"")),""yyyy-mm-dd"")"),"2023-11-15")</f>
        <v>2023-11-15</v>
      </c>
    </row>
    <row r="18">
      <c r="A18" s="4" t="s">
        <v>183</v>
      </c>
      <c r="B18" s="5" t="s">
        <v>142</v>
      </c>
      <c r="C18" s="5" t="s">
        <v>184</v>
      </c>
      <c r="D18" s="6" t="str">
        <f>IFERROR(__xludf.DUMMYFUNCTION("GOOGLETRANSLATE(C18,""auto"",""en"")"),"CQU2023006")</f>
        <v>CQU2023006</v>
      </c>
      <c r="E18" s="5" t="s">
        <v>185</v>
      </c>
      <c r="F18" s="5">
        <f>IFERROR(__xludf.DUMMYFUNCTION("SPLIT(E18,""-"")
"),1900.0)</f>
        <v>1900</v>
      </c>
      <c r="G18" s="5">
        <f>IFERROR(__xludf.DUMMYFUNCTION("""COMPUTED_VALUE"""),2100.0)</f>
        <v>2100</v>
      </c>
      <c r="H18" s="5">
        <f t="shared" si="1"/>
        <v>2000</v>
      </c>
      <c r="I18" s="5" t="s">
        <v>186</v>
      </c>
      <c r="J18" s="5" t="str">
        <f t="shared" si="2"/>
        <v>Gedeb,Yirgacheffe,Sidamo</v>
      </c>
      <c r="K18" s="4" t="s">
        <v>71</v>
      </c>
      <c r="L18" s="5">
        <v>5.0</v>
      </c>
      <c r="M18" s="5" t="s">
        <v>46</v>
      </c>
      <c r="N18" s="5" t="str">
        <f>IFERROR(__xludf.DUMMYFUNCTION("PROPER(GOOGLETRANSLATE(M18, ""auto"", ""en""))"),"Japan Coffee Exchange")</f>
        <v>Japan Coffee Exchange</v>
      </c>
      <c r="O18" s="4" t="s">
        <v>94</v>
      </c>
      <c r="P18" s="5" t="str">
        <f t="shared" si="3"/>
        <v>2022</v>
      </c>
      <c r="Q18" s="5" t="s">
        <v>187</v>
      </c>
      <c r="R18" s="6" t="str">
        <f>IFERROR(__xludf.DUMMYFUNCTION("TEXT(DATEVALUE(REGEXREPLACE(Q18,""(\d+)(st|nd|rd|th)"",""$1"")),""yyyy-mm-dd"")"),"2023-04-07")</f>
        <v>2023-04-07</v>
      </c>
      <c r="S18" s="7" t="s">
        <v>188</v>
      </c>
      <c r="T18" s="5" t="s">
        <v>50</v>
      </c>
      <c r="U18" s="5" t="s">
        <v>69</v>
      </c>
      <c r="V18" s="4" t="s">
        <v>86</v>
      </c>
      <c r="W18" s="4" t="s">
        <v>85</v>
      </c>
      <c r="X18" s="4" t="s">
        <v>70</v>
      </c>
      <c r="Y18" s="4" t="s">
        <v>86</v>
      </c>
      <c r="Z18" s="4" t="s">
        <v>154</v>
      </c>
      <c r="AA18" s="4" t="s">
        <v>70</v>
      </c>
      <c r="AB18" s="4" t="s">
        <v>56</v>
      </c>
      <c r="AC18" s="4" t="s">
        <v>56</v>
      </c>
      <c r="AD18" s="4" t="s">
        <v>56</v>
      </c>
      <c r="AE18" s="4" t="s">
        <v>85</v>
      </c>
      <c r="AF18" s="4" t="s">
        <v>40</v>
      </c>
      <c r="AG18" s="4" t="s">
        <v>181</v>
      </c>
      <c r="AH18" s="4" t="s">
        <v>189</v>
      </c>
      <c r="AI18" s="4" t="s">
        <v>40</v>
      </c>
      <c r="AJ18" s="4" t="s">
        <v>76</v>
      </c>
      <c r="AK18" s="5" t="s">
        <v>59</v>
      </c>
      <c r="AL18" s="4" t="s">
        <v>76</v>
      </c>
      <c r="AM18" s="5" t="s">
        <v>190</v>
      </c>
      <c r="AN18" s="6" t="str">
        <f>IFERROR(__xludf.DUMMYFUNCTION("TEXT(DATEVALUE(REGEXREPLACE(AM18,""(\d+)(st|nd|rd|th)"",""$1"")),""yyyy-mm-dd"")"),"2024-04-06")</f>
        <v>2024-04-06</v>
      </c>
    </row>
    <row r="19">
      <c r="A19" s="4" t="s">
        <v>191</v>
      </c>
      <c r="B19" s="5" t="s">
        <v>62</v>
      </c>
      <c r="C19" s="4" t="s">
        <v>192</v>
      </c>
      <c r="D19" s="6" t="str">
        <f>IFERROR(__xludf.DUMMYFUNCTION("GOOGLETRANSLATE(C19,""auto"",""en"")"),"202203")</f>
        <v>202203</v>
      </c>
      <c r="E19" s="4" t="s">
        <v>79</v>
      </c>
      <c r="F19" s="5">
        <f>IFERROR(__xludf.DUMMYFUNCTION("SPLIT(E19,""-"")
"),1300.0)</f>
        <v>1300</v>
      </c>
      <c r="G19" s="5"/>
      <c r="H19" s="5">
        <f t="shared" si="1"/>
        <v>1300</v>
      </c>
      <c r="I19" s="5" t="s">
        <v>193</v>
      </c>
      <c r="J19" s="5" t="str">
        <f t="shared" si="2"/>
        <v>Shibi, Gukeng Township, Yunlin County 郵遞區號 , Taiwan (R.O.C.)</v>
      </c>
      <c r="K19" s="4" t="s">
        <v>107</v>
      </c>
      <c r="L19" s="5">
        <v>2.0</v>
      </c>
      <c r="M19" s="5" t="s">
        <v>194</v>
      </c>
      <c r="N19" s="5" t="str">
        <f>IFERROR(__xludf.DUMMYFUNCTION("PROPER(GOOGLETRANSLATE(M19, ""auto"", ""en""))"),"Blossom Valley International")</f>
        <v>Blossom Valley International</v>
      </c>
      <c r="O19" s="4" t="s">
        <v>94</v>
      </c>
      <c r="P19" s="5" t="str">
        <f t="shared" si="3"/>
        <v>2022</v>
      </c>
      <c r="Q19" s="5" t="s">
        <v>195</v>
      </c>
      <c r="R19" s="6" t="str">
        <f>IFERROR(__xludf.DUMMYFUNCTION("TEXT(DATEVALUE(REGEXREPLACE(Q19,""(\d+)(st|nd|rd|th)"",""$1"")),""yyyy-mm-dd"")"),"2022-10-24")</f>
        <v>2022-10-24</v>
      </c>
      <c r="S19" s="7" t="s">
        <v>68</v>
      </c>
      <c r="T19" s="5" t="s">
        <v>50</v>
      </c>
      <c r="U19" s="5" t="s">
        <v>123</v>
      </c>
      <c r="V19" s="4" t="s">
        <v>71</v>
      </c>
      <c r="W19" s="4" t="s">
        <v>86</v>
      </c>
      <c r="X19" s="4" t="s">
        <v>71</v>
      </c>
      <c r="Y19" s="4" t="s">
        <v>70</v>
      </c>
      <c r="Z19" s="4" t="s">
        <v>70</v>
      </c>
      <c r="AA19" s="4" t="s">
        <v>70</v>
      </c>
      <c r="AB19" s="4" t="s">
        <v>56</v>
      </c>
      <c r="AC19" s="4" t="s">
        <v>56</v>
      </c>
      <c r="AD19" s="4" t="s">
        <v>56</v>
      </c>
      <c r="AE19" s="4" t="s">
        <v>86</v>
      </c>
      <c r="AF19" s="4" t="s">
        <v>40</v>
      </c>
      <c r="AG19" s="4" t="s">
        <v>181</v>
      </c>
      <c r="AH19" s="4" t="s">
        <v>196</v>
      </c>
      <c r="AI19" s="4" t="s">
        <v>40</v>
      </c>
      <c r="AJ19" s="4" t="s">
        <v>40</v>
      </c>
      <c r="AK19" s="5" t="s">
        <v>105</v>
      </c>
      <c r="AL19" s="4" t="s">
        <v>40</v>
      </c>
      <c r="AM19" s="5" t="s">
        <v>197</v>
      </c>
      <c r="AN19" s="6" t="str">
        <f>IFERROR(__xludf.DUMMYFUNCTION("TEXT(DATEVALUE(REGEXREPLACE(AM19,""(\d+)(st|nd|rd|th)"",""$1"")),""yyyy-mm-dd"")"),"2023-10-24")</f>
        <v>2023-10-24</v>
      </c>
    </row>
    <row r="20">
      <c r="A20" s="4" t="s">
        <v>198</v>
      </c>
      <c r="B20" s="5" t="s">
        <v>62</v>
      </c>
      <c r="C20" s="4" t="s">
        <v>199</v>
      </c>
      <c r="D20" s="6" t="str">
        <f>IFERROR(__xludf.DUMMYFUNCTION("GOOGLETRANSLATE(C20,""auto"",""en"")"),"202112")</f>
        <v>202112</v>
      </c>
      <c r="E20" s="4" t="s">
        <v>64</v>
      </c>
      <c r="F20" s="5">
        <f>IFERROR(__xludf.DUMMYFUNCTION("SPLIT(E20,""-"")
"),1200.0)</f>
        <v>1200</v>
      </c>
      <c r="G20" s="5"/>
      <c r="H20" s="5">
        <f t="shared" si="1"/>
        <v>1200</v>
      </c>
      <c r="I20" s="5" t="s">
        <v>200</v>
      </c>
      <c r="J20" s="5" t="str">
        <f t="shared" si="2"/>
        <v>Gukeng Township, Yunlin County</v>
      </c>
      <c r="K20" s="4" t="s">
        <v>71</v>
      </c>
      <c r="L20" s="5">
        <v>1.0</v>
      </c>
      <c r="M20" s="5" t="s">
        <v>194</v>
      </c>
      <c r="N20" s="5" t="str">
        <f>IFERROR(__xludf.DUMMYFUNCTION("PROPER(GOOGLETRANSLATE(M20, ""auto"", ""en""))"),"Blossom Valley International")</f>
        <v>Blossom Valley International</v>
      </c>
      <c r="O20" s="5" t="s">
        <v>47</v>
      </c>
      <c r="P20" s="5" t="str">
        <f t="shared" si="3"/>
        <v>2021</v>
      </c>
      <c r="Q20" s="5" t="s">
        <v>195</v>
      </c>
      <c r="R20" s="6" t="str">
        <f>IFERROR(__xludf.DUMMYFUNCTION("TEXT(DATEVALUE(REGEXREPLACE(Q20,""(\d+)(st|nd|rd|th)"",""$1"")),""yyyy-mm-dd"")"),"2022-10-24")</f>
        <v>2022-10-24</v>
      </c>
      <c r="S20" s="7" t="s">
        <v>68</v>
      </c>
      <c r="T20" s="5" t="s">
        <v>50</v>
      </c>
      <c r="U20" s="5" t="s">
        <v>123</v>
      </c>
      <c r="V20" s="4" t="s">
        <v>85</v>
      </c>
      <c r="W20" s="4" t="s">
        <v>86</v>
      </c>
      <c r="X20" s="4" t="s">
        <v>154</v>
      </c>
      <c r="Y20" s="4" t="s">
        <v>70</v>
      </c>
      <c r="Z20" s="4" t="s">
        <v>112</v>
      </c>
      <c r="AA20" s="4" t="s">
        <v>71</v>
      </c>
      <c r="AB20" s="4" t="s">
        <v>56</v>
      </c>
      <c r="AC20" s="4" t="s">
        <v>56</v>
      </c>
      <c r="AD20" s="4" t="s">
        <v>56</v>
      </c>
      <c r="AE20" s="4" t="s">
        <v>86</v>
      </c>
      <c r="AF20" s="4" t="s">
        <v>40</v>
      </c>
      <c r="AG20" s="4" t="s">
        <v>201</v>
      </c>
      <c r="AH20" s="4" t="s">
        <v>140</v>
      </c>
      <c r="AI20" s="4" t="s">
        <v>40</v>
      </c>
      <c r="AJ20" s="4" t="s">
        <v>40</v>
      </c>
      <c r="AK20" s="5" t="s">
        <v>156</v>
      </c>
      <c r="AL20" s="4" t="s">
        <v>45</v>
      </c>
      <c r="AM20" s="5" t="s">
        <v>197</v>
      </c>
      <c r="AN20" s="6" t="str">
        <f>IFERROR(__xludf.DUMMYFUNCTION("TEXT(DATEVALUE(REGEXREPLACE(AM20,""(\d+)(st|nd|rd|th)"",""$1"")),""yyyy-mm-dd"")"),"2023-10-24")</f>
        <v>2023-10-24</v>
      </c>
    </row>
    <row r="21">
      <c r="A21" s="4" t="s">
        <v>81</v>
      </c>
      <c r="B21" s="5" t="s">
        <v>130</v>
      </c>
      <c r="C21" s="5" t="s">
        <v>202</v>
      </c>
      <c r="D21" s="6" t="str">
        <f>IFERROR(__xludf.DUMMYFUNCTION("GOOGLETRANSLATE(C21,""auto"",""en"")"),"CN 4127230032/P-9140")</f>
        <v>CN 4127230032/P-9140</v>
      </c>
      <c r="E21" s="5" t="s">
        <v>203</v>
      </c>
      <c r="F21" s="5">
        <f>IFERROR(__xludf.DUMMYFUNCTION("SPLIT(E21,""-"")
"),1570.0)</f>
        <v>1570</v>
      </c>
      <c r="G21" s="5">
        <f>IFERROR(__xludf.DUMMYFUNCTION("""COMPUTED_VALUE"""),1600.0)</f>
        <v>1600</v>
      </c>
      <c r="H21" s="5">
        <f t="shared" si="1"/>
        <v>1585</v>
      </c>
      <c r="I21" s="5" t="s">
        <v>204</v>
      </c>
      <c r="J21" s="5" t="str">
        <f t="shared" si="2"/>
        <v>Arusha</v>
      </c>
      <c r="K21" s="4" t="s">
        <v>205</v>
      </c>
      <c r="L21" s="5">
        <v>30.0</v>
      </c>
      <c r="M21" s="5" t="s">
        <v>135</v>
      </c>
      <c r="N21" s="5" t="str">
        <f>IFERROR(__xludf.DUMMYFUNCTION("PROPER(GOOGLETRANSLATE(M21, ""auto"", ""en""))"),"Kenya Coffee Traders Association")</f>
        <v>Kenya Coffee Traders Association</v>
      </c>
      <c r="O21" s="5" t="s">
        <v>136</v>
      </c>
      <c r="P21" s="5" t="str">
        <f t="shared" si="3"/>
        <v>2022</v>
      </c>
      <c r="Q21" s="5" t="s">
        <v>137</v>
      </c>
      <c r="R21" s="6" t="str">
        <f>IFERROR(__xludf.DUMMYFUNCTION("TEXT(DATEVALUE(REGEXREPLACE(Q21,""(\d+)(st|nd|rd|th)"",""$1"")),""yyyy-mm-dd"")"),"2023-02-01")</f>
        <v>2023-02-01</v>
      </c>
      <c r="S21" s="7" t="s">
        <v>138</v>
      </c>
      <c r="T21" s="5" t="s">
        <v>50</v>
      </c>
      <c r="U21" s="5" t="s">
        <v>69</v>
      </c>
      <c r="V21" s="4" t="s">
        <v>86</v>
      </c>
      <c r="W21" s="4" t="s">
        <v>71</v>
      </c>
      <c r="X21" s="4" t="s">
        <v>70</v>
      </c>
      <c r="Y21" s="4" t="s">
        <v>70</v>
      </c>
      <c r="Z21" s="4" t="s">
        <v>86</v>
      </c>
      <c r="AA21" s="4" t="s">
        <v>154</v>
      </c>
      <c r="AB21" s="4" t="s">
        <v>56</v>
      </c>
      <c r="AC21" s="4" t="s">
        <v>56</v>
      </c>
      <c r="AD21" s="4" t="s">
        <v>56</v>
      </c>
      <c r="AE21" s="4" t="s">
        <v>70</v>
      </c>
      <c r="AF21" s="4" t="s">
        <v>40</v>
      </c>
      <c r="AG21" s="4" t="s">
        <v>206</v>
      </c>
      <c r="AH21" s="4" t="s">
        <v>56</v>
      </c>
      <c r="AI21" s="4" t="s">
        <v>40</v>
      </c>
      <c r="AJ21" s="4" t="s">
        <v>40</v>
      </c>
      <c r="AK21" s="5" t="s">
        <v>59</v>
      </c>
      <c r="AL21" s="4" t="s">
        <v>40</v>
      </c>
      <c r="AM21" s="5" t="s">
        <v>141</v>
      </c>
      <c r="AN21" s="6" t="str">
        <f>IFERROR(__xludf.DUMMYFUNCTION("TEXT(DATEVALUE(REGEXREPLACE(AM21,""(\d+)(st|nd|rd|th)"",""$1"")),""yyyy-mm-dd"")"),"2024-02-01")</f>
        <v>2024-02-01</v>
      </c>
    </row>
    <row r="22">
      <c r="A22" s="4" t="s">
        <v>207</v>
      </c>
      <c r="B22" s="5" t="s">
        <v>108</v>
      </c>
      <c r="C22" s="5" t="s">
        <v>208</v>
      </c>
      <c r="D22" s="6" t="str">
        <f>IFERROR(__xludf.DUMMYFUNCTION("GOOGLETRANSLATE(C22,""auto"",""en"")"),"The 2022 Pacific Rim Coffee Summit,GT03")</f>
        <v>The 2022 Pacific Rim Coffee Summit,GT03</v>
      </c>
      <c r="E22" s="4" t="s">
        <v>92</v>
      </c>
      <c r="F22" s="5">
        <f>IFERROR(__xludf.DUMMYFUNCTION("SPLIT(E22,""-"")
"),1900.0)</f>
        <v>1900</v>
      </c>
      <c r="G22" s="5"/>
      <c r="H22" s="5">
        <f t="shared" si="1"/>
        <v>1900</v>
      </c>
      <c r="I22" s="5" t="s">
        <v>209</v>
      </c>
      <c r="J22" s="5" t="str">
        <f t="shared" si="2"/>
        <v>Guatemala, Fraijanes, Santa Rosa</v>
      </c>
      <c r="K22" s="4" t="s">
        <v>71</v>
      </c>
      <c r="L22" s="5">
        <v>30.0</v>
      </c>
      <c r="M22" s="5" t="s">
        <v>66</v>
      </c>
      <c r="N22" s="5" t="str">
        <f>IFERROR(__xludf.DUMMYFUNCTION("PROPER(GOOGLETRANSLATE(M22, ""auto"", ""en""))"),"Taiwan Coffee Laboratory")</f>
        <v>Taiwan Coffee Laboratory</v>
      </c>
      <c r="O22" s="5" t="s">
        <v>47</v>
      </c>
      <c r="P22" s="5" t="str">
        <f t="shared" si="3"/>
        <v>2021</v>
      </c>
      <c r="Q22" s="5" t="s">
        <v>67</v>
      </c>
      <c r="R22" s="6" t="str">
        <f>IFERROR(__xludf.DUMMYFUNCTION("TEXT(DATEVALUE(REGEXREPLACE(Q22,""(\d+)(st|nd|rd|th)"",""$1"")),""yyyy-mm-dd"")"),"2022-11-15")</f>
        <v>2022-11-15</v>
      </c>
      <c r="S22" s="7" t="s">
        <v>68</v>
      </c>
      <c r="T22" s="5" t="s">
        <v>50</v>
      </c>
      <c r="U22" s="5" t="s">
        <v>123</v>
      </c>
      <c r="V22" s="4" t="s">
        <v>71</v>
      </c>
      <c r="W22" s="4" t="s">
        <v>70</v>
      </c>
      <c r="X22" s="4" t="s">
        <v>85</v>
      </c>
      <c r="Y22" s="4" t="s">
        <v>70</v>
      </c>
      <c r="Z22" s="4" t="s">
        <v>154</v>
      </c>
      <c r="AA22" s="4" t="s">
        <v>71</v>
      </c>
      <c r="AB22" s="4" t="s">
        <v>56</v>
      </c>
      <c r="AC22" s="4" t="s">
        <v>56</v>
      </c>
      <c r="AD22" s="4" t="s">
        <v>56</v>
      </c>
      <c r="AE22" s="4" t="s">
        <v>85</v>
      </c>
      <c r="AF22" s="4" t="s">
        <v>40</v>
      </c>
      <c r="AG22" s="4" t="s">
        <v>210</v>
      </c>
      <c r="AH22" s="4" t="s">
        <v>104</v>
      </c>
      <c r="AI22" s="4" t="s">
        <v>40</v>
      </c>
      <c r="AJ22" s="4" t="s">
        <v>40</v>
      </c>
      <c r="AK22" s="5" t="s">
        <v>89</v>
      </c>
      <c r="AL22" s="4" t="s">
        <v>40</v>
      </c>
      <c r="AM22" s="5" t="s">
        <v>75</v>
      </c>
      <c r="AN22" s="6" t="str">
        <f>IFERROR(__xludf.DUMMYFUNCTION("TEXT(DATEVALUE(REGEXREPLACE(AM22,""(\d+)(st|nd|rd|th)"",""$1"")),""yyyy-mm-dd"")"),"2023-11-15")</f>
        <v>2023-11-15</v>
      </c>
    </row>
    <row r="23">
      <c r="A23" s="4" t="s">
        <v>211</v>
      </c>
      <c r="B23" s="5" t="s">
        <v>62</v>
      </c>
      <c r="C23" s="4" t="s">
        <v>212</v>
      </c>
      <c r="D23" s="6" t="str">
        <f>IFERROR(__xludf.DUMMYFUNCTION("GOOGLETRANSLATE(C23,""auto"",""en"")"),"2022/03")</f>
        <v>2022/03</v>
      </c>
      <c r="E23" s="4" t="s">
        <v>213</v>
      </c>
      <c r="F23" s="5">
        <f>IFERROR(__xludf.DUMMYFUNCTION("SPLIT(E23,""-"")
"),850.0)</f>
        <v>850</v>
      </c>
      <c r="G23" s="5"/>
      <c r="H23" s="5">
        <f t="shared" si="1"/>
        <v>850</v>
      </c>
      <c r="I23" s="5" t="s">
        <v>214</v>
      </c>
      <c r="J23" s="5" t="str">
        <f t="shared" si="2"/>
        <v>卓溪鄉zhuoxi Township</v>
      </c>
      <c r="K23" s="4" t="s">
        <v>45</v>
      </c>
      <c r="L23" s="5">
        <v>20.0</v>
      </c>
      <c r="M23" s="5" t="s">
        <v>66</v>
      </c>
      <c r="N23" s="5" t="str">
        <f>IFERROR(__xludf.DUMMYFUNCTION("PROPER(GOOGLETRANSLATE(M23, ""auto"", ""en""))"),"Taiwan Coffee Laboratory")</f>
        <v>Taiwan Coffee Laboratory</v>
      </c>
      <c r="O23" s="4" t="s">
        <v>94</v>
      </c>
      <c r="P23" s="5" t="str">
        <f t="shared" si="3"/>
        <v>2022</v>
      </c>
      <c r="Q23" s="5" t="s">
        <v>215</v>
      </c>
      <c r="R23" s="6" t="str">
        <f>IFERROR(__xludf.DUMMYFUNCTION("TEXT(DATEVALUE(REGEXREPLACE(Q23,""(\d+)(st|nd|rd|th)"",""$1"")),""yyyy-mm-dd"")"),"2022-12-12")</f>
        <v>2022-12-12</v>
      </c>
      <c r="S23" s="7" t="s">
        <v>216</v>
      </c>
      <c r="T23" s="5" t="s">
        <v>50</v>
      </c>
      <c r="U23" s="5" t="s">
        <v>123</v>
      </c>
      <c r="V23" s="4" t="s">
        <v>85</v>
      </c>
      <c r="W23" s="4" t="s">
        <v>71</v>
      </c>
      <c r="X23" s="4" t="s">
        <v>70</v>
      </c>
      <c r="Y23" s="4" t="s">
        <v>70</v>
      </c>
      <c r="Z23" s="4" t="s">
        <v>71</v>
      </c>
      <c r="AA23" s="4" t="s">
        <v>112</v>
      </c>
      <c r="AB23" s="4" t="s">
        <v>56</v>
      </c>
      <c r="AC23" s="4" t="s">
        <v>56</v>
      </c>
      <c r="AD23" s="4" t="s">
        <v>56</v>
      </c>
      <c r="AE23" s="4" t="s">
        <v>70</v>
      </c>
      <c r="AF23" s="4" t="s">
        <v>40</v>
      </c>
      <c r="AG23" s="4" t="s">
        <v>217</v>
      </c>
      <c r="AH23" s="4" t="s">
        <v>88</v>
      </c>
      <c r="AI23" s="4" t="s">
        <v>40</v>
      </c>
      <c r="AJ23" s="4" t="s">
        <v>40</v>
      </c>
      <c r="AK23" s="5" t="s">
        <v>59</v>
      </c>
      <c r="AL23" s="4" t="s">
        <v>40</v>
      </c>
      <c r="AM23" s="5" t="s">
        <v>218</v>
      </c>
      <c r="AN23" s="6" t="str">
        <f>IFERROR(__xludf.DUMMYFUNCTION("TEXT(DATEVALUE(REGEXREPLACE(AM23,""(\d+)(st|nd|rd|th)"",""$1"")),""yyyy-mm-dd"")"),"2023-12-12")</f>
        <v>2023-12-12</v>
      </c>
    </row>
    <row r="24">
      <c r="A24" s="4" t="s">
        <v>219</v>
      </c>
      <c r="B24" s="5" t="s">
        <v>220</v>
      </c>
      <c r="C24" s="4" t="s">
        <v>45</v>
      </c>
      <c r="D24" s="6" t="str">
        <f>IFERROR(__xludf.DUMMYFUNCTION("GOOGLETRANSLATE(C24,""auto"",""en"")"),"1")</f>
        <v>1</v>
      </c>
      <c r="E24" s="5" t="s">
        <v>221</v>
      </c>
      <c r="F24" s="5">
        <f>IFERROR(__xludf.DUMMYFUNCTION("SPLIT(E24,""-"")
"),1500.0)</f>
        <v>1500</v>
      </c>
      <c r="G24" s="5">
        <f>IFERROR(__xludf.DUMMYFUNCTION("""COMPUTED_VALUE"""),1700.0)</f>
        <v>1700</v>
      </c>
      <c r="H24" s="5">
        <f t="shared" si="1"/>
        <v>1600</v>
      </c>
      <c r="I24" s="5" t="s">
        <v>222</v>
      </c>
      <c r="J24" s="5" t="str">
        <f t="shared" si="2"/>
        <v>Chiang Mai</v>
      </c>
      <c r="K24" s="4" t="s">
        <v>76</v>
      </c>
      <c r="L24" s="5">
        <v>1.0</v>
      </c>
      <c r="M24" s="5" t="s">
        <v>223</v>
      </c>
      <c r="N24" s="5" t="str">
        <f>IFERROR(__xludf.DUMMYFUNCTION("PROPER(GOOGLETRANSLATE(M24, ""auto"", ""en""))"),"Fabb Academy Of Coffee")</f>
        <v>Fabb Academy Of Coffee</v>
      </c>
      <c r="O24" s="5" t="s">
        <v>47</v>
      </c>
      <c r="P24" s="5" t="str">
        <f t="shared" si="3"/>
        <v>2021</v>
      </c>
      <c r="Q24" s="5" t="s">
        <v>224</v>
      </c>
      <c r="R24" s="6" t="str">
        <f>IFERROR(__xludf.DUMMYFUNCTION("TEXT(DATEVALUE(REGEXREPLACE(Q24,""(\d+)(st|nd|rd|th)"",""$1"")),""yyyy-mm-dd"")"),"2022-08-16")</f>
        <v>2022-08-16</v>
      </c>
      <c r="S24" s="7" t="s">
        <v>225</v>
      </c>
      <c r="T24" s="5" t="s">
        <v>50</v>
      </c>
      <c r="U24" s="5" t="s">
        <v>180</v>
      </c>
      <c r="V24" s="4" t="s">
        <v>167</v>
      </c>
      <c r="W24" s="4" t="s">
        <v>71</v>
      </c>
      <c r="X24" s="4" t="s">
        <v>112</v>
      </c>
      <c r="Y24" s="4" t="s">
        <v>71</v>
      </c>
      <c r="Z24" s="4" t="s">
        <v>85</v>
      </c>
      <c r="AA24" s="4" t="s">
        <v>71</v>
      </c>
      <c r="AB24" s="4" t="s">
        <v>56</v>
      </c>
      <c r="AC24" s="4" t="s">
        <v>56</v>
      </c>
      <c r="AD24" s="4" t="s">
        <v>56</v>
      </c>
      <c r="AE24" s="4" t="s">
        <v>85</v>
      </c>
      <c r="AF24" s="4" t="s">
        <v>40</v>
      </c>
      <c r="AG24" s="4" t="s">
        <v>217</v>
      </c>
      <c r="AH24" s="4" t="s">
        <v>226</v>
      </c>
      <c r="AI24" s="4" t="s">
        <v>40</v>
      </c>
      <c r="AJ24" s="4" t="s">
        <v>40</v>
      </c>
      <c r="AK24" s="5" t="s">
        <v>227</v>
      </c>
      <c r="AL24" s="4" t="s">
        <v>107</v>
      </c>
      <c r="AM24" s="5" t="s">
        <v>228</v>
      </c>
      <c r="AN24" s="6" t="str">
        <f>IFERROR(__xludf.DUMMYFUNCTION("TEXT(DATEVALUE(REGEXREPLACE(AM24,""(\d+)(st|nd|rd|th)"",""$1"")),""yyyy-mm-dd"")"),"2023-08-16")</f>
        <v>2023-08-16</v>
      </c>
    </row>
    <row r="25">
      <c r="A25" s="4" t="s">
        <v>229</v>
      </c>
      <c r="B25" s="5" t="s">
        <v>41</v>
      </c>
      <c r="C25" s="5" t="s">
        <v>230</v>
      </c>
      <c r="D25" s="6" t="str">
        <f>IFERROR(__xludf.DUMMYFUNCTION("GOOGLETRANSLATE(C25,""auto"",""en"")"),"CQU2023005")</f>
        <v>CQU2023005</v>
      </c>
      <c r="E25" s="4" t="s">
        <v>231</v>
      </c>
      <c r="F25" s="5">
        <f>IFERROR(__xludf.DUMMYFUNCTION("SPLIT(E25,""-"")
"),1350.0)</f>
        <v>1350</v>
      </c>
      <c r="G25" s="5"/>
      <c r="H25" s="5">
        <f t="shared" si="1"/>
        <v>1350</v>
      </c>
      <c r="I25" s="5" t="s">
        <v>232</v>
      </c>
      <c r="J25" s="5" t="str">
        <f t="shared" si="2"/>
        <v>Quindio</v>
      </c>
      <c r="K25" s="4" t="s">
        <v>115</v>
      </c>
      <c r="L25" s="5">
        <v>5.0</v>
      </c>
      <c r="M25" s="5" t="s">
        <v>46</v>
      </c>
      <c r="N25" s="5" t="str">
        <f>IFERROR(__xludf.DUMMYFUNCTION("PROPER(GOOGLETRANSLATE(M25, ""auto"", ""en""))"),"Japan Coffee Exchange")</f>
        <v>Japan Coffee Exchange</v>
      </c>
      <c r="O25" s="4" t="s">
        <v>94</v>
      </c>
      <c r="P25" s="5" t="str">
        <f t="shared" si="3"/>
        <v>2022</v>
      </c>
      <c r="Q25" s="5" t="s">
        <v>187</v>
      </c>
      <c r="R25" s="6" t="str">
        <f>IFERROR(__xludf.DUMMYFUNCTION("TEXT(DATEVALUE(REGEXREPLACE(Q25,""(\d+)(st|nd|rd|th)"",""$1"")),""yyyy-mm-dd"")"),"2023-04-07")</f>
        <v>2023-04-07</v>
      </c>
      <c r="S25" s="7" t="s">
        <v>233</v>
      </c>
      <c r="T25" s="5" t="s">
        <v>50</v>
      </c>
      <c r="U25" s="5" t="s">
        <v>234</v>
      </c>
      <c r="V25" s="4" t="s">
        <v>85</v>
      </c>
      <c r="W25" s="4" t="s">
        <v>71</v>
      </c>
      <c r="X25" s="4" t="s">
        <v>112</v>
      </c>
      <c r="Y25" s="4" t="s">
        <v>86</v>
      </c>
      <c r="Z25" s="4" t="s">
        <v>154</v>
      </c>
      <c r="AA25" s="4" t="s">
        <v>112</v>
      </c>
      <c r="AB25" s="4" t="s">
        <v>56</v>
      </c>
      <c r="AC25" s="4" t="s">
        <v>56</v>
      </c>
      <c r="AD25" s="4" t="s">
        <v>56</v>
      </c>
      <c r="AE25" s="4" t="s">
        <v>71</v>
      </c>
      <c r="AF25" s="4" t="s">
        <v>40</v>
      </c>
      <c r="AG25" s="4" t="s">
        <v>217</v>
      </c>
      <c r="AH25" s="4" t="s">
        <v>189</v>
      </c>
      <c r="AI25" s="4" t="s">
        <v>40</v>
      </c>
      <c r="AJ25" s="4" t="s">
        <v>40</v>
      </c>
      <c r="AK25" s="5" t="s">
        <v>156</v>
      </c>
      <c r="AL25" s="4" t="s">
        <v>76</v>
      </c>
      <c r="AM25" s="5" t="s">
        <v>190</v>
      </c>
      <c r="AN25" s="6" t="str">
        <f>IFERROR(__xludf.DUMMYFUNCTION("TEXT(DATEVALUE(REGEXREPLACE(AM25,""(\d+)(st|nd|rd|th)"",""$1"")),""yyyy-mm-dd"")"),"2024-04-06")</f>
        <v>2024-04-06</v>
      </c>
    </row>
    <row r="26">
      <c r="A26" s="4" t="s">
        <v>235</v>
      </c>
      <c r="B26" s="5" t="s">
        <v>62</v>
      </c>
      <c r="C26" s="5" t="s">
        <v>236</v>
      </c>
      <c r="D26" s="6" t="str">
        <f>IFERROR(__xludf.DUMMYFUNCTION("GOOGLETRANSLATE(C26,""auto"",""en"")"),"The 2022 Pacific Rim Coffee Summit, T003")</f>
        <v>The 2022 Pacific Rim Coffee Summit, T003</v>
      </c>
      <c r="E26" s="4" t="s">
        <v>117</v>
      </c>
      <c r="F26" s="5">
        <f>IFERROR(__xludf.DUMMYFUNCTION("SPLIT(E26,""-"")
"),1250.0)</f>
        <v>1250</v>
      </c>
      <c r="G26" s="5"/>
      <c r="H26" s="5">
        <f t="shared" si="1"/>
        <v>1250</v>
      </c>
      <c r="I26" s="5" t="s">
        <v>159</v>
      </c>
      <c r="J26" s="5" t="str">
        <f t="shared" si="2"/>
        <v>Yunlin</v>
      </c>
      <c r="K26" s="4" t="s">
        <v>96</v>
      </c>
      <c r="L26" s="5">
        <v>50.0</v>
      </c>
      <c r="M26" s="5" t="s">
        <v>66</v>
      </c>
      <c r="N26" s="5" t="str">
        <f>IFERROR(__xludf.DUMMYFUNCTION("PROPER(GOOGLETRANSLATE(M26, ""auto"", ""en""))"),"Taiwan Coffee Laboratory")</f>
        <v>Taiwan Coffee Laboratory</v>
      </c>
      <c r="O26" s="5" t="s">
        <v>47</v>
      </c>
      <c r="P26" s="5" t="str">
        <f t="shared" si="3"/>
        <v>2021</v>
      </c>
      <c r="Q26" s="5" t="s">
        <v>67</v>
      </c>
      <c r="R26" s="6" t="str">
        <f>IFERROR(__xludf.DUMMYFUNCTION("TEXT(DATEVALUE(REGEXREPLACE(Q26,""(\d+)(st|nd|rd|th)"",""$1"")),""yyyy-mm-dd"")"),"2022-11-15")</f>
        <v>2022-11-15</v>
      </c>
      <c r="S26" s="7" t="s">
        <v>126</v>
      </c>
      <c r="T26" s="5" t="s">
        <v>50</v>
      </c>
      <c r="U26" s="5" t="s">
        <v>69</v>
      </c>
      <c r="V26" s="4" t="s">
        <v>112</v>
      </c>
      <c r="W26" s="4" t="s">
        <v>71</v>
      </c>
      <c r="X26" s="4" t="s">
        <v>70</v>
      </c>
      <c r="Y26" s="4" t="s">
        <v>71</v>
      </c>
      <c r="Z26" s="4" t="s">
        <v>71</v>
      </c>
      <c r="AA26" s="4" t="s">
        <v>70</v>
      </c>
      <c r="AB26" s="4" t="s">
        <v>56</v>
      </c>
      <c r="AC26" s="4" t="s">
        <v>56</v>
      </c>
      <c r="AD26" s="4" t="s">
        <v>56</v>
      </c>
      <c r="AE26" s="4" t="s">
        <v>70</v>
      </c>
      <c r="AF26" s="4" t="s">
        <v>40</v>
      </c>
      <c r="AG26" s="4" t="s">
        <v>237</v>
      </c>
      <c r="AH26" s="4" t="s">
        <v>176</v>
      </c>
      <c r="AI26" s="4" t="s">
        <v>40</v>
      </c>
      <c r="AJ26" s="4" t="s">
        <v>40</v>
      </c>
      <c r="AK26" s="5" t="s">
        <v>74</v>
      </c>
      <c r="AL26" s="4" t="s">
        <v>40</v>
      </c>
      <c r="AM26" s="5" t="s">
        <v>75</v>
      </c>
      <c r="AN26" s="6" t="str">
        <f>IFERROR(__xludf.DUMMYFUNCTION("TEXT(DATEVALUE(REGEXREPLACE(AM26,""(\d+)(st|nd|rd|th)"",""$1"")),""yyyy-mm-dd"")"),"2023-11-15")</f>
        <v>2023-11-15</v>
      </c>
    </row>
    <row r="27">
      <c r="A27" s="4" t="s">
        <v>238</v>
      </c>
      <c r="B27" s="5" t="s">
        <v>239</v>
      </c>
      <c r="C27" s="5" t="s">
        <v>240</v>
      </c>
      <c r="D27" s="6" t="str">
        <f>IFERROR(__xludf.DUMMYFUNCTION("GOOGLETRANSLATE(C27,""auto"",""en"")"),"Dwarf 1")</f>
        <v>Dwarf 1</v>
      </c>
      <c r="E27" s="4" t="s">
        <v>117</v>
      </c>
      <c r="F27" s="5">
        <f>IFERROR(__xludf.DUMMYFUNCTION("SPLIT(E27,""-"")
"),1250.0)</f>
        <v>1250</v>
      </c>
      <c r="G27" s="5"/>
      <c r="H27" s="5">
        <f t="shared" si="1"/>
        <v>1250</v>
      </c>
      <c r="I27" s="5" t="s">
        <v>241</v>
      </c>
      <c r="J27" s="5" t="str">
        <f t="shared" si="2"/>
        <v>Região Vulcânica</v>
      </c>
      <c r="K27" s="4" t="s">
        <v>238</v>
      </c>
      <c r="L27" s="5">
        <v>60.0</v>
      </c>
      <c r="M27" s="5" t="s">
        <v>242</v>
      </c>
      <c r="N27" s="5" t="str">
        <f>IFERROR(__xludf.DUMMYFUNCTION("PROPER(GOOGLETRANSLATE(M27, ""auto"", ""en""))"),"Brazil Specialty Coffee Association")</f>
        <v>Brazil Specialty Coffee Association</v>
      </c>
      <c r="O27" s="4" t="s">
        <v>94</v>
      </c>
      <c r="P27" s="5" t="str">
        <f t="shared" si="3"/>
        <v>2022</v>
      </c>
      <c r="Q27" s="5" t="s">
        <v>243</v>
      </c>
      <c r="R27" s="6" t="str">
        <f>IFERROR(__xludf.DUMMYFUNCTION("TEXT(DATEVALUE(REGEXREPLACE(Q27,""(\d+)(st|nd|rd|th)"",""$1"")),""yyyy-mm-dd"")"),"2023-01-06")</f>
        <v>2023-01-06</v>
      </c>
      <c r="S27" s="7" t="s">
        <v>234</v>
      </c>
      <c r="T27" s="5" t="s">
        <v>50</v>
      </c>
      <c r="U27" s="5" t="s">
        <v>180</v>
      </c>
      <c r="V27" s="4" t="s">
        <v>112</v>
      </c>
      <c r="W27" s="4" t="s">
        <v>85</v>
      </c>
      <c r="X27" s="4" t="s">
        <v>112</v>
      </c>
      <c r="Y27" s="4" t="s">
        <v>70</v>
      </c>
      <c r="Z27" s="4" t="s">
        <v>71</v>
      </c>
      <c r="AA27" s="4" t="s">
        <v>112</v>
      </c>
      <c r="AB27" s="4" t="s">
        <v>56</v>
      </c>
      <c r="AC27" s="4" t="s">
        <v>56</v>
      </c>
      <c r="AD27" s="4" t="s">
        <v>56</v>
      </c>
      <c r="AE27" s="4" t="s">
        <v>71</v>
      </c>
      <c r="AF27" s="4" t="s">
        <v>40</v>
      </c>
      <c r="AG27" s="4" t="s">
        <v>244</v>
      </c>
      <c r="AH27" s="4" t="s">
        <v>189</v>
      </c>
      <c r="AI27" s="4" t="s">
        <v>76</v>
      </c>
      <c r="AJ27" s="4" t="s">
        <v>40</v>
      </c>
      <c r="AK27" s="5" t="s">
        <v>59</v>
      </c>
      <c r="AL27" s="4" t="s">
        <v>60</v>
      </c>
      <c r="AM27" s="5" t="s">
        <v>245</v>
      </c>
      <c r="AN27" s="6" t="str">
        <f>IFERROR(__xludf.DUMMYFUNCTION("TEXT(DATEVALUE(REGEXREPLACE(AM27,""(\d+)(st|nd|rd|th)"",""$1"")),""yyyy-mm-dd"")"),"2024-01-06")</f>
        <v>2024-01-06</v>
      </c>
    </row>
    <row r="28">
      <c r="A28" s="4" t="s">
        <v>246</v>
      </c>
      <c r="B28" s="5" t="s">
        <v>62</v>
      </c>
      <c r="C28" s="5" t="s">
        <v>247</v>
      </c>
      <c r="D28" s="6" t="str">
        <f>IFERROR(__xludf.DUMMYFUNCTION("GOOGLETRANSLATE(C28,""auto"",""en"")"),"The 2022 Pacific Rim Coffee Summit,T024")</f>
        <v>The 2022 Pacific Rim Coffee Summit,T024</v>
      </c>
      <c r="E28" s="4" t="s">
        <v>79</v>
      </c>
      <c r="F28" s="5">
        <f>IFERROR(__xludf.DUMMYFUNCTION("SPLIT(E28,""-"")
"),1300.0)</f>
        <v>1300</v>
      </c>
      <c r="G28" s="5"/>
      <c r="H28" s="5">
        <f t="shared" si="1"/>
        <v>1300</v>
      </c>
      <c r="I28" s="5" t="s">
        <v>65</v>
      </c>
      <c r="J28" s="5" t="str">
        <f t="shared" si="2"/>
        <v>Chiayi</v>
      </c>
      <c r="K28" s="4" t="s">
        <v>45</v>
      </c>
      <c r="L28" s="5">
        <v>100.0</v>
      </c>
      <c r="M28" s="5" t="s">
        <v>66</v>
      </c>
      <c r="N28" s="5" t="str">
        <f>IFERROR(__xludf.DUMMYFUNCTION("PROPER(GOOGLETRANSLATE(M28, ""auto"", ""en""))"),"Taiwan Coffee Laboratory")</f>
        <v>Taiwan Coffee Laboratory</v>
      </c>
      <c r="O28" s="5" t="s">
        <v>47</v>
      </c>
      <c r="P28" s="5" t="str">
        <f t="shared" si="3"/>
        <v>2021</v>
      </c>
      <c r="Q28" s="5" t="s">
        <v>67</v>
      </c>
      <c r="R28" s="6" t="str">
        <f>IFERROR(__xludf.DUMMYFUNCTION("TEXT(DATEVALUE(REGEXREPLACE(Q28,""(\d+)(st|nd|rd|th)"",""$1"")),""yyyy-mm-dd"")"),"2022-11-15")</f>
        <v>2022-11-15</v>
      </c>
      <c r="S28" s="7" t="s">
        <v>68</v>
      </c>
      <c r="T28" s="5" t="s">
        <v>50</v>
      </c>
      <c r="U28" s="5" t="s">
        <v>123</v>
      </c>
      <c r="V28" s="4" t="s">
        <v>70</v>
      </c>
      <c r="W28" s="4" t="s">
        <v>70</v>
      </c>
      <c r="X28" s="4" t="s">
        <v>71</v>
      </c>
      <c r="Y28" s="4" t="s">
        <v>70</v>
      </c>
      <c r="Z28" s="4" t="s">
        <v>112</v>
      </c>
      <c r="AA28" s="4" t="s">
        <v>70</v>
      </c>
      <c r="AB28" s="4" t="s">
        <v>56</v>
      </c>
      <c r="AC28" s="4" t="s">
        <v>56</v>
      </c>
      <c r="AD28" s="4" t="s">
        <v>56</v>
      </c>
      <c r="AE28" s="4" t="s">
        <v>71</v>
      </c>
      <c r="AF28" s="4" t="s">
        <v>40</v>
      </c>
      <c r="AG28" s="4" t="s">
        <v>244</v>
      </c>
      <c r="AH28" s="4" t="s">
        <v>119</v>
      </c>
      <c r="AI28" s="4" t="s">
        <v>40</v>
      </c>
      <c r="AJ28" s="4" t="s">
        <v>40</v>
      </c>
      <c r="AK28" s="5" t="s">
        <v>59</v>
      </c>
      <c r="AL28" s="4" t="s">
        <v>76</v>
      </c>
      <c r="AM28" s="5" t="s">
        <v>75</v>
      </c>
      <c r="AN28" s="6" t="str">
        <f>IFERROR(__xludf.DUMMYFUNCTION("TEXT(DATEVALUE(REGEXREPLACE(AM28,""(\d+)(st|nd|rd|th)"",""$1"")),""yyyy-mm-dd"")"),"2023-11-15")</f>
        <v>2023-11-15</v>
      </c>
    </row>
    <row r="29">
      <c r="A29" s="4" t="s">
        <v>248</v>
      </c>
      <c r="B29" s="5" t="s">
        <v>62</v>
      </c>
      <c r="C29" s="5" t="s">
        <v>249</v>
      </c>
      <c r="D29" s="6" t="str">
        <f>IFERROR(__xludf.DUMMYFUNCTION("GOOGLETRANSLATE(C29,""auto"",""en"")"),"The 2022 Pacific Rim Coffee Summit,T048")</f>
        <v>The 2022 Pacific Rim Coffee Summit,T048</v>
      </c>
      <c r="E29" s="4" t="s">
        <v>64</v>
      </c>
      <c r="F29" s="5">
        <f>IFERROR(__xludf.DUMMYFUNCTION("SPLIT(E29,""-"")
"),1200.0)</f>
        <v>1200</v>
      </c>
      <c r="G29" s="5"/>
      <c r="H29" s="5">
        <f t="shared" si="1"/>
        <v>1200</v>
      </c>
      <c r="I29" s="5" t="s">
        <v>159</v>
      </c>
      <c r="J29" s="5" t="str">
        <f t="shared" si="2"/>
        <v>Yunlin</v>
      </c>
      <c r="K29" s="4" t="s">
        <v>45</v>
      </c>
      <c r="L29" s="5">
        <v>90.0</v>
      </c>
      <c r="M29" s="5" t="s">
        <v>66</v>
      </c>
      <c r="N29" s="5" t="str">
        <f>IFERROR(__xludf.DUMMYFUNCTION("PROPER(GOOGLETRANSLATE(M29, ""auto"", ""en""))"),"Taiwan Coffee Laboratory")</f>
        <v>Taiwan Coffee Laboratory</v>
      </c>
      <c r="O29" s="5" t="s">
        <v>47</v>
      </c>
      <c r="P29" s="5" t="str">
        <f t="shared" si="3"/>
        <v>2021</v>
      </c>
      <c r="Q29" s="5" t="s">
        <v>67</v>
      </c>
      <c r="R29" s="6" t="str">
        <f>IFERROR(__xludf.DUMMYFUNCTION("TEXT(DATEVALUE(REGEXREPLACE(Q29,""(\d+)(st|nd|rd|th)"",""$1"")),""yyyy-mm-dd"")"),"2022-11-15")</f>
        <v>2022-11-15</v>
      </c>
      <c r="S29" s="7" t="s">
        <v>68</v>
      </c>
      <c r="T29" s="5" t="s">
        <v>50</v>
      </c>
      <c r="U29" s="5" t="s">
        <v>123</v>
      </c>
      <c r="V29" s="4" t="s">
        <v>86</v>
      </c>
      <c r="W29" s="4" t="s">
        <v>85</v>
      </c>
      <c r="X29" s="4" t="s">
        <v>70</v>
      </c>
      <c r="Y29" s="4" t="s">
        <v>71</v>
      </c>
      <c r="Z29" s="4" t="s">
        <v>250</v>
      </c>
      <c r="AA29" s="4" t="s">
        <v>112</v>
      </c>
      <c r="AB29" s="4" t="s">
        <v>56</v>
      </c>
      <c r="AC29" s="4" t="s">
        <v>56</v>
      </c>
      <c r="AD29" s="4" t="s">
        <v>56</v>
      </c>
      <c r="AE29" s="4" t="s">
        <v>70</v>
      </c>
      <c r="AF29" s="4" t="s">
        <v>40</v>
      </c>
      <c r="AG29" s="4" t="s">
        <v>244</v>
      </c>
      <c r="AH29" s="4" t="s">
        <v>176</v>
      </c>
      <c r="AI29" s="4" t="s">
        <v>40</v>
      </c>
      <c r="AJ29" s="4" t="s">
        <v>40</v>
      </c>
      <c r="AK29" s="5" t="s">
        <v>59</v>
      </c>
      <c r="AL29" s="4" t="s">
        <v>40</v>
      </c>
      <c r="AM29" s="5" t="s">
        <v>75</v>
      </c>
      <c r="AN29" s="6" t="str">
        <f>IFERROR(__xludf.DUMMYFUNCTION("TEXT(DATEVALUE(REGEXREPLACE(AM29,""(\d+)(st|nd|rd|th)"",""$1"")),""yyyy-mm-dd"")"),"2023-11-15")</f>
        <v>2023-11-15</v>
      </c>
    </row>
    <row r="30">
      <c r="A30" s="4" t="s">
        <v>251</v>
      </c>
      <c r="B30" s="5" t="s">
        <v>62</v>
      </c>
      <c r="C30" s="5" t="s">
        <v>252</v>
      </c>
      <c r="D30" s="6" t="str">
        <f>IFERROR(__xludf.DUMMYFUNCTION("GOOGLETRANSLATE(C30,""auto"",""en"")"),"The 2022 Pacific Rim Coffee Summit,T045")</f>
        <v>The 2022 Pacific Rim Coffee Summit,T045</v>
      </c>
      <c r="E30" s="4" t="s">
        <v>253</v>
      </c>
      <c r="F30" s="5">
        <f>IFERROR(__xludf.DUMMYFUNCTION("SPLIT(E30,""-"")
"),1060.0)</f>
        <v>1060</v>
      </c>
      <c r="G30" s="5"/>
      <c r="H30" s="5">
        <f t="shared" si="1"/>
        <v>1060</v>
      </c>
      <c r="I30" s="5" t="s">
        <v>65</v>
      </c>
      <c r="J30" s="5" t="str">
        <f t="shared" si="2"/>
        <v>Chiayi</v>
      </c>
      <c r="K30" s="4" t="s">
        <v>45</v>
      </c>
      <c r="L30" s="5">
        <v>85.0</v>
      </c>
      <c r="M30" s="5" t="s">
        <v>66</v>
      </c>
      <c r="N30" s="5" t="str">
        <f>IFERROR(__xludf.DUMMYFUNCTION("PROPER(GOOGLETRANSLATE(M30, ""auto"", ""en""))"),"Taiwan Coffee Laboratory")</f>
        <v>Taiwan Coffee Laboratory</v>
      </c>
      <c r="O30" s="5" t="s">
        <v>47</v>
      </c>
      <c r="P30" s="5" t="str">
        <f t="shared" si="3"/>
        <v>2021</v>
      </c>
      <c r="Q30" s="5" t="s">
        <v>67</v>
      </c>
      <c r="R30" s="6" t="str">
        <f>IFERROR(__xludf.DUMMYFUNCTION("TEXT(DATEVALUE(REGEXREPLACE(Q30,""(\d+)(st|nd|rd|th)"",""$1"")),""yyyy-mm-dd"")"),"2022-11-15")</f>
        <v>2022-11-15</v>
      </c>
      <c r="S30" s="7" t="s">
        <v>68</v>
      </c>
      <c r="T30" s="5" t="s">
        <v>50</v>
      </c>
      <c r="U30" s="5" t="s">
        <v>123</v>
      </c>
      <c r="V30" s="4" t="s">
        <v>71</v>
      </c>
      <c r="W30" s="4" t="s">
        <v>71</v>
      </c>
      <c r="X30" s="4" t="s">
        <v>71</v>
      </c>
      <c r="Y30" s="4" t="s">
        <v>70</v>
      </c>
      <c r="Z30" s="4" t="s">
        <v>154</v>
      </c>
      <c r="AA30" s="4" t="s">
        <v>70</v>
      </c>
      <c r="AB30" s="4" t="s">
        <v>56</v>
      </c>
      <c r="AC30" s="4" t="s">
        <v>56</v>
      </c>
      <c r="AD30" s="4" t="s">
        <v>56</v>
      </c>
      <c r="AE30" s="4" t="s">
        <v>70</v>
      </c>
      <c r="AF30" s="4" t="s">
        <v>40</v>
      </c>
      <c r="AG30" s="4" t="s">
        <v>244</v>
      </c>
      <c r="AH30" s="4" t="s">
        <v>182</v>
      </c>
      <c r="AI30" s="4" t="s">
        <v>40</v>
      </c>
      <c r="AJ30" s="4" t="s">
        <v>40</v>
      </c>
      <c r="AK30" s="5" t="s">
        <v>74</v>
      </c>
      <c r="AL30" s="4" t="s">
        <v>40</v>
      </c>
      <c r="AM30" s="5" t="s">
        <v>75</v>
      </c>
      <c r="AN30" s="6" t="str">
        <f>IFERROR(__xludf.DUMMYFUNCTION("TEXT(DATEVALUE(REGEXREPLACE(AM30,""(\d+)(st|nd|rd|th)"",""$1"")),""yyyy-mm-dd"")"),"2023-11-15")</f>
        <v>2023-11-15</v>
      </c>
    </row>
    <row r="31">
      <c r="A31" s="4" t="s">
        <v>254</v>
      </c>
      <c r="B31" s="5" t="s">
        <v>255</v>
      </c>
      <c r="C31" s="5" t="s">
        <v>256</v>
      </c>
      <c r="D31" s="6" t="str">
        <f>IFERROR(__xludf.DUMMYFUNCTION("GOOGLETRANSLATE(C31,""auto"",""en"")"),"The 2022 Pacific Rim Coffee Summit,US01")</f>
        <v>The 2022 Pacific Rim Coffee Summit,US01</v>
      </c>
      <c r="E31" s="4" t="s">
        <v>257</v>
      </c>
      <c r="F31" s="5">
        <f>IFERROR(__xludf.DUMMYFUNCTION("SPLIT(E31,""-"")
"),600.0)</f>
        <v>600</v>
      </c>
      <c r="G31" s="5"/>
      <c r="H31" s="5">
        <f t="shared" si="1"/>
        <v>600</v>
      </c>
      <c r="I31" s="5" t="s">
        <v>258</v>
      </c>
      <c r="J31" s="5" t="str">
        <f t="shared" si="2"/>
        <v>Kona</v>
      </c>
      <c r="K31" s="4" t="s">
        <v>259</v>
      </c>
      <c r="L31" s="5">
        <v>15.0</v>
      </c>
      <c r="M31" s="5" t="s">
        <v>66</v>
      </c>
      <c r="N31" s="5" t="str">
        <f>IFERROR(__xludf.DUMMYFUNCTION("PROPER(GOOGLETRANSLATE(M31, ""auto"", ""en""))"),"Taiwan Coffee Laboratory")</f>
        <v>Taiwan Coffee Laboratory</v>
      </c>
      <c r="O31" s="5" t="s">
        <v>47</v>
      </c>
      <c r="P31" s="5" t="str">
        <f t="shared" si="3"/>
        <v>2021</v>
      </c>
      <c r="Q31" s="5" t="s">
        <v>67</v>
      </c>
      <c r="R31" s="6" t="str">
        <f>IFERROR(__xludf.DUMMYFUNCTION("TEXT(DATEVALUE(REGEXREPLACE(Q31,""(\d+)(st|nd|rd|th)"",""$1"")),""yyyy-mm-dd"")"),"2022-11-15")</f>
        <v>2022-11-15</v>
      </c>
      <c r="S31" s="7" t="s">
        <v>216</v>
      </c>
      <c r="T31" s="5" t="s">
        <v>50</v>
      </c>
      <c r="U31" s="5" t="s">
        <v>69</v>
      </c>
      <c r="V31" s="4" t="s">
        <v>71</v>
      </c>
      <c r="W31" s="4" t="s">
        <v>70</v>
      </c>
      <c r="X31" s="4" t="s">
        <v>71</v>
      </c>
      <c r="Y31" s="4" t="s">
        <v>112</v>
      </c>
      <c r="Z31" s="4" t="s">
        <v>167</v>
      </c>
      <c r="AA31" s="4" t="s">
        <v>71</v>
      </c>
      <c r="AB31" s="4" t="s">
        <v>56</v>
      </c>
      <c r="AC31" s="4" t="s">
        <v>56</v>
      </c>
      <c r="AD31" s="4" t="s">
        <v>56</v>
      </c>
      <c r="AE31" s="4" t="s">
        <v>71</v>
      </c>
      <c r="AF31" s="4" t="s">
        <v>40</v>
      </c>
      <c r="AG31" s="4" t="s">
        <v>260</v>
      </c>
      <c r="AH31" s="4" t="s">
        <v>261</v>
      </c>
      <c r="AI31" s="4" t="s">
        <v>40</v>
      </c>
      <c r="AJ31" s="4" t="s">
        <v>40</v>
      </c>
      <c r="AK31" s="5" t="s">
        <v>59</v>
      </c>
      <c r="AL31" s="4" t="s">
        <v>40</v>
      </c>
      <c r="AM31" s="5" t="s">
        <v>75</v>
      </c>
      <c r="AN31" s="6" t="str">
        <f>IFERROR(__xludf.DUMMYFUNCTION("TEXT(DATEVALUE(REGEXREPLACE(AM31,""(\d+)(st|nd|rd|th)"",""$1"")),""yyyy-mm-dd"")"),"2023-11-15")</f>
        <v>2023-11-15</v>
      </c>
    </row>
    <row r="32">
      <c r="A32" s="4" t="s">
        <v>262</v>
      </c>
      <c r="B32" s="5" t="s">
        <v>62</v>
      </c>
      <c r="C32" s="5" t="s">
        <v>263</v>
      </c>
      <c r="D32" s="6" t="str">
        <f>IFERROR(__xludf.DUMMYFUNCTION("GOOGLETRANSLATE(C32,""auto"",""en"")"),"2022/3/1(Lao Cong)")</f>
        <v>2022/3/1(Lao Cong)</v>
      </c>
      <c r="E32" s="5" t="s">
        <v>264</v>
      </c>
      <c r="F32" s="5">
        <f>IFERROR(__xludf.DUMMYFUNCTION("SPLIT(E32,""-"")
"),150.0)</f>
        <v>150</v>
      </c>
      <c r="G32" s="5">
        <f>IFERROR(__xludf.DUMMYFUNCTION("""COMPUTED_VALUE"""),250.0)</f>
        <v>250</v>
      </c>
      <c r="H32" s="5">
        <f t="shared" si="1"/>
        <v>200</v>
      </c>
      <c r="I32" s="5" t="s">
        <v>265</v>
      </c>
      <c r="J32" s="5" t="str">
        <f t="shared" si="2"/>
        <v>壽豐鄉shoufeng Township</v>
      </c>
      <c r="K32" s="4" t="s">
        <v>60</v>
      </c>
      <c r="L32" s="5">
        <v>48.0</v>
      </c>
      <c r="M32" s="5" t="s">
        <v>66</v>
      </c>
      <c r="N32" s="5" t="str">
        <f>IFERROR(__xludf.DUMMYFUNCTION("PROPER(GOOGLETRANSLATE(M32, ""auto"", ""en""))"),"Taiwan Coffee Laboratory")</f>
        <v>Taiwan Coffee Laboratory</v>
      </c>
      <c r="O32" s="4" t="s">
        <v>94</v>
      </c>
      <c r="P32" s="5" t="str">
        <f t="shared" si="3"/>
        <v>2022</v>
      </c>
      <c r="Q32" s="5" t="s">
        <v>215</v>
      </c>
      <c r="R32" s="6" t="str">
        <f>IFERROR(__xludf.DUMMYFUNCTION("TEXT(DATEVALUE(REGEXREPLACE(Q32,""(\d+)(st|nd|rd|th)"",""$1"")),""yyyy-mm-dd"")"),"2022-12-12")</f>
        <v>2022-12-12</v>
      </c>
      <c r="S32" s="7" t="s">
        <v>216</v>
      </c>
      <c r="T32" s="5" t="s">
        <v>50</v>
      </c>
      <c r="U32" s="5" t="s">
        <v>69</v>
      </c>
      <c r="V32" s="4" t="s">
        <v>71</v>
      </c>
      <c r="W32" s="4" t="s">
        <v>71</v>
      </c>
      <c r="X32" s="4" t="s">
        <v>112</v>
      </c>
      <c r="Y32" s="4" t="s">
        <v>112</v>
      </c>
      <c r="Z32" s="4" t="s">
        <v>154</v>
      </c>
      <c r="AA32" s="4" t="s">
        <v>70</v>
      </c>
      <c r="AB32" s="4" t="s">
        <v>56</v>
      </c>
      <c r="AC32" s="4" t="s">
        <v>56</v>
      </c>
      <c r="AD32" s="4" t="s">
        <v>56</v>
      </c>
      <c r="AE32" s="4" t="s">
        <v>85</v>
      </c>
      <c r="AF32" s="4" t="s">
        <v>40</v>
      </c>
      <c r="AG32" s="4" t="s">
        <v>260</v>
      </c>
      <c r="AH32" s="4" t="s">
        <v>266</v>
      </c>
      <c r="AI32" s="4" t="s">
        <v>40</v>
      </c>
      <c r="AJ32" s="4" t="s">
        <v>40</v>
      </c>
      <c r="AK32" s="5" t="s">
        <v>74</v>
      </c>
      <c r="AL32" s="4" t="s">
        <v>40</v>
      </c>
      <c r="AM32" s="5" t="s">
        <v>218</v>
      </c>
      <c r="AN32" s="6" t="str">
        <f>IFERROR(__xludf.DUMMYFUNCTION("TEXT(DATEVALUE(REGEXREPLACE(AM32,""(\d+)(st|nd|rd|th)"",""$1"")),""yyyy-mm-dd"")"),"2023-12-12")</f>
        <v>2023-12-12</v>
      </c>
    </row>
    <row r="33">
      <c r="A33" s="4" t="s">
        <v>267</v>
      </c>
      <c r="B33" s="5" t="s">
        <v>62</v>
      </c>
      <c r="C33" s="4" t="s">
        <v>268</v>
      </c>
      <c r="D33" s="6" t="str">
        <f>IFERROR(__xludf.DUMMYFUNCTION("GOOGLETRANSLATE(C33,""auto"",""en"")"),"2022/02")</f>
        <v>2022/02</v>
      </c>
      <c r="E33" s="5" t="s">
        <v>264</v>
      </c>
      <c r="F33" s="5">
        <f>IFERROR(__xludf.DUMMYFUNCTION("SPLIT(E33,""-"")
"),150.0)</f>
        <v>150</v>
      </c>
      <c r="G33" s="5">
        <f>IFERROR(__xludf.DUMMYFUNCTION("""COMPUTED_VALUE"""),250.0)</f>
        <v>250</v>
      </c>
      <c r="H33" s="5">
        <f t="shared" si="1"/>
        <v>200</v>
      </c>
      <c r="I33" s="5" t="s">
        <v>265</v>
      </c>
      <c r="J33" s="5" t="str">
        <f t="shared" si="2"/>
        <v>壽豐鄉shoufeng Township</v>
      </c>
      <c r="K33" s="4" t="s">
        <v>60</v>
      </c>
      <c r="L33" s="5">
        <v>50.0</v>
      </c>
      <c r="M33" s="5" t="s">
        <v>66</v>
      </c>
      <c r="N33" s="5" t="str">
        <f>IFERROR(__xludf.DUMMYFUNCTION("PROPER(GOOGLETRANSLATE(M33, ""auto"", ""en""))"),"Taiwan Coffee Laboratory")</f>
        <v>Taiwan Coffee Laboratory</v>
      </c>
      <c r="O33" s="4" t="s">
        <v>94</v>
      </c>
      <c r="P33" s="5" t="str">
        <f t="shared" si="3"/>
        <v>2022</v>
      </c>
      <c r="Q33" s="5" t="s">
        <v>215</v>
      </c>
      <c r="R33" s="6" t="str">
        <f>IFERROR(__xludf.DUMMYFUNCTION("TEXT(DATEVALUE(REGEXREPLACE(Q33,""(\d+)(st|nd|rd|th)"",""$1"")),""yyyy-mm-dd"")"),"2022-12-12")</f>
        <v>2022-12-12</v>
      </c>
      <c r="S33" s="7" t="s">
        <v>216</v>
      </c>
      <c r="T33" s="5" t="s">
        <v>50</v>
      </c>
      <c r="U33" s="5" t="s">
        <v>69</v>
      </c>
      <c r="V33" s="4" t="s">
        <v>70</v>
      </c>
      <c r="W33" s="4" t="s">
        <v>71</v>
      </c>
      <c r="X33" s="4" t="s">
        <v>112</v>
      </c>
      <c r="Y33" s="4" t="s">
        <v>70</v>
      </c>
      <c r="Z33" s="4" t="s">
        <v>112</v>
      </c>
      <c r="AA33" s="4" t="s">
        <v>112</v>
      </c>
      <c r="AB33" s="4" t="s">
        <v>56</v>
      </c>
      <c r="AC33" s="4" t="s">
        <v>56</v>
      </c>
      <c r="AD33" s="4" t="s">
        <v>56</v>
      </c>
      <c r="AE33" s="4" t="s">
        <v>71</v>
      </c>
      <c r="AF33" s="4" t="s">
        <v>40</v>
      </c>
      <c r="AG33" s="4" t="s">
        <v>269</v>
      </c>
      <c r="AH33" s="4" t="s">
        <v>128</v>
      </c>
      <c r="AI33" s="4" t="s">
        <v>40</v>
      </c>
      <c r="AJ33" s="4" t="s">
        <v>40</v>
      </c>
      <c r="AK33" s="5" t="s">
        <v>59</v>
      </c>
      <c r="AL33" s="4" t="s">
        <v>40</v>
      </c>
      <c r="AM33" s="5" t="s">
        <v>218</v>
      </c>
      <c r="AN33" s="6" t="str">
        <f>IFERROR(__xludf.DUMMYFUNCTION("TEXT(DATEVALUE(REGEXREPLACE(AM33,""(\d+)(st|nd|rd|th)"",""$1"")),""yyyy-mm-dd"")"),"2023-12-12")</f>
        <v>2023-12-12</v>
      </c>
    </row>
    <row r="34">
      <c r="A34" s="4" t="s">
        <v>270</v>
      </c>
      <c r="B34" s="5" t="s">
        <v>62</v>
      </c>
      <c r="C34" s="5" t="s">
        <v>271</v>
      </c>
      <c r="D34" s="6" t="str">
        <f>IFERROR(__xludf.DUMMYFUNCTION("GOOGLETRANSLATE(C34,""auto"",""en"")"),"2022 Tainan City Specialty Coffee Evaluation Batch")</f>
        <v>2022 Tainan City Specialty Coffee Evaluation Batch</v>
      </c>
      <c r="E34" s="4" t="s">
        <v>272</v>
      </c>
      <c r="F34" s="5">
        <f>IFERROR(__xludf.DUMMYFUNCTION("SPLIT(E34,""-"")
"),668.0)</f>
        <v>668</v>
      </c>
      <c r="G34" s="5"/>
      <c r="H34" s="5">
        <f t="shared" si="1"/>
        <v>668</v>
      </c>
      <c r="I34" s="5" t="s">
        <v>273</v>
      </c>
      <c r="J34" s="5" t="str">
        <f t="shared" si="2"/>
        <v>Dongshan Dist., Tainan City</v>
      </c>
      <c r="K34" s="4" t="s">
        <v>96</v>
      </c>
      <c r="L34" s="5">
        <v>5.0</v>
      </c>
      <c r="M34" s="5" t="s">
        <v>66</v>
      </c>
      <c r="N34" s="5" t="str">
        <f>IFERROR(__xludf.DUMMYFUNCTION("PROPER(GOOGLETRANSLATE(M34, ""auto"", ""en""))"),"Taiwan Coffee Laboratory")</f>
        <v>Taiwan Coffee Laboratory</v>
      </c>
      <c r="O34" s="4" t="s">
        <v>94</v>
      </c>
      <c r="P34" s="5" t="str">
        <f t="shared" si="3"/>
        <v>2022</v>
      </c>
      <c r="Q34" s="5" t="s">
        <v>274</v>
      </c>
      <c r="R34" s="6" t="str">
        <f>IFERROR(__xludf.DUMMYFUNCTION("TEXT(DATEVALUE(REGEXREPLACE(Q34,""(\d+)(st|nd|rd|th)"",""$1"")),""yyyy-mm-dd"")"),"2022-06-08")</f>
        <v>2022-06-08</v>
      </c>
      <c r="S34" s="7" t="s">
        <v>68</v>
      </c>
      <c r="T34" s="5" t="s">
        <v>50</v>
      </c>
      <c r="U34" s="5" t="s">
        <v>69</v>
      </c>
      <c r="V34" s="4" t="s">
        <v>85</v>
      </c>
      <c r="W34" s="4" t="s">
        <v>86</v>
      </c>
      <c r="X34" s="4" t="s">
        <v>167</v>
      </c>
      <c r="Y34" s="4" t="s">
        <v>112</v>
      </c>
      <c r="Z34" s="4" t="s">
        <v>167</v>
      </c>
      <c r="AA34" s="4" t="s">
        <v>70</v>
      </c>
      <c r="AB34" s="4" t="s">
        <v>56</v>
      </c>
      <c r="AC34" s="4" t="s">
        <v>56</v>
      </c>
      <c r="AD34" s="4" t="s">
        <v>56</v>
      </c>
      <c r="AE34" s="4" t="s">
        <v>71</v>
      </c>
      <c r="AF34" s="4" t="s">
        <v>40</v>
      </c>
      <c r="AG34" s="4" t="s">
        <v>269</v>
      </c>
      <c r="AH34" s="4" t="s">
        <v>189</v>
      </c>
      <c r="AI34" s="4" t="s">
        <v>40</v>
      </c>
      <c r="AJ34" s="4" t="s">
        <v>40</v>
      </c>
      <c r="AK34" s="5" t="s">
        <v>59</v>
      </c>
      <c r="AL34" s="4" t="s">
        <v>40</v>
      </c>
      <c r="AM34" s="5" t="s">
        <v>275</v>
      </c>
      <c r="AN34" s="6" t="str">
        <f>IFERROR(__xludf.DUMMYFUNCTION("TEXT(DATEVALUE(REGEXREPLACE(AM34,""(\d+)(st|nd|rd|th)"",""$1"")),""yyyy-mm-dd"")"),"2023-06-08")</f>
        <v>2023-06-08</v>
      </c>
    </row>
    <row r="35">
      <c r="A35" s="4" t="s">
        <v>276</v>
      </c>
      <c r="B35" s="5" t="s">
        <v>142</v>
      </c>
      <c r="C35" s="5" t="s">
        <v>277</v>
      </c>
      <c r="D35" s="6" t="str">
        <f>IFERROR(__xludf.DUMMYFUNCTION("GOOGLETRANSLATE(C35,""auto"",""en"")"),"Washed Limmu")</f>
        <v>Washed Limmu</v>
      </c>
      <c r="E35" s="4" t="s">
        <v>278</v>
      </c>
      <c r="F35" s="5">
        <f>IFERROR(__xludf.DUMMYFUNCTION("SPLIT(E35,""-"")
"),1950.0)</f>
        <v>1950</v>
      </c>
      <c r="G35" s="5"/>
      <c r="H35" s="5">
        <f t="shared" si="1"/>
        <v>1950</v>
      </c>
      <c r="I35" s="5" t="s">
        <v>279</v>
      </c>
      <c r="J35" s="5" t="str">
        <f t="shared" si="2"/>
        <v>Oromia</v>
      </c>
      <c r="K35" s="4" t="s">
        <v>134</v>
      </c>
      <c r="L35" s="5">
        <v>60.0</v>
      </c>
      <c r="M35" s="5" t="s">
        <v>165</v>
      </c>
      <c r="N35" s="5" t="str">
        <f>IFERROR(__xludf.DUMMYFUNCTION("PROPER(GOOGLETRANSLATE(M35, ""auto"", ""en""))"),"Metad Agricultural Development Plc")</f>
        <v>Metad Agricultural Development Plc</v>
      </c>
      <c r="O35" s="5" t="s">
        <v>47</v>
      </c>
      <c r="P35" s="5" t="str">
        <f t="shared" si="3"/>
        <v>2021</v>
      </c>
      <c r="Q35" s="5" t="s">
        <v>280</v>
      </c>
      <c r="R35" s="6" t="str">
        <f>IFERROR(__xludf.DUMMYFUNCTION("TEXT(DATEVALUE(REGEXREPLACE(Q35,""(\d+)(st|nd|rd|th)"",""$1"")),""yyyy-mm-dd"")"),"2022-06-06")</f>
        <v>2022-06-06</v>
      </c>
      <c r="S35" s="7" t="s">
        <v>147</v>
      </c>
      <c r="T35" s="5" t="s">
        <v>50</v>
      </c>
      <c r="U35" s="5" t="s">
        <v>69</v>
      </c>
      <c r="V35" s="4" t="s">
        <v>167</v>
      </c>
      <c r="W35" s="4" t="s">
        <v>112</v>
      </c>
      <c r="X35" s="4" t="s">
        <v>112</v>
      </c>
      <c r="Y35" s="4" t="s">
        <v>71</v>
      </c>
      <c r="Z35" s="4" t="s">
        <v>71</v>
      </c>
      <c r="AA35" s="4" t="s">
        <v>71</v>
      </c>
      <c r="AB35" s="4" t="s">
        <v>56</v>
      </c>
      <c r="AC35" s="4" t="s">
        <v>56</v>
      </c>
      <c r="AD35" s="4" t="s">
        <v>56</v>
      </c>
      <c r="AE35" s="4" t="s">
        <v>71</v>
      </c>
      <c r="AF35" s="4" t="s">
        <v>40</v>
      </c>
      <c r="AG35" s="4" t="s">
        <v>269</v>
      </c>
      <c r="AH35" s="4" t="s">
        <v>281</v>
      </c>
      <c r="AI35" s="4" t="s">
        <v>40</v>
      </c>
      <c r="AJ35" s="4" t="s">
        <v>76</v>
      </c>
      <c r="AK35" s="5" t="s">
        <v>59</v>
      </c>
      <c r="AL35" s="4" t="s">
        <v>60</v>
      </c>
      <c r="AM35" s="5" t="s">
        <v>282</v>
      </c>
      <c r="AN35" s="6" t="str">
        <f>IFERROR(__xludf.DUMMYFUNCTION("TEXT(DATEVALUE(REGEXREPLACE(AM35,""(\d+)(st|nd|rd|th)"",""$1"")),""yyyy-mm-dd"")"),"2023-06-06")</f>
        <v>2023-06-06</v>
      </c>
    </row>
    <row r="36">
      <c r="A36" s="4" t="s">
        <v>283</v>
      </c>
      <c r="B36" s="5" t="s">
        <v>142</v>
      </c>
      <c r="C36" s="4" t="s">
        <v>284</v>
      </c>
      <c r="D36" s="6" t="str">
        <f>IFERROR(__xludf.DUMMYFUNCTION("GOOGLETRANSLATE(C36,""auto"",""en"")"),"65")</f>
        <v>65</v>
      </c>
      <c r="E36" s="5" t="s">
        <v>285</v>
      </c>
      <c r="F36" s="5">
        <f>IFERROR(__xludf.DUMMYFUNCTION("SPLIT(E36,""-"")
"),2150.0)</f>
        <v>2150</v>
      </c>
      <c r="G36" s="5">
        <f>IFERROR(__xludf.DUMMYFUNCTION("""COMPUTED_VALUE"""),2350.0)</f>
        <v>2350</v>
      </c>
      <c r="H36" s="5">
        <f t="shared" si="1"/>
        <v>2250</v>
      </c>
      <c r="I36" s="5" t="s">
        <v>286</v>
      </c>
      <c r="J36" s="5" t="str">
        <f t="shared" si="2"/>
        <v>Southern Ethiopia Guji</v>
      </c>
      <c r="K36" s="4" t="s">
        <v>134</v>
      </c>
      <c r="L36" s="5">
        <v>60.0</v>
      </c>
      <c r="M36" s="5" t="s">
        <v>165</v>
      </c>
      <c r="N36" s="5" t="str">
        <f>IFERROR(__xludf.DUMMYFUNCTION("PROPER(GOOGLETRANSLATE(M36, ""auto"", ""en""))"),"Metad Agricultural Development Plc")</f>
        <v>Metad Agricultural Development Plc</v>
      </c>
      <c r="O36" s="5" t="s">
        <v>47</v>
      </c>
      <c r="P36" s="5" t="str">
        <f t="shared" si="3"/>
        <v>2021</v>
      </c>
      <c r="Q36" s="5" t="s">
        <v>287</v>
      </c>
      <c r="R36" s="6" t="str">
        <f>IFERROR(__xludf.DUMMYFUNCTION("TEXT(DATEVALUE(REGEXREPLACE(Q36,""(\d+)(st|nd|rd|th)"",""$1"")),""yyyy-mm-dd"")"),"2022-09-30")</f>
        <v>2022-09-30</v>
      </c>
      <c r="S36" s="7" t="s">
        <v>147</v>
      </c>
      <c r="T36" s="5" t="s">
        <v>50</v>
      </c>
      <c r="U36" s="5" t="s">
        <v>123</v>
      </c>
      <c r="V36" s="4" t="s">
        <v>71</v>
      </c>
      <c r="W36" s="4" t="s">
        <v>85</v>
      </c>
      <c r="X36" s="4" t="s">
        <v>71</v>
      </c>
      <c r="Y36" s="4" t="s">
        <v>71</v>
      </c>
      <c r="Z36" s="4" t="s">
        <v>167</v>
      </c>
      <c r="AA36" s="4" t="s">
        <v>154</v>
      </c>
      <c r="AB36" s="4" t="s">
        <v>56</v>
      </c>
      <c r="AC36" s="4" t="s">
        <v>56</v>
      </c>
      <c r="AD36" s="4" t="s">
        <v>56</v>
      </c>
      <c r="AE36" s="4" t="s">
        <v>112</v>
      </c>
      <c r="AF36" s="4" t="s">
        <v>40</v>
      </c>
      <c r="AG36" s="4" t="s">
        <v>269</v>
      </c>
      <c r="AH36" s="4" t="s">
        <v>288</v>
      </c>
      <c r="AI36" s="4" t="s">
        <v>40</v>
      </c>
      <c r="AJ36" s="4" t="s">
        <v>60</v>
      </c>
      <c r="AK36" s="5" t="s">
        <v>105</v>
      </c>
      <c r="AL36" s="4" t="s">
        <v>96</v>
      </c>
      <c r="AM36" s="5" t="s">
        <v>289</v>
      </c>
      <c r="AN36" s="6" t="str">
        <f>IFERROR(__xludf.DUMMYFUNCTION("TEXT(DATEVALUE(REGEXREPLACE(AM36,""(\d+)(st|nd|rd|th)"",""$1"")),""yyyy-mm-dd"")"),"2023-09-30")</f>
        <v>2023-09-30</v>
      </c>
    </row>
    <row r="37">
      <c r="A37" s="4" t="s">
        <v>290</v>
      </c>
      <c r="B37" s="5" t="s">
        <v>142</v>
      </c>
      <c r="C37" s="4" t="s">
        <v>45</v>
      </c>
      <c r="D37" s="6" t="str">
        <f>IFERROR(__xludf.DUMMYFUNCTION("GOOGLETRANSLATE(C37,""auto"",""en"")"),"1")</f>
        <v>1</v>
      </c>
      <c r="E37" s="4" t="s">
        <v>291</v>
      </c>
      <c r="F37" s="5">
        <f>IFERROR(__xludf.DUMMYFUNCTION("SPLIT(E37,""-"")
"),1700.0)</f>
        <v>1700</v>
      </c>
      <c r="G37" s="5"/>
      <c r="H37" s="5">
        <f t="shared" si="1"/>
        <v>1700</v>
      </c>
      <c r="I37" s="5" t="s">
        <v>292</v>
      </c>
      <c r="J37" s="5" t="str">
        <f t="shared" si="2"/>
        <v>Oromia</v>
      </c>
      <c r="K37" s="4" t="s">
        <v>134</v>
      </c>
      <c r="L37" s="5">
        <v>19200.0</v>
      </c>
      <c r="M37" s="5" t="s">
        <v>165</v>
      </c>
      <c r="N37" s="5" t="str">
        <f>IFERROR(__xludf.DUMMYFUNCTION("PROPER(GOOGLETRANSLATE(M37, ""auto"", ""en""))"),"Metad Agricultural Development Plc")</f>
        <v>Metad Agricultural Development Plc</v>
      </c>
      <c r="O37" s="5" t="s">
        <v>47</v>
      </c>
      <c r="P37" s="5" t="str">
        <f t="shared" si="3"/>
        <v>2021</v>
      </c>
      <c r="Q37" s="5" t="s">
        <v>215</v>
      </c>
      <c r="R37" s="6" t="str">
        <f>IFERROR(__xludf.DUMMYFUNCTION("TEXT(DATEVALUE(REGEXREPLACE(Q37,""(\d+)(st|nd|rd|th)"",""$1"")),""yyyy-mm-dd"")"),"2022-12-12")</f>
        <v>2022-12-12</v>
      </c>
      <c r="S37" s="7" t="s">
        <v>147</v>
      </c>
      <c r="T37" s="5" t="s">
        <v>50</v>
      </c>
      <c r="U37" s="5" t="s">
        <v>69</v>
      </c>
      <c r="V37" s="4" t="s">
        <v>70</v>
      </c>
      <c r="W37" s="4" t="s">
        <v>154</v>
      </c>
      <c r="X37" s="4" t="s">
        <v>112</v>
      </c>
      <c r="Y37" s="4" t="s">
        <v>86</v>
      </c>
      <c r="Z37" s="4" t="s">
        <v>71</v>
      </c>
      <c r="AA37" s="4" t="s">
        <v>154</v>
      </c>
      <c r="AB37" s="4" t="s">
        <v>56</v>
      </c>
      <c r="AC37" s="4" t="s">
        <v>56</v>
      </c>
      <c r="AD37" s="4" t="s">
        <v>56</v>
      </c>
      <c r="AE37" s="4" t="s">
        <v>112</v>
      </c>
      <c r="AF37" s="4" t="s">
        <v>40</v>
      </c>
      <c r="AG37" s="4" t="s">
        <v>293</v>
      </c>
      <c r="AH37" s="4" t="s">
        <v>294</v>
      </c>
      <c r="AI37" s="4" t="s">
        <v>40</v>
      </c>
      <c r="AJ37" s="4" t="s">
        <v>45</v>
      </c>
      <c r="AK37" s="5" t="s">
        <v>59</v>
      </c>
      <c r="AL37" s="4" t="s">
        <v>45</v>
      </c>
      <c r="AM37" s="5" t="s">
        <v>218</v>
      </c>
      <c r="AN37" s="6" t="str">
        <f>IFERROR(__xludf.DUMMYFUNCTION("TEXT(DATEVALUE(REGEXREPLACE(AM37,""(\d+)(st|nd|rd|th)"",""$1"")),""yyyy-mm-dd"")"),"2023-12-12")</f>
        <v>2023-12-12</v>
      </c>
    </row>
    <row r="38">
      <c r="A38" s="4" t="s">
        <v>295</v>
      </c>
      <c r="B38" s="5" t="s">
        <v>62</v>
      </c>
      <c r="C38" s="5" t="s">
        <v>296</v>
      </c>
      <c r="D38" s="6" t="str">
        <f>IFERROR(__xludf.DUMMYFUNCTION("GOOGLETRANSLATE(C38,""auto"",""en"")"),"The 2022 Pacific Rim Coffee Summit, T004")</f>
        <v>The 2022 Pacific Rim Coffee Summit, T004</v>
      </c>
      <c r="E38" s="4" t="s">
        <v>64</v>
      </c>
      <c r="F38" s="5">
        <f>IFERROR(__xludf.DUMMYFUNCTION("SPLIT(E38,""-"")
"),1200.0)</f>
        <v>1200</v>
      </c>
      <c r="G38" s="5"/>
      <c r="H38" s="5">
        <f t="shared" si="1"/>
        <v>1200</v>
      </c>
      <c r="I38" s="5" t="s">
        <v>65</v>
      </c>
      <c r="J38" s="5" t="str">
        <f t="shared" si="2"/>
        <v>Chiayi</v>
      </c>
      <c r="K38" s="4" t="s">
        <v>45</v>
      </c>
      <c r="L38" s="5">
        <v>100.0</v>
      </c>
      <c r="M38" s="5" t="s">
        <v>66</v>
      </c>
      <c r="N38" s="5" t="str">
        <f>IFERROR(__xludf.DUMMYFUNCTION("PROPER(GOOGLETRANSLATE(M38, ""auto"", ""en""))"),"Taiwan Coffee Laboratory")</f>
        <v>Taiwan Coffee Laboratory</v>
      </c>
      <c r="O38" s="5" t="s">
        <v>47</v>
      </c>
      <c r="P38" s="5" t="str">
        <f t="shared" si="3"/>
        <v>2021</v>
      </c>
      <c r="Q38" s="5" t="s">
        <v>67</v>
      </c>
      <c r="R38" s="6" t="str">
        <f>IFERROR(__xludf.DUMMYFUNCTION("TEXT(DATEVALUE(REGEXREPLACE(Q38,""(\d+)(st|nd|rd|th)"",""$1"")),""yyyy-mm-dd"")"),"2022-11-15")</f>
        <v>2022-11-15</v>
      </c>
      <c r="S38" s="7" t="s">
        <v>68</v>
      </c>
      <c r="T38" s="5" t="s">
        <v>50</v>
      </c>
      <c r="U38" s="5" t="s">
        <v>69</v>
      </c>
      <c r="V38" s="4" t="s">
        <v>71</v>
      </c>
      <c r="W38" s="4" t="s">
        <v>70</v>
      </c>
      <c r="X38" s="4" t="s">
        <v>112</v>
      </c>
      <c r="Y38" s="4" t="s">
        <v>70</v>
      </c>
      <c r="Z38" s="4" t="s">
        <v>112</v>
      </c>
      <c r="AA38" s="4" t="s">
        <v>112</v>
      </c>
      <c r="AB38" s="4" t="s">
        <v>56</v>
      </c>
      <c r="AC38" s="4" t="s">
        <v>56</v>
      </c>
      <c r="AD38" s="4" t="s">
        <v>56</v>
      </c>
      <c r="AE38" s="4" t="s">
        <v>70</v>
      </c>
      <c r="AF38" s="4" t="s">
        <v>40</v>
      </c>
      <c r="AG38" s="4" t="s">
        <v>293</v>
      </c>
      <c r="AH38" s="4" t="s">
        <v>297</v>
      </c>
      <c r="AI38" s="4" t="s">
        <v>40</v>
      </c>
      <c r="AJ38" s="4" t="s">
        <v>40</v>
      </c>
      <c r="AK38" s="5" t="s">
        <v>74</v>
      </c>
      <c r="AL38" s="4" t="s">
        <v>40</v>
      </c>
      <c r="AM38" s="5" t="s">
        <v>75</v>
      </c>
      <c r="AN38" s="6" t="str">
        <f>IFERROR(__xludf.DUMMYFUNCTION("TEXT(DATEVALUE(REGEXREPLACE(AM38,""(\d+)(st|nd|rd|th)"",""$1"")),""yyyy-mm-dd"")"),"2023-11-15")</f>
        <v>2023-11-15</v>
      </c>
    </row>
    <row r="39">
      <c r="A39" s="4" t="s">
        <v>298</v>
      </c>
      <c r="B39" s="5" t="s">
        <v>62</v>
      </c>
      <c r="C39" s="5" t="s">
        <v>271</v>
      </c>
      <c r="D39" s="6" t="str">
        <f>IFERROR(__xludf.DUMMYFUNCTION("GOOGLETRANSLATE(C39,""auto"",""en"")"),"2022 Tainan City Specialty Coffee Evaluation Batch")</f>
        <v>2022 Tainan City Specialty Coffee Evaluation Batch</v>
      </c>
      <c r="E39" s="4" t="s">
        <v>299</v>
      </c>
      <c r="F39" s="5">
        <f>IFERROR(__xludf.DUMMYFUNCTION("SPLIT(E39,""-"")
"),650.0)</f>
        <v>650</v>
      </c>
      <c r="G39" s="5"/>
      <c r="H39" s="5">
        <f t="shared" si="1"/>
        <v>650</v>
      </c>
      <c r="I39" s="5" t="s">
        <v>273</v>
      </c>
      <c r="J39" s="5" t="str">
        <f t="shared" si="2"/>
        <v>Dongshan Dist., Tainan City</v>
      </c>
      <c r="K39" s="4" t="s">
        <v>207</v>
      </c>
      <c r="L39" s="5">
        <v>5.0</v>
      </c>
      <c r="M39" s="5" t="s">
        <v>66</v>
      </c>
      <c r="N39" s="5" t="str">
        <f>IFERROR(__xludf.DUMMYFUNCTION("PROPER(GOOGLETRANSLATE(M39, ""auto"", ""en""))"),"Taiwan Coffee Laboratory")</f>
        <v>Taiwan Coffee Laboratory</v>
      </c>
      <c r="O39" s="4" t="s">
        <v>94</v>
      </c>
      <c r="P39" s="5" t="str">
        <f t="shared" si="3"/>
        <v>2022</v>
      </c>
      <c r="Q39" s="5" t="s">
        <v>274</v>
      </c>
      <c r="R39" s="6" t="str">
        <f>IFERROR(__xludf.DUMMYFUNCTION("TEXT(DATEVALUE(REGEXREPLACE(Q39,""(\d+)(st|nd|rd|th)"",""$1"")),""yyyy-mm-dd"")"),"2022-06-08")</f>
        <v>2022-06-08</v>
      </c>
      <c r="S39" s="7" t="s">
        <v>68</v>
      </c>
      <c r="T39" s="5" t="s">
        <v>50</v>
      </c>
      <c r="U39" s="5" t="s">
        <v>180</v>
      </c>
      <c r="V39" s="4" t="s">
        <v>55</v>
      </c>
      <c r="W39" s="4" t="s">
        <v>85</v>
      </c>
      <c r="X39" s="4" t="s">
        <v>112</v>
      </c>
      <c r="Y39" s="4" t="s">
        <v>154</v>
      </c>
      <c r="Z39" s="4" t="s">
        <v>167</v>
      </c>
      <c r="AA39" s="4" t="s">
        <v>154</v>
      </c>
      <c r="AB39" s="4" t="s">
        <v>56</v>
      </c>
      <c r="AC39" s="4" t="s">
        <v>56</v>
      </c>
      <c r="AD39" s="4" t="s">
        <v>56</v>
      </c>
      <c r="AE39" s="4" t="s">
        <v>70</v>
      </c>
      <c r="AF39" s="4" t="s">
        <v>40</v>
      </c>
      <c r="AG39" s="4" t="s">
        <v>293</v>
      </c>
      <c r="AH39" s="4" t="s">
        <v>189</v>
      </c>
      <c r="AI39" s="4" t="s">
        <v>40</v>
      </c>
      <c r="AJ39" s="4" t="s">
        <v>40</v>
      </c>
      <c r="AK39" s="5" t="s">
        <v>59</v>
      </c>
      <c r="AL39" s="4" t="s">
        <v>40</v>
      </c>
      <c r="AM39" s="5" t="s">
        <v>275</v>
      </c>
      <c r="AN39" s="6" t="str">
        <f>IFERROR(__xludf.DUMMYFUNCTION("TEXT(DATEVALUE(REGEXREPLACE(AM39,""(\d+)(st|nd|rd|th)"",""$1"")),""yyyy-mm-dd"")"),"2023-06-08")</f>
        <v>2023-06-08</v>
      </c>
    </row>
    <row r="40">
      <c r="A40" s="4" t="s">
        <v>300</v>
      </c>
      <c r="B40" s="5" t="s">
        <v>301</v>
      </c>
      <c r="C40" s="4" t="s">
        <v>302</v>
      </c>
      <c r="D40" s="6" t="str">
        <f>IFERROR(__xludf.DUMMYFUNCTION("GOOGLETRANSLATE(C40,""auto"",""en"")"),"5516")</f>
        <v>5516</v>
      </c>
      <c r="E40" s="5" t="s">
        <v>303</v>
      </c>
      <c r="F40" s="5">
        <f>IFERROR(__xludf.DUMMYFUNCTION("SPLIT(E40,""-"")
"),1600.0)</f>
        <v>1600</v>
      </c>
      <c r="G40" s="5">
        <f>IFERROR(__xludf.DUMMYFUNCTION("""COMPUTED_VALUE"""),1900.0)</f>
        <v>1900</v>
      </c>
      <c r="H40" s="5">
        <f t="shared" si="1"/>
        <v>1750</v>
      </c>
      <c r="I40" s="5" t="s">
        <v>304</v>
      </c>
      <c r="J40" s="5" t="str">
        <f t="shared" si="2"/>
        <v>Central</v>
      </c>
      <c r="K40" s="4" t="s">
        <v>305</v>
      </c>
      <c r="L40" s="5">
        <v>60.0</v>
      </c>
      <c r="M40" s="5" t="s">
        <v>135</v>
      </c>
      <c r="N40" s="5" t="str">
        <f>IFERROR(__xludf.DUMMYFUNCTION("PROPER(GOOGLETRANSLATE(M40, ""auto"", ""en""))"),"Kenya Coffee Traders Association")</f>
        <v>Kenya Coffee Traders Association</v>
      </c>
      <c r="O40" s="5" t="s">
        <v>136</v>
      </c>
      <c r="P40" s="5" t="str">
        <f t="shared" si="3"/>
        <v>2022</v>
      </c>
      <c r="Q40" s="5" t="s">
        <v>306</v>
      </c>
      <c r="R40" s="6" t="str">
        <f>IFERROR(__xludf.DUMMYFUNCTION("TEXT(DATEVALUE(REGEXREPLACE(Q40,""(\d+)(st|nd|rd|th)"",""$1"")),""yyyy-mm-dd"")"),"2023-02-28")</f>
        <v>2023-02-28</v>
      </c>
      <c r="S40" s="7" t="s">
        <v>307</v>
      </c>
      <c r="T40" s="5" t="s">
        <v>50</v>
      </c>
      <c r="U40" s="5" t="s">
        <v>69</v>
      </c>
      <c r="V40" s="4" t="s">
        <v>86</v>
      </c>
      <c r="W40" s="4" t="s">
        <v>154</v>
      </c>
      <c r="X40" s="4" t="s">
        <v>112</v>
      </c>
      <c r="Y40" s="4" t="s">
        <v>250</v>
      </c>
      <c r="Z40" s="4" t="s">
        <v>70</v>
      </c>
      <c r="AA40" s="4" t="s">
        <v>71</v>
      </c>
      <c r="AB40" s="4" t="s">
        <v>56</v>
      </c>
      <c r="AC40" s="4" t="s">
        <v>56</v>
      </c>
      <c r="AD40" s="4" t="s">
        <v>56</v>
      </c>
      <c r="AE40" s="4" t="s">
        <v>71</v>
      </c>
      <c r="AF40" s="4" t="s">
        <v>40</v>
      </c>
      <c r="AG40" s="4" t="s">
        <v>293</v>
      </c>
      <c r="AH40" s="4" t="s">
        <v>308</v>
      </c>
      <c r="AI40" s="4" t="s">
        <v>40</v>
      </c>
      <c r="AJ40" s="4" t="s">
        <v>40</v>
      </c>
      <c r="AK40" s="5" t="s">
        <v>59</v>
      </c>
      <c r="AL40" s="4" t="s">
        <v>45</v>
      </c>
      <c r="AM40" s="5" t="s">
        <v>309</v>
      </c>
      <c r="AN40" s="6" t="str">
        <f>IFERROR(__xludf.DUMMYFUNCTION("TEXT(DATEVALUE(REGEXREPLACE(AM40,""(\d+)(st|nd|rd|th)"",""$1"")),""yyyy-mm-dd"")"),"2024-02-28")</f>
        <v>2024-02-28</v>
      </c>
    </row>
    <row r="41">
      <c r="A41" s="4" t="s">
        <v>310</v>
      </c>
      <c r="B41" s="5" t="s">
        <v>62</v>
      </c>
      <c r="C41" s="4" t="s">
        <v>192</v>
      </c>
      <c r="D41" s="6" t="str">
        <f>IFERROR(__xludf.DUMMYFUNCTION("GOOGLETRANSLATE(C41,""auto"",""en"")"),"202203")</f>
        <v>202203</v>
      </c>
      <c r="E41" s="4" t="s">
        <v>213</v>
      </c>
      <c r="F41" s="5">
        <f>IFERROR(__xludf.DUMMYFUNCTION("SPLIT(E41,""-"")
"),850.0)</f>
        <v>850</v>
      </c>
      <c r="G41" s="5"/>
      <c r="H41" s="5">
        <f t="shared" si="1"/>
        <v>850</v>
      </c>
      <c r="I41" s="5" t="s">
        <v>311</v>
      </c>
      <c r="J41" s="5" t="str">
        <f t="shared" si="2"/>
        <v>Caoling , Gukeng Township, Yunlin County</v>
      </c>
      <c r="K41" s="4" t="s">
        <v>207</v>
      </c>
      <c r="L41" s="5">
        <v>1.0</v>
      </c>
      <c r="M41" s="5" t="s">
        <v>194</v>
      </c>
      <c r="N41" s="5" t="str">
        <f>IFERROR(__xludf.DUMMYFUNCTION("PROPER(GOOGLETRANSLATE(M41, ""auto"", ""en""))"),"Blossom Valley International")</f>
        <v>Blossom Valley International</v>
      </c>
      <c r="O41" s="5" t="s">
        <v>312</v>
      </c>
      <c r="P41" s="5" t="str">
        <f t="shared" si="3"/>
        <v>2017</v>
      </c>
      <c r="Q41" s="5" t="s">
        <v>195</v>
      </c>
      <c r="R41" s="6" t="str">
        <f>IFERROR(__xludf.DUMMYFUNCTION("TEXT(DATEVALUE(REGEXREPLACE(Q41,""(\d+)(st|nd|rd|th)"",""$1"")),""yyyy-mm-dd"")"),"2022-10-24")</f>
        <v>2022-10-24</v>
      </c>
      <c r="S41" s="7" t="s">
        <v>68</v>
      </c>
      <c r="T41" s="5" t="s">
        <v>50</v>
      </c>
      <c r="U41" s="5" t="s">
        <v>69</v>
      </c>
      <c r="V41" s="4" t="s">
        <v>154</v>
      </c>
      <c r="W41" s="4" t="s">
        <v>70</v>
      </c>
      <c r="X41" s="4" t="s">
        <v>154</v>
      </c>
      <c r="Y41" s="4" t="s">
        <v>71</v>
      </c>
      <c r="Z41" s="4" t="s">
        <v>112</v>
      </c>
      <c r="AA41" s="4" t="s">
        <v>70</v>
      </c>
      <c r="AB41" s="4" t="s">
        <v>56</v>
      </c>
      <c r="AC41" s="4" t="s">
        <v>56</v>
      </c>
      <c r="AD41" s="4" t="s">
        <v>56</v>
      </c>
      <c r="AE41" s="4" t="s">
        <v>71</v>
      </c>
      <c r="AF41" s="4" t="s">
        <v>40</v>
      </c>
      <c r="AG41" s="4" t="s">
        <v>313</v>
      </c>
      <c r="AH41" s="4" t="s">
        <v>196</v>
      </c>
      <c r="AI41" s="4" t="s">
        <v>40</v>
      </c>
      <c r="AJ41" s="4" t="s">
        <v>40</v>
      </c>
      <c r="AK41" s="5" t="s">
        <v>74</v>
      </c>
      <c r="AL41" s="4" t="s">
        <v>40</v>
      </c>
      <c r="AM41" s="5" t="s">
        <v>197</v>
      </c>
      <c r="AN41" s="6" t="str">
        <f>IFERROR(__xludf.DUMMYFUNCTION("TEXT(DATEVALUE(REGEXREPLACE(AM41,""(\d+)(st|nd|rd|th)"",""$1"")),""yyyy-mm-dd"")"),"2023-10-24")</f>
        <v>2023-10-24</v>
      </c>
    </row>
    <row r="42">
      <c r="A42" s="4" t="s">
        <v>164</v>
      </c>
      <c r="B42" s="5" t="s">
        <v>62</v>
      </c>
      <c r="C42" s="4" t="s">
        <v>314</v>
      </c>
      <c r="D42" s="6" t="str">
        <f>IFERROR(__xludf.DUMMYFUNCTION("GOOGLETRANSLATE(C42,""auto"",""en"")"),"2022/01")</f>
        <v>2022/01</v>
      </c>
      <c r="E42" s="5" t="s">
        <v>315</v>
      </c>
      <c r="F42" s="5">
        <f>IFERROR(__xludf.DUMMYFUNCTION("SPLIT(E42,""-"")
"),300.0)</f>
        <v>300</v>
      </c>
      <c r="G42" s="5">
        <f>IFERROR(__xludf.DUMMYFUNCTION("""COMPUTED_VALUE"""),500.0)</f>
        <v>500</v>
      </c>
      <c r="H42" s="5">
        <f t="shared" si="1"/>
        <v>400</v>
      </c>
      <c r="I42" s="5" t="s">
        <v>316</v>
      </c>
      <c r="J42" s="5" t="str">
        <f t="shared" si="2"/>
        <v>秀林鄉show Linxia Township</v>
      </c>
      <c r="K42" s="4" t="s">
        <v>45</v>
      </c>
      <c r="L42" s="5">
        <v>10.0</v>
      </c>
      <c r="M42" s="5" t="s">
        <v>66</v>
      </c>
      <c r="N42" s="5" t="str">
        <f>IFERROR(__xludf.DUMMYFUNCTION("PROPER(GOOGLETRANSLATE(M42, ""auto"", ""en""))"),"Taiwan Coffee Laboratory")</f>
        <v>Taiwan Coffee Laboratory</v>
      </c>
      <c r="O42" s="4" t="s">
        <v>94</v>
      </c>
      <c r="P42" s="5" t="str">
        <f t="shared" si="3"/>
        <v>2022</v>
      </c>
      <c r="Q42" s="5" t="s">
        <v>215</v>
      </c>
      <c r="R42" s="6" t="str">
        <f>IFERROR(__xludf.DUMMYFUNCTION("TEXT(DATEVALUE(REGEXREPLACE(Q42,""(\d+)(st|nd|rd|th)"",""$1"")),""yyyy-mm-dd"")"),"2022-12-12")</f>
        <v>2022-12-12</v>
      </c>
      <c r="S42" s="7" t="s">
        <v>216</v>
      </c>
      <c r="T42" s="5" t="s">
        <v>50</v>
      </c>
      <c r="U42" s="5" t="s">
        <v>123</v>
      </c>
      <c r="V42" s="4" t="s">
        <v>71</v>
      </c>
      <c r="W42" s="4" t="s">
        <v>70</v>
      </c>
      <c r="X42" s="4" t="s">
        <v>112</v>
      </c>
      <c r="Y42" s="4" t="s">
        <v>70</v>
      </c>
      <c r="Z42" s="4" t="s">
        <v>154</v>
      </c>
      <c r="AA42" s="4" t="s">
        <v>154</v>
      </c>
      <c r="AB42" s="4" t="s">
        <v>56</v>
      </c>
      <c r="AC42" s="4" t="s">
        <v>56</v>
      </c>
      <c r="AD42" s="4" t="s">
        <v>56</v>
      </c>
      <c r="AE42" s="4" t="s">
        <v>70</v>
      </c>
      <c r="AF42" s="4" t="s">
        <v>40</v>
      </c>
      <c r="AG42" s="4" t="s">
        <v>317</v>
      </c>
      <c r="AH42" s="4" t="s">
        <v>56</v>
      </c>
      <c r="AI42" s="4" t="s">
        <v>40</v>
      </c>
      <c r="AJ42" s="4" t="s">
        <v>40</v>
      </c>
      <c r="AK42" s="5" t="s">
        <v>156</v>
      </c>
      <c r="AL42" s="4" t="s">
        <v>40</v>
      </c>
      <c r="AM42" s="5" t="s">
        <v>218</v>
      </c>
      <c r="AN42" s="6" t="str">
        <f>IFERROR(__xludf.DUMMYFUNCTION("TEXT(DATEVALUE(REGEXREPLACE(AM42,""(\d+)(st|nd|rd|th)"",""$1"")),""yyyy-mm-dd"")"),"2023-12-12")</f>
        <v>2023-12-12</v>
      </c>
    </row>
    <row r="43">
      <c r="A43" s="4" t="s">
        <v>318</v>
      </c>
      <c r="B43" s="5" t="s">
        <v>62</v>
      </c>
      <c r="C43" s="5" t="s">
        <v>319</v>
      </c>
      <c r="D43" s="6" t="str">
        <f>IFERROR(__xludf.DUMMYFUNCTION("GOOGLETRANSLATE(C43,""auto"",""en"")"),"Dewen Section, Sandimen Township, Pingtung County")</f>
        <v>Dewen Section, Sandimen Township, Pingtung County</v>
      </c>
      <c r="E43" s="4" t="s">
        <v>320</v>
      </c>
      <c r="F43" s="5">
        <f>IFERROR(__xludf.DUMMYFUNCTION("SPLIT(E43,""-"")
"),1000.0)</f>
        <v>1000</v>
      </c>
      <c r="G43" s="5"/>
      <c r="H43" s="5">
        <f t="shared" si="1"/>
        <v>1000</v>
      </c>
      <c r="I43" s="5" t="s">
        <v>321</v>
      </c>
      <c r="J43" s="5" t="str">
        <f t="shared" si="2"/>
        <v>台灣屏東</v>
      </c>
      <c r="K43" s="4" t="s">
        <v>45</v>
      </c>
      <c r="L43" s="5">
        <v>2.0</v>
      </c>
      <c r="M43" s="5" t="s">
        <v>66</v>
      </c>
      <c r="N43" s="5" t="str">
        <f>IFERROR(__xludf.DUMMYFUNCTION("PROPER(GOOGLETRANSLATE(M43, ""auto"", ""en""))"),"Taiwan Coffee Laboratory")</f>
        <v>Taiwan Coffee Laboratory</v>
      </c>
      <c r="O43" s="5" t="s">
        <v>47</v>
      </c>
      <c r="P43" s="5" t="str">
        <f t="shared" si="3"/>
        <v>2021</v>
      </c>
      <c r="Q43" s="5" t="s">
        <v>322</v>
      </c>
      <c r="R43" s="6" t="str">
        <f>IFERROR(__xludf.DUMMYFUNCTION("TEXT(DATEVALUE(REGEXREPLACE(Q43,""(\d+)(st|nd|rd|th)"",""$1"")),""yyyy-mm-dd"")"),"2022-12-30")</f>
        <v>2022-12-30</v>
      </c>
      <c r="S43" s="7" t="s">
        <v>216</v>
      </c>
      <c r="T43" s="5" t="s">
        <v>50</v>
      </c>
      <c r="U43" s="5" t="s">
        <v>69</v>
      </c>
      <c r="V43" s="4" t="s">
        <v>71</v>
      </c>
      <c r="W43" s="4" t="s">
        <v>85</v>
      </c>
      <c r="X43" s="4" t="s">
        <v>167</v>
      </c>
      <c r="Y43" s="4" t="s">
        <v>154</v>
      </c>
      <c r="Z43" s="4" t="s">
        <v>70</v>
      </c>
      <c r="AA43" s="4" t="s">
        <v>112</v>
      </c>
      <c r="AB43" s="4" t="s">
        <v>56</v>
      </c>
      <c r="AC43" s="4" t="s">
        <v>56</v>
      </c>
      <c r="AD43" s="4" t="s">
        <v>56</v>
      </c>
      <c r="AE43" s="4" t="s">
        <v>112</v>
      </c>
      <c r="AF43" s="4" t="s">
        <v>40</v>
      </c>
      <c r="AG43" s="4" t="s">
        <v>317</v>
      </c>
      <c r="AH43" s="4" t="s">
        <v>73</v>
      </c>
      <c r="AI43" s="4" t="s">
        <v>40</v>
      </c>
      <c r="AJ43" s="4" t="s">
        <v>40</v>
      </c>
      <c r="AK43" s="5" t="s">
        <v>59</v>
      </c>
      <c r="AL43" s="4" t="s">
        <v>40</v>
      </c>
      <c r="AM43" s="5" t="s">
        <v>323</v>
      </c>
      <c r="AN43" s="6" t="str">
        <f>IFERROR(__xludf.DUMMYFUNCTION("TEXT(DATEVALUE(REGEXREPLACE(AM43,""(\d+)(st|nd|rd|th)"",""$1"")),""yyyy-mm-dd"")"),"2023-12-30")</f>
        <v>2023-12-30</v>
      </c>
    </row>
    <row r="44">
      <c r="A44" s="4" t="s">
        <v>324</v>
      </c>
      <c r="B44" s="5" t="s">
        <v>62</v>
      </c>
      <c r="C44" s="5" t="s">
        <v>325</v>
      </c>
      <c r="D44" s="6" t="str">
        <f>IFERROR(__xludf.DUMMYFUNCTION("GOOGLETRANSLATE(C44,""auto"",""en"")"),"A26-Northern Taiwan Specialty Coffee Evaluation")</f>
        <v>A26-Northern Taiwan Specialty Coffee Evaluation</v>
      </c>
      <c r="E44" s="4" t="s">
        <v>326</v>
      </c>
      <c r="F44" s="5">
        <f>IFERROR(__xludf.DUMMYFUNCTION("SPLIT(E44,""-"")
"),800.0)</f>
        <v>800</v>
      </c>
      <c r="G44" s="5"/>
      <c r="H44" s="5">
        <f t="shared" si="1"/>
        <v>800</v>
      </c>
      <c r="I44" s="5" t="s">
        <v>327</v>
      </c>
      <c r="J44" s="5" t="str">
        <f t="shared" si="2"/>
        <v>苗栗縣</v>
      </c>
      <c r="K44" s="4" t="s">
        <v>45</v>
      </c>
      <c r="L44" s="5">
        <v>50.0</v>
      </c>
      <c r="M44" s="5" t="s">
        <v>66</v>
      </c>
      <c r="N44" s="5" t="str">
        <f>IFERROR(__xludf.DUMMYFUNCTION("PROPER(GOOGLETRANSLATE(M44, ""auto"", ""en""))"),"Taiwan Coffee Laboratory")</f>
        <v>Taiwan Coffee Laboratory</v>
      </c>
      <c r="O44" s="5" t="s">
        <v>47</v>
      </c>
      <c r="P44" s="5" t="str">
        <f t="shared" si="3"/>
        <v>2021</v>
      </c>
      <c r="Q44" s="5" t="s">
        <v>243</v>
      </c>
      <c r="R44" s="6" t="str">
        <f>IFERROR(__xludf.DUMMYFUNCTION("TEXT(DATEVALUE(REGEXREPLACE(Q44,""(\d+)(st|nd|rd|th)"",""$1"")),""yyyy-mm-dd"")"),"2023-01-06")</f>
        <v>2023-01-06</v>
      </c>
      <c r="S44" s="7" t="s">
        <v>68</v>
      </c>
      <c r="T44" s="5" t="s">
        <v>50</v>
      </c>
      <c r="U44" s="5" t="s">
        <v>69</v>
      </c>
      <c r="V44" s="4" t="s">
        <v>71</v>
      </c>
      <c r="W44" s="4" t="s">
        <v>70</v>
      </c>
      <c r="X44" s="4" t="s">
        <v>167</v>
      </c>
      <c r="Y44" s="4" t="s">
        <v>71</v>
      </c>
      <c r="Z44" s="4" t="s">
        <v>154</v>
      </c>
      <c r="AA44" s="4" t="s">
        <v>112</v>
      </c>
      <c r="AB44" s="4" t="s">
        <v>56</v>
      </c>
      <c r="AC44" s="4" t="s">
        <v>56</v>
      </c>
      <c r="AD44" s="4" t="s">
        <v>56</v>
      </c>
      <c r="AE44" s="4" t="s">
        <v>70</v>
      </c>
      <c r="AF44" s="4" t="s">
        <v>40</v>
      </c>
      <c r="AG44" s="4" t="s">
        <v>317</v>
      </c>
      <c r="AH44" s="4" t="s">
        <v>56</v>
      </c>
      <c r="AI44" s="4" t="s">
        <v>40</v>
      </c>
      <c r="AJ44" s="4" t="s">
        <v>40</v>
      </c>
      <c r="AK44" s="5" t="s">
        <v>328</v>
      </c>
      <c r="AL44" s="4" t="s">
        <v>107</v>
      </c>
      <c r="AM44" s="5" t="s">
        <v>245</v>
      </c>
      <c r="AN44" s="6" t="str">
        <f>IFERROR(__xludf.DUMMYFUNCTION("TEXT(DATEVALUE(REGEXREPLACE(AM44,""(\d+)(st|nd|rd|th)"",""$1"")),""yyyy-mm-dd"")"),"2024-01-06")</f>
        <v>2024-01-06</v>
      </c>
    </row>
    <row r="45">
      <c r="A45" s="4" t="s">
        <v>329</v>
      </c>
      <c r="B45" s="5" t="s">
        <v>330</v>
      </c>
      <c r="C45" s="4" t="s">
        <v>331</v>
      </c>
      <c r="D45" s="6" t="str">
        <f>IFERROR(__xludf.DUMMYFUNCTION("GOOGLETRANSLATE(C45,""auto"",""en"")"),"7938")</f>
        <v>7938</v>
      </c>
      <c r="E45" s="4" t="s">
        <v>332</v>
      </c>
      <c r="F45" s="5">
        <f>IFERROR(__xludf.DUMMYFUNCTION("SPLIT(E45,""-"")
"),1905.0)</f>
        <v>1905</v>
      </c>
      <c r="G45" s="5"/>
      <c r="H45" s="5">
        <f t="shared" si="1"/>
        <v>1905</v>
      </c>
      <c r="I45" s="5" t="s">
        <v>333</v>
      </c>
      <c r="J45" s="5" t="str">
        <f t="shared" si="2"/>
        <v>Rwenzori</v>
      </c>
      <c r="K45" s="4" t="s">
        <v>134</v>
      </c>
      <c r="L45" s="5">
        <v>60.0</v>
      </c>
      <c r="M45" s="5" t="s">
        <v>334</v>
      </c>
      <c r="N45" s="5" t="str">
        <f>IFERROR(__xludf.DUMMYFUNCTION("PROPER(GOOGLETRANSLATE(M45, ""auto"", ""en""))"),"Uganda Coffee Development Authority")</f>
        <v>Uganda Coffee Development Authority</v>
      </c>
      <c r="O45" s="5" t="s">
        <v>47</v>
      </c>
      <c r="P45" s="5" t="str">
        <f t="shared" si="3"/>
        <v>2021</v>
      </c>
      <c r="Q45" s="5" t="s">
        <v>335</v>
      </c>
      <c r="R45" s="6" t="str">
        <f>IFERROR(__xludf.DUMMYFUNCTION("TEXT(DATEVALUE(REGEXREPLACE(Q45,""(\d+)(st|nd|rd|th)"",""$1"")),""yyyy-mm-dd"")"),"2022-06-29")</f>
        <v>2022-06-29</v>
      </c>
      <c r="S45" s="7" t="s">
        <v>336</v>
      </c>
      <c r="T45" s="5" t="s">
        <v>50</v>
      </c>
      <c r="U45" s="5" t="s">
        <v>69</v>
      </c>
      <c r="V45" s="4" t="s">
        <v>71</v>
      </c>
      <c r="W45" s="4" t="s">
        <v>70</v>
      </c>
      <c r="X45" s="4" t="s">
        <v>154</v>
      </c>
      <c r="Y45" s="4" t="s">
        <v>154</v>
      </c>
      <c r="Z45" s="4" t="s">
        <v>154</v>
      </c>
      <c r="AA45" s="4" t="s">
        <v>70</v>
      </c>
      <c r="AB45" s="4" t="s">
        <v>56</v>
      </c>
      <c r="AC45" s="4" t="s">
        <v>56</v>
      </c>
      <c r="AD45" s="4" t="s">
        <v>56</v>
      </c>
      <c r="AE45" s="4" t="s">
        <v>70</v>
      </c>
      <c r="AF45" s="4" t="s">
        <v>40</v>
      </c>
      <c r="AG45" s="4" t="s">
        <v>337</v>
      </c>
      <c r="AH45" s="4" t="s">
        <v>140</v>
      </c>
      <c r="AI45" s="4" t="s">
        <v>40</v>
      </c>
      <c r="AJ45" s="4" t="s">
        <v>40</v>
      </c>
      <c r="AK45" s="5" t="s">
        <v>59</v>
      </c>
      <c r="AL45" s="4" t="s">
        <v>45</v>
      </c>
      <c r="AM45" s="5" t="s">
        <v>338</v>
      </c>
      <c r="AN45" s="6" t="str">
        <f>IFERROR(__xludf.DUMMYFUNCTION("TEXT(DATEVALUE(REGEXREPLACE(AM45,""(\d+)(st|nd|rd|th)"",""$1"")),""yyyy-mm-dd"")"),"2023-06-29")</f>
        <v>2023-06-29</v>
      </c>
    </row>
    <row r="46">
      <c r="A46" s="4" t="s">
        <v>339</v>
      </c>
      <c r="B46" s="5" t="s">
        <v>62</v>
      </c>
      <c r="C46" s="4" t="s">
        <v>340</v>
      </c>
      <c r="D46" s="6" t="str">
        <f>IFERROR(__xludf.DUMMYFUNCTION("GOOGLETRANSLATE(C46,""auto"",""en"")"),"2021/01")</f>
        <v>2021/01</v>
      </c>
      <c r="E46" s="4" t="s">
        <v>341</v>
      </c>
      <c r="F46" s="5">
        <f>IFERROR(__xludf.DUMMYFUNCTION("SPLIT(E46,""-"")
"),150.0)</f>
        <v>150</v>
      </c>
      <c r="G46" s="5"/>
      <c r="H46" s="5">
        <f t="shared" si="1"/>
        <v>150</v>
      </c>
      <c r="I46" s="5" t="s">
        <v>265</v>
      </c>
      <c r="J46" s="5" t="str">
        <f t="shared" si="2"/>
        <v>壽豐鄉shoufeng Township</v>
      </c>
      <c r="K46" s="4" t="s">
        <v>45</v>
      </c>
      <c r="L46" s="5">
        <v>50.0</v>
      </c>
      <c r="M46" s="5" t="s">
        <v>66</v>
      </c>
      <c r="N46" s="5" t="str">
        <f>IFERROR(__xludf.DUMMYFUNCTION("PROPER(GOOGLETRANSLATE(M46, ""auto"", ""en""))"),"Taiwan Coffee Laboratory")</f>
        <v>Taiwan Coffee Laboratory</v>
      </c>
      <c r="O46" s="5" t="s">
        <v>47</v>
      </c>
      <c r="P46" s="5" t="str">
        <f t="shared" si="3"/>
        <v>2021</v>
      </c>
      <c r="Q46" s="5" t="s">
        <v>215</v>
      </c>
      <c r="R46" s="6" t="str">
        <f>IFERROR(__xludf.DUMMYFUNCTION("TEXT(DATEVALUE(REGEXREPLACE(Q46,""(\d+)(st|nd|rd|th)"",""$1"")),""yyyy-mm-dd"")"),"2022-12-12")</f>
        <v>2022-12-12</v>
      </c>
      <c r="S46" s="7" t="s">
        <v>216</v>
      </c>
      <c r="T46" s="5" t="s">
        <v>50</v>
      </c>
      <c r="U46" s="5" t="s">
        <v>234</v>
      </c>
      <c r="V46" s="4" t="s">
        <v>70</v>
      </c>
      <c r="W46" s="4" t="s">
        <v>71</v>
      </c>
      <c r="X46" s="4" t="s">
        <v>70</v>
      </c>
      <c r="Y46" s="4" t="s">
        <v>71</v>
      </c>
      <c r="Z46" s="4" t="s">
        <v>250</v>
      </c>
      <c r="AA46" s="4" t="s">
        <v>154</v>
      </c>
      <c r="AB46" s="4" t="s">
        <v>56</v>
      </c>
      <c r="AC46" s="4" t="s">
        <v>56</v>
      </c>
      <c r="AD46" s="4" t="s">
        <v>56</v>
      </c>
      <c r="AE46" s="4" t="s">
        <v>112</v>
      </c>
      <c r="AF46" s="4" t="s">
        <v>40</v>
      </c>
      <c r="AG46" s="4" t="s">
        <v>337</v>
      </c>
      <c r="AH46" s="4" t="s">
        <v>342</v>
      </c>
      <c r="AI46" s="4" t="s">
        <v>40</v>
      </c>
      <c r="AJ46" s="4" t="s">
        <v>40</v>
      </c>
      <c r="AK46" s="5" t="s">
        <v>59</v>
      </c>
      <c r="AL46" s="4" t="s">
        <v>40</v>
      </c>
      <c r="AM46" s="5" t="s">
        <v>218</v>
      </c>
      <c r="AN46" s="6" t="str">
        <f>IFERROR(__xludf.DUMMYFUNCTION("TEXT(DATEVALUE(REGEXREPLACE(AM46,""(\d+)(st|nd|rd|th)"",""$1"")),""yyyy-mm-dd"")"),"2023-12-12")</f>
        <v>2023-12-12</v>
      </c>
    </row>
    <row r="47">
      <c r="A47" s="4" t="s">
        <v>343</v>
      </c>
      <c r="B47" s="5" t="s">
        <v>62</v>
      </c>
      <c r="C47" s="5" t="s">
        <v>344</v>
      </c>
      <c r="D47" s="6" t="str">
        <f>IFERROR(__xludf.DUMMYFUNCTION("GOOGLETRANSLATE(C47,""auto"",""en"")"),"The 2022 Pacific Rim Coffee Summit,T011")</f>
        <v>The 2022 Pacific Rim Coffee Summit,T011</v>
      </c>
      <c r="E47" s="4" t="s">
        <v>326</v>
      </c>
      <c r="F47" s="5">
        <f>IFERROR(__xludf.DUMMYFUNCTION("SPLIT(E47,""-"")
"),800.0)</f>
        <v>800</v>
      </c>
      <c r="G47" s="5"/>
      <c r="H47" s="5">
        <f t="shared" si="1"/>
        <v>800</v>
      </c>
      <c r="I47" s="5" t="s">
        <v>159</v>
      </c>
      <c r="J47" s="5" t="str">
        <f t="shared" si="2"/>
        <v>Yunlin</v>
      </c>
      <c r="K47" s="4" t="s">
        <v>115</v>
      </c>
      <c r="L47" s="5">
        <v>50.0</v>
      </c>
      <c r="M47" s="5" t="s">
        <v>66</v>
      </c>
      <c r="N47" s="5" t="str">
        <f>IFERROR(__xludf.DUMMYFUNCTION("PROPER(GOOGLETRANSLATE(M47, ""auto"", ""en""))"),"Taiwan Coffee Laboratory")</f>
        <v>Taiwan Coffee Laboratory</v>
      </c>
      <c r="O47" s="5" t="s">
        <v>47</v>
      </c>
      <c r="P47" s="5" t="str">
        <f t="shared" si="3"/>
        <v>2021</v>
      </c>
      <c r="Q47" s="5" t="s">
        <v>67</v>
      </c>
      <c r="R47" s="6" t="str">
        <f>IFERROR(__xludf.DUMMYFUNCTION("TEXT(DATEVALUE(REGEXREPLACE(Q47,""(\d+)(st|nd|rd|th)"",""$1"")),""yyyy-mm-dd"")"),"2022-11-15")</f>
        <v>2022-11-15</v>
      </c>
      <c r="S47" s="7" t="s">
        <v>68</v>
      </c>
      <c r="T47" s="5" t="s">
        <v>50</v>
      </c>
      <c r="U47" s="5" t="s">
        <v>123</v>
      </c>
      <c r="V47" s="4" t="s">
        <v>86</v>
      </c>
      <c r="W47" s="4" t="s">
        <v>85</v>
      </c>
      <c r="X47" s="4" t="s">
        <v>112</v>
      </c>
      <c r="Y47" s="4" t="s">
        <v>167</v>
      </c>
      <c r="Z47" s="4" t="s">
        <v>167</v>
      </c>
      <c r="AA47" s="4" t="s">
        <v>154</v>
      </c>
      <c r="AB47" s="4" t="s">
        <v>56</v>
      </c>
      <c r="AC47" s="4" t="s">
        <v>56</v>
      </c>
      <c r="AD47" s="4" t="s">
        <v>56</v>
      </c>
      <c r="AE47" s="4" t="s">
        <v>112</v>
      </c>
      <c r="AF47" s="4" t="s">
        <v>40</v>
      </c>
      <c r="AG47" s="4" t="s">
        <v>337</v>
      </c>
      <c r="AH47" s="4" t="s">
        <v>345</v>
      </c>
      <c r="AI47" s="4" t="s">
        <v>40</v>
      </c>
      <c r="AJ47" s="4" t="s">
        <v>40</v>
      </c>
      <c r="AK47" s="5" t="s">
        <v>105</v>
      </c>
      <c r="AL47" s="4" t="s">
        <v>40</v>
      </c>
      <c r="AM47" s="5" t="s">
        <v>75</v>
      </c>
      <c r="AN47" s="6" t="str">
        <f>IFERROR(__xludf.DUMMYFUNCTION("TEXT(DATEVALUE(REGEXREPLACE(AM47,""(\d+)(st|nd|rd|th)"",""$1"")),""yyyy-mm-dd"")"),"2023-11-15")</f>
        <v>2023-11-15</v>
      </c>
    </row>
    <row r="48">
      <c r="A48" s="4" t="s">
        <v>346</v>
      </c>
      <c r="B48" s="5" t="s">
        <v>108</v>
      </c>
      <c r="C48" s="5" t="s">
        <v>347</v>
      </c>
      <c r="D48" s="6" t="str">
        <f>IFERROR(__xludf.DUMMYFUNCTION("GOOGLETRANSLATE(C48,""auto"",""en"")"),"11/15/118")</f>
        <v>11/15/118</v>
      </c>
      <c r="E48" s="4" t="s">
        <v>348</v>
      </c>
      <c r="F48" s="5">
        <f>IFERROR(__xludf.DUMMYFUNCTION("SPLIT(E48,""-"")
"),1600.0)</f>
        <v>1600</v>
      </c>
      <c r="G48" s="5"/>
      <c r="H48" s="5">
        <f t="shared" si="1"/>
        <v>1600</v>
      </c>
      <c r="I48" s="5" t="s">
        <v>349</v>
      </c>
      <c r="J48" s="5" t="str">
        <f t="shared" si="2"/>
        <v>Antigua</v>
      </c>
      <c r="K48" s="4" t="s">
        <v>257</v>
      </c>
      <c r="L48" s="5">
        <v>30.0</v>
      </c>
      <c r="M48" s="5" t="s">
        <v>350</v>
      </c>
      <c r="N48" s="5" t="str">
        <f>IFERROR(__xludf.DUMMYFUNCTION("PROPER(GOOGLETRANSLATE(M48, ""auto"", ""en""))"),"National Coffee Association")</f>
        <v>National Coffee Association</v>
      </c>
      <c r="O48" s="5" t="s">
        <v>136</v>
      </c>
      <c r="P48" s="5" t="str">
        <f t="shared" si="3"/>
        <v>2022</v>
      </c>
      <c r="Q48" s="5" t="s">
        <v>351</v>
      </c>
      <c r="R48" s="6" t="str">
        <f>IFERROR(__xludf.DUMMYFUNCTION("TEXT(DATEVALUE(REGEXREPLACE(Q48,""(\d+)(st|nd|rd|th)"",""$1"")),""yyyy-mm-dd"")"),"2023-04-17")</f>
        <v>2023-04-17</v>
      </c>
      <c r="S48" s="7" t="s">
        <v>175</v>
      </c>
      <c r="T48" s="5" t="s">
        <v>50</v>
      </c>
      <c r="U48" s="5" t="s">
        <v>69</v>
      </c>
      <c r="V48" s="4" t="s">
        <v>167</v>
      </c>
      <c r="W48" s="4" t="s">
        <v>85</v>
      </c>
      <c r="X48" s="4" t="s">
        <v>167</v>
      </c>
      <c r="Y48" s="4" t="s">
        <v>71</v>
      </c>
      <c r="Z48" s="4" t="s">
        <v>70</v>
      </c>
      <c r="AA48" s="4" t="s">
        <v>112</v>
      </c>
      <c r="AB48" s="4" t="s">
        <v>56</v>
      </c>
      <c r="AC48" s="4" t="s">
        <v>56</v>
      </c>
      <c r="AD48" s="4" t="s">
        <v>56</v>
      </c>
      <c r="AE48" s="4" t="s">
        <v>112</v>
      </c>
      <c r="AF48" s="4" t="s">
        <v>40</v>
      </c>
      <c r="AG48" s="4" t="s">
        <v>337</v>
      </c>
      <c r="AH48" s="4" t="s">
        <v>281</v>
      </c>
      <c r="AI48" s="4" t="s">
        <v>40</v>
      </c>
      <c r="AJ48" s="4" t="s">
        <v>45</v>
      </c>
      <c r="AK48" s="5" t="s">
        <v>59</v>
      </c>
      <c r="AL48" s="4" t="s">
        <v>45</v>
      </c>
      <c r="AM48" s="5" t="s">
        <v>352</v>
      </c>
      <c r="AN48" s="6" t="str">
        <f>IFERROR(__xludf.DUMMYFUNCTION("TEXT(DATEVALUE(REGEXREPLACE(AM48,""(\d+)(st|nd|rd|th)"",""$1"")),""yyyy-mm-dd"")"),"2024-04-16")</f>
        <v>2024-04-16</v>
      </c>
    </row>
    <row r="49">
      <c r="A49" s="4" t="s">
        <v>353</v>
      </c>
      <c r="B49" s="5" t="s">
        <v>108</v>
      </c>
      <c r="C49" s="5" t="s">
        <v>354</v>
      </c>
      <c r="D49" s="6" t="str">
        <f>IFERROR(__xludf.DUMMYFUNCTION("GOOGLETRANSLATE(C49,""auto"",""en"")"),"11/951/279")</f>
        <v>11/951/279</v>
      </c>
      <c r="E49" s="4" t="s">
        <v>355</v>
      </c>
      <c r="F49" s="5">
        <f>IFERROR(__xludf.DUMMYFUNCTION("SPLIT(E49,""-"")
"),4700.0)</f>
        <v>4700</v>
      </c>
      <c r="G49" s="5"/>
      <c r="H49" s="5">
        <f t="shared" si="1"/>
        <v>4700</v>
      </c>
      <c r="I49" s="5" t="s">
        <v>356</v>
      </c>
      <c r="J49" s="5" t="str">
        <f t="shared" si="2"/>
        <v>Santa Rosa</v>
      </c>
      <c r="K49" s="4" t="s">
        <v>357</v>
      </c>
      <c r="L49" s="5">
        <v>30.0</v>
      </c>
      <c r="M49" s="5" t="s">
        <v>350</v>
      </c>
      <c r="N49" s="5" t="str">
        <f>IFERROR(__xludf.DUMMYFUNCTION("PROPER(GOOGLETRANSLATE(M49, ""auto"", ""en""))"),"National Coffee Association")</f>
        <v>National Coffee Association</v>
      </c>
      <c r="O49" s="5" t="s">
        <v>136</v>
      </c>
      <c r="P49" s="5" t="str">
        <f t="shared" si="3"/>
        <v>2022</v>
      </c>
      <c r="Q49" s="5" t="s">
        <v>358</v>
      </c>
      <c r="R49" s="6" t="str">
        <f>IFERROR(__xludf.DUMMYFUNCTION("TEXT(DATEVALUE(REGEXREPLACE(Q49,""(\d+)(st|nd|rd|th)"",""$1"")),""yyyy-mm-dd"")"),"2023-02-23")</f>
        <v>2023-02-23</v>
      </c>
      <c r="S49" s="7" t="s">
        <v>359</v>
      </c>
      <c r="T49" s="5" t="s">
        <v>50</v>
      </c>
      <c r="U49" s="5" t="s">
        <v>69</v>
      </c>
      <c r="V49" s="4" t="s">
        <v>167</v>
      </c>
      <c r="W49" s="4" t="s">
        <v>71</v>
      </c>
      <c r="X49" s="4" t="s">
        <v>154</v>
      </c>
      <c r="Y49" s="4" t="s">
        <v>70</v>
      </c>
      <c r="Z49" s="4" t="s">
        <v>71</v>
      </c>
      <c r="AA49" s="4" t="s">
        <v>112</v>
      </c>
      <c r="AB49" s="4" t="s">
        <v>56</v>
      </c>
      <c r="AC49" s="4" t="s">
        <v>56</v>
      </c>
      <c r="AD49" s="4" t="s">
        <v>56</v>
      </c>
      <c r="AE49" s="4" t="s">
        <v>112</v>
      </c>
      <c r="AF49" s="4" t="s">
        <v>40</v>
      </c>
      <c r="AG49" s="4" t="s">
        <v>337</v>
      </c>
      <c r="AH49" s="4" t="s">
        <v>189</v>
      </c>
      <c r="AI49" s="4" t="s">
        <v>40</v>
      </c>
      <c r="AJ49" s="4" t="s">
        <v>40</v>
      </c>
      <c r="AK49" s="5" t="s">
        <v>59</v>
      </c>
      <c r="AL49" s="4" t="s">
        <v>96</v>
      </c>
      <c r="AM49" s="5" t="s">
        <v>360</v>
      </c>
      <c r="AN49" s="6" t="str">
        <f>IFERROR(__xludf.DUMMYFUNCTION("TEXT(DATEVALUE(REGEXREPLACE(AM49,""(\d+)(st|nd|rd|th)"",""$1"")),""yyyy-mm-dd"")"),"2024-02-23")</f>
        <v>2024-02-23</v>
      </c>
    </row>
    <row r="50">
      <c r="A50" s="4" t="s">
        <v>361</v>
      </c>
      <c r="B50" s="5" t="s">
        <v>108</v>
      </c>
      <c r="C50" s="5" t="s">
        <v>362</v>
      </c>
      <c r="D50" s="6" t="str">
        <f>IFERROR(__xludf.DUMMYFUNCTION("GOOGLETRANSLATE(C50,""auto"",""en"")"),"11/441/50")</f>
        <v>11/441/50</v>
      </c>
      <c r="E50" s="4" t="s">
        <v>348</v>
      </c>
      <c r="F50" s="5">
        <f>IFERROR(__xludf.DUMMYFUNCTION("SPLIT(E50,""-"")
"),1600.0)</f>
        <v>1600</v>
      </c>
      <c r="G50" s="5"/>
      <c r="H50" s="5">
        <f t="shared" si="1"/>
        <v>1600</v>
      </c>
      <c r="I50" s="5" t="s">
        <v>363</v>
      </c>
      <c r="J50" s="5" t="str">
        <f t="shared" si="2"/>
        <v>Quiche</v>
      </c>
      <c r="K50" s="4" t="s">
        <v>364</v>
      </c>
      <c r="L50" s="5">
        <v>69.0</v>
      </c>
      <c r="M50" s="5" t="s">
        <v>350</v>
      </c>
      <c r="N50" s="5" t="str">
        <f>IFERROR(__xludf.DUMMYFUNCTION("PROPER(GOOGLETRANSLATE(M50, ""auto"", ""en""))"),"National Coffee Association")</f>
        <v>National Coffee Association</v>
      </c>
      <c r="O50" s="5" t="s">
        <v>47</v>
      </c>
      <c r="P50" s="5" t="str">
        <f t="shared" si="3"/>
        <v>2021</v>
      </c>
      <c r="Q50" s="5" t="s">
        <v>365</v>
      </c>
      <c r="R50" s="6" t="str">
        <f>IFERROR(__xludf.DUMMYFUNCTION("TEXT(DATEVALUE(REGEXREPLACE(Q50,""(\d+)(st|nd|rd|th)"",""$1"")),""yyyy-mm-dd"")"),"2022-06-22")</f>
        <v>2022-06-22</v>
      </c>
      <c r="S50" s="7" t="s">
        <v>175</v>
      </c>
      <c r="T50" s="5" t="s">
        <v>50</v>
      </c>
      <c r="U50" s="5" t="s">
        <v>69</v>
      </c>
      <c r="V50" s="4" t="s">
        <v>112</v>
      </c>
      <c r="W50" s="4" t="s">
        <v>70</v>
      </c>
      <c r="X50" s="4" t="s">
        <v>154</v>
      </c>
      <c r="Y50" s="4" t="s">
        <v>71</v>
      </c>
      <c r="Z50" s="4" t="s">
        <v>154</v>
      </c>
      <c r="AA50" s="4" t="s">
        <v>154</v>
      </c>
      <c r="AB50" s="4" t="s">
        <v>56</v>
      </c>
      <c r="AC50" s="4" t="s">
        <v>56</v>
      </c>
      <c r="AD50" s="4" t="s">
        <v>56</v>
      </c>
      <c r="AE50" s="4" t="s">
        <v>70</v>
      </c>
      <c r="AF50" s="4" t="s">
        <v>40</v>
      </c>
      <c r="AG50" s="4" t="s">
        <v>366</v>
      </c>
      <c r="AH50" s="4" t="s">
        <v>367</v>
      </c>
      <c r="AI50" s="4" t="s">
        <v>40</v>
      </c>
      <c r="AJ50" s="4" t="s">
        <v>60</v>
      </c>
      <c r="AK50" s="5" t="s">
        <v>59</v>
      </c>
      <c r="AL50" s="4" t="s">
        <v>45</v>
      </c>
      <c r="AM50" s="5" t="s">
        <v>368</v>
      </c>
      <c r="AN50" s="6" t="str">
        <f>IFERROR(__xludf.DUMMYFUNCTION("TEXT(DATEVALUE(REGEXREPLACE(AM50,""(\d+)(st|nd|rd|th)"",""$1"")),""yyyy-mm-dd"")"),"2023-06-22")</f>
        <v>2023-06-22</v>
      </c>
    </row>
    <row r="51">
      <c r="A51" s="4" t="s">
        <v>369</v>
      </c>
      <c r="B51" s="5" t="s">
        <v>62</v>
      </c>
      <c r="C51" s="5" t="s">
        <v>370</v>
      </c>
      <c r="D51" s="6" t="str">
        <f>IFERROR(__xludf.DUMMYFUNCTION("GOOGLETRANSLATE(C51,""auto"",""en"")"),"A03-Northern Taiwan Specialty Coffee Evaluation")</f>
        <v>A03-Northern Taiwan Specialty Coffee Evaluation</v>
      </c>
      <c r="E51" s="5" t="s">
        <v>371</v>
      </c>
      <c r="F51" s="5">
        <f>IFERROR(__xludf.DUMMYFUNCTION("SPLIT(E51,""-"")
"),350.0)</f>
        <v>350</v>
      </c>
      <c r="G51" s="5">
        <f>IFERROR(__xludf.DUMMYFUNCTION("""COMPUTED_VALUE"""),400.0)</f>
        <v>400</v>
      </c>
      <c r="H51" s="5">
        <f t="shared" si="1"/>
        <v>375</v>
      </c>
      <c r="I51" s="5" t="s">
        <v>372</v>
      </c>
      <c r="J51" s="5" t="str">
        <f t="shared" si="2"/>
        <v>新竹縣</v>
      </c>
      <c r="K51" s="4" t="s">
        <v>45</v>
      </c>
      <c r="L51" s="5">
        <v>13.0</v>
      </c>
      <c r="M51" s="5" t="s">
        <v>66</v>
      </c>
      <c r="N51" s="5" t="str">
        <f>IFERROR(__xludf.DUMMYFUNCTION("PROPER(GOOGLETRANSLATE(M51, ""auto"", ""en""))"),"Taiwan Coffee Laboratory")</f>
        <v>Taiwan Coffee Laboratory</v>
      </c>
      <c r="O51" s="5" t="s">
        <v>47</v>
      </c>
      <c r="P51" s="5" t="str">
        <f t="shared" si="3"/>
        <v>2021</v>
      </c>
      <c r="Q51" s="5" t="s">
        <v>243</v>
      </c>
      <c r="R51" s="6" t="str">
        <f>IFERROR(__xludf.DUMMYFUNCTION("TEXT(DATEVALUE(REGEXREPLACE(Q51,""(\d+)(st|nd|rd|th)"",""$1"")),""yyyy-mm-dd"")"),"2023-01-06")</f>
        <v>2023-01-06</v>
      </c>
      <c r="S51" s="7" t="s">
        <v>216</v>
      </c>
      <c r="T51" s="5" t="s">
        <v>50</v>
      </c>
      <c r="U51" s="5" t="s">
        <v>69</v>
      </c>
      <c r="V51" s="4" t="s">
        <v>70</v>
      </c>
      <c r="W51" s="4" t="s">
        <v>70</v>
      </c>
      <c r="X51" s="4" t="s">
        <v>112</v>
      </c>
      <c r="Y51" s="4" t="s">
        <v>112</v>
      </c>
      <c r="Z51" s="4" t="s">
        <v>154</v>
      </c>
      <c r="AA51" s="4" t="s">
        <v>112</v>
      </c>
      <c r="AB51" s="4" t="s">
        <v>56</v>
      </c>
      <c r="AC51" s="4" t="s">
        <v>56</v>
      </c>
      <c r="AD51" s="4" t="s">
        <v>56</v>
      </c>
      <c r="AE51" s="4" t="s">
        <v>112</v>
      </c>
      <c r="AF51" s="4" t="s">
        <v>40</v>
      </c>
      <c r="AG51" s="4" t="s">
        <v>366</v>
      </c>
      <c r="AH51" s="4" t="s">
        <v>297</v>
      </c>
      <c r="AI51" s="4" t="s">
        <v>40</v>
      </c>
      <c r="AJ51" s="4" t="s">
        <v>40</v>
      </c>
      <c r="AK51" s="5" t="s">
        <v>59</v>
      </c>
      <c r="AL51" s="4" t="s">
        <v>76</v>
      </c>
      <c r="AM51" s="5" t="s">
        <v>245</v>
      </c>
      <c r="AN51" s="6" t="str">
        <f>IFERROR(__xludf.DUMMYFUNCTION("TEXT(DATEVALUE(REGEXREPLACE(AM51,""(\d+)(st|nd|rd|th)"",""$1"")),""yyyy-mm-dd"")"),"2024-01-06")</f>
        <v>2024-01-06</v>
      </c>
    </row>
    <row r="52">
      <c r="A52" s="4" t="s">
        <v>373</v>
      </c>
      <c r="B52" s="5" t="s">
        <v>62</v>
      </c>
      <c r="C52" s="5" t="s">
        <v>374</v>
      </c>
      <c r="D52" s="6" t="str">
        <f>IFERROR(__xludf.DUMMYFUNCTION("GOOGLETRANSLATE(C52,""auto"",""en"")"),"A23-Northern Taiwan Specialty Coffee Evaluation")</f>
        <v>A23-Northern Taiwan Specialty Coffee Evaluation</v>
      </c>
      <c r="E52" s="4" t="s">
        <v>375</v>
      </c>
      <c r="F52" s="5">
        <f>IFERROR(__xludf.DUMMYFUNCTION("SPLIT(E52,""-"")
"),230.0)</f>
        <v>230</v>
      </c>
      <c r="G52" s="5"/>
      <c r="H52" s="5">
        <f t="shared" si="1"/>
        <v>230</v>
      </c>
      <c r="I52" s="5" t="s">
        <v>372</v>
      </c>
      <c r="J52" s="5" t="str">
        <f t="shared" si="2"/>
        <v>新竹縣</v>
      </c>
      <c r="K52" s="4" t="s">
        <v>45</v>
      </c>
      <c r="L52" s="5">
        <v>4.0</v>
      </c>
      <c r="M52" s="5" t="s">
        <v>66</v>
      </c>
      <c r="N52" s="5" t="str">
        <f>IFERROR(__xludf.DUMMYFUNCTION("PROPER(GOOGLETRANSLATE(M52, ""auto"", ""en""))"),"Taiwan Coffee Laboratory")</f>
        <v>Taiwan Coffee Laboratory</v>
      </c>
      <c r="O52" s="5" t="s">
        <v>47</v>
      </c>
      <c r="P52" s="5" t="str">
        <f t="shared" si="3"/>
        <v>2021</v>
      </c>
      <c r="Q52" s="5" t="s">
        <v>243</v>
      </c>
      <c r="R52" s="6" t="str">
        <f>IFERROR(__xludf.DUMMYFUNCTION("TEXT(DATEVALUE(REGEXREPLACE(Q52,""(\d+)(st|nd|rd|th)"",""$1"")),""yyyy-mm-dd"")"),"2023-01-06")</f>
        <v>2023-01-06</v>
      </c>
      <c r="S52" s="7" t="s">
        <v>376</v>
      </c>
      <c r="T52" s="5" t="s">
        <v>50</v>
      </c>
      <c r="U52" s="5" t="s">
        <v>123</v>
      </c>
      <c r="V52" s="4" t="s">
        <v>71</v>
      </c>
      <c r="W52" s="4" t="s">
        <v>71</v>
      </c>
      <c r="X52" s="4" t="s">
        <v>154</v>
      </c>
      <c r="Y52" s="4" t="s">
        <v>154</v>
      </c>
      <c r="Z52" s="4" t="s">
        <v>167</v>
      </c>
      <c r="AA52" s="4" t="s">
        <v>154</v>
      </c>
      <c r="AB52" s="4" t="s">
        <v>56</v>
      </c>
      <c r="AC52" s="4" t="s">
        <v>56</v>
      </c>
      <c r="AD52" s="4" t="s">
        <v>56</v>
      </c>
      <c r="AE52" s="4" t="s">
        <v>70</v>
      </c>
      <c r="AF52" s="4" t="s">
        <v>40</v>
      </c>
      <c r="AG52" s="4" t="s">
        <v>377</v>
      </c>
      <c r="AH52" s="4" t="s">
        <v>378</v>
      </c>
      <c r="AI52" s="4" t="s">
        <v>40</v>
      </c>
      <c r="AJ52" s="4" t="s">
        <v>40</v>
      </c>
      <c r="AK52" s="5" t="s">
        <v>156</v>
      </c>
      <c r="AL52" s="4" t="s">
        <v>40</v>
      </c>
      <c r="AM52" s="5" t="s">
        <v>245</v>
      </c>
      <c r="AN52" s="6" t="str">
        <f>IFERROR(__xludf.DUMMYFUNCTION("TEXT(DATEVALUE(REGEXREPLACE(AM52,""(\d+)(st|nd|rd|th)"",""$1"")),""yyyy-mm-dd"")"),"2024-01-06")</f>
        <v>2024-01-06</v>
      </c>
    </row>
    <row r="53">
      <c r="A53" s="4" t="s">
        <v>379</v>
      </c>
      <c r="B53" s="5" t="s">
        <v>380</v>
      </c>
      <c r="C53" s="5" t="s">
        <v>381</v>
      </c>
      <c r="D53" s="6" t="str">
        <f>IFERROR(__xludf.DUMMYFUNCTION("GOOGLETRANSLATE(C53,""auto"",""en"")"),"016/1513/262")</f>
        <v>016/1513/262</v>
      </c>
      <c r="E53" s="4" t="s">
        <v>64</v>
      </c>
      <c r="F53" s="5">
        <f>IFERROR(__xludf.DUMMYFUNCTION("SPLIT(E53,""-"")
"),1200.0)</f>
        <v>1200</v>
      </c>
      <c r="G53" s="5"/>
      <c r="H53" s="5">
        <f t="shared" si="1"/>
        <v>1200</v>
      </c>
      <c r="I53" s="5" t="s">
        <v>382</v>
      </c>
      <c r="J53" s="5" t="str">
        <f t="shared" si="2"/>
        <v>Aceh Tengah</v>
      </c>
      <c r="K53" s="4" t="s">
        <v>134</v>
      </c>
      <c r="L53" s="5">
        <v>60.0</v>
      </c>
      <c r="M53" s="5" t="s">
        <v>383</v>
      </c>
      <c r="N53" s="5" t="str">
        <f>IFERROR(__xludf.DUMMYFUNCTION("PROPER(GOOGLETRANSLATE(M53, ""auto"", ""en""))"),"Nkg Quality Service (A Division Of Bernhard Rothfos Intercafé Ag)")</f>
        <v>Nkg Quality Service (A Division Of Bernhard Rothfos Intercafé Ag)</v>
      </c>
      <c r="O53" s="4" t="s">
        <v>94</v>
      </c>
      <c r="P53" s="5" t="str">
        <f t="shared" si="3"/>
        <v>2022</v>
      </c>
      <c r="Q53" s="5" t="s">
        <v>384</v>
      </c>
      <c r="R53" s="6" t="str">
        <f>IFERROR(__xludf.DUMMYFUNCTION("TEXT(DATEVALUE(REGEXREPLACE(Q53,""(\d+)(st|nd|rd|th)"",""$1"")),""yyyy-mm-dd"")"),"2022-09-23")</f>
        <v>2022-09-23</v>
      </c>
      <c r="S53" s="7" t="s">
        <v>225</v>
      </c>
      <c r="T53" s="5" t="s">
        <v>50</v>
      </c>
      <c r="U53" s="5" t="s">
        <v>234</v>
      </c>
      <c r="V53" s="4" t="s">
        <v>112</v>
      </c>
      <c r="W53" s="4" t="s">
        <v>70</v>
      </c>
      <c r="X53" s="4" t="s">
        <v>154</v>
      </c>
      <c r="Y53" s="4" t="s">
        <v>112</v>
      </c>
      <c r="Z53" s="4" t="s">
        <v>112</v>
      </c>
      <c r="AA53" s="4" t="s">
        <v>112</v>
      </c>
      <c r="AB53" s="4" t="s">
        <v>56</v>
      </c>
      <c r="AC53" s="4" t="s">
        <v>56</v>
      </c>
      <c r="AD53" s="4" t="s">
        <v>56</v>
      </c>
      <c r="AE53" s="4" t="s">
        <v>112</v>
      </c>
      <c r="AF53" s="4" t="s">
        <v>40</v>
      </c>
      <c r="AG53" s="4" t="s">
        <v>377</v>
      </c>
      <c r="AH53" s="4" t="s">
        <v>160</v>
      </c>
      <c r="AI53" s="4" t="s">
        <v>40</v>
      </c>
      <c r="AJ53" s="4" t="s">
        <v>60</v>
      </c>
      <c r="AK53" s="5" t="s">
        <v>74</v>
      </c>
      <c r="AL53" s="4" t="s">
        <v>76</v>
      </c>
      <c r="AM53" s="5" t="s">
        <v>385</v>
      </c>
      <c r="AN53" s="6" t="str">
        <f>IFERROR(__xludf.DUMMYFUNCTION("TEXT(DATEVALUE(REGEXREPLACE(AM53,""(\d+)(st|nd|rd|th)"",""$1"")),""yyyy-mm-dd"")"),"2023-09-23")</f>
        <v>2023-09-23</v>
      </c>
    </row>
    <row r="54">
      <c r="A54" s="4" t="s">
        <v>386</v>
      </c>
      <c r="B54" s="5" t="s">
        <v>387</v>
      </c>
      <c r="C54" s="5" t="s">
        <v>388</v>
      </c>
      <c r="D54" s="6" t="str">
        <f>IFERROR(__xludf.DUMMYFUNCTION("GOOGLETRANSLATE(C54,""auto"",""en"")"),"The 2022 Pacific Rim Coffee Summit,PE02")</f>
        <v>The 2022 Pacific Rim Coffee Summit,PE02</v>
      </c>
      <c r="E54" s="4" t="s">
        <v>389</v>
      </c>
      <c r="F54" s="5">
        <f>IFERROR(__xludf.DUMMYFUNCTION("SPLIT(E54,""-"")
"),1750.0)</f>
        <v>1750</v>
      </c>
      <c r="G54" s="5"/>
      <c r="H54" s="5">
        <f t="shared" si="1"/>
        <v>1750</v>
      </c>
      <c r="I54" s="5" t="s">
        <v>390</v>
      </c>
      <c r="J54" s="5" t="str">
        <f t="shared" si="2"/>
        <v>Villa Rica</v>
      </c>
      <c r="K54" s="4" t="s">
        <v>60</v>
      </c>
      <c r="L54" s="5">
        <v>5.0</v>
      </c>
      <c r="M54" s="5" t="s">
        <v>66</v>
      </c>
      <c r="N54" s="5" t="str">
        <f>IFERROR(__xludf.DUMMYFUNCTION("PROPER(GOOGLETRANSLATE(M54, ""auto"", ""en""))"),"Taiwan Coffee Laboratory")</f>
        <v>Taiwan Coffee Laboratory</v>
      </c>
      <c r="O54" s="4" t="s">
        <v>94</v>
      </c>
      <c r="P54" s="5" t="str">
        <f t="shared" si="3"/>
        <v>2022</v>
      </c>
      <c r="Q54" s="5" t="s">
        <v>67</v>
      </c>
      <c r="R54" s="6" t="str">
        <f>IFERROR(__xludf.DUMMYFUNCTION("TEXT(DATEVALUE(REGEXREPLACE(Q54,""(\d+)(st|nd|rd|th)"",""$1"")),""yyyy-mm-dd"")"),"2022-11-15")</f>
        <v>2022-11-15</v>
      </c>
      <c r="S54" s="7" t="s">
        <v>68</v>
      </c>
      <c r="T54" s="5" t="s">
        <v>50</v>
      </c>
      <c r="U54" s="5" t="s">
        <v>69</v>
      </c>
      <c r="V54" s="4" t="s">
        <v>71</v>
      </c>
      <c r="W54" s="4" t="s">
        <v>71</v>
      </c>
      <c r="X54" s="4" t="s">
        <v>112</v>
      </c>
      <c r="Y54" s="4" t="s">
        <v>112</v>
      </c>
      <c r="Z54" s="4" t="s">
        <v>250</v>
      </c>
      <c r="AA54" s="4" t="s">
        <v>112</v>
      </c>
      <c r="AB54" s="4" t="s">
        <v>56</v>
      </c>
      <c r="AC54" s="4" t="s">
        <v>56</v>
      </c>
      <c r="AD54" s="4" t="s">
        <v>56</v>
      </c>
      <c r="AE54" s="4" t="s">
        <v>154</v>
      </c>
      <c r="AF54" s="4" t="s">
        <v>40</v>
      </c>
      <c r="AG54" s="4" t="s">
        <v>377</v>
      </c>
      <c r="AH54" s="4" t="s">
        <v>114</v>
      </c>
      <c r="AI54" s="4" t="s">
        <v>40</v>
      </c>
      <c r="AJ54" s="4" t="s">
        <v>40</v>
      </c>
      <c r="AK54" s="5" t="s">
        <v>59</v>
      </c>
      <c r="AL54" s="4" t="s">
        <v>40</v>
      </c>
      <c r="AM54" s="5" t="s">
        <v>75</v>
      </c>
      <c r="AN54" s="6" t="str">
        <f>IFERROR(__xludf.DUMMYFUNCTION("TEXT(DATEVALUE(REGEXREPLACE(AM54,""(\d+)(st|nd|rd|th)"",""$1"")),""yyyy-mm-dd"")"),"2023-11-15")</f>
        <v>2023-11-15</v>
      </c>
    </row>
    <row r="55">
      <c r="A55" s="4" t="s">
        <v>391</v>
      </c>
      <c r="B55" s="5" t="s">
        <v>130</v>
      </c>
      <c r="C55" s="5" t="s">
        <v>392</v>
      </c>
      <c r="D55" s="6" t="str">
        <f>IFERROR(__xludf.DUMMYFUNCTION("GOOGLETRANSLATE(C55,""auto"",""en"")"),"S59588/P03989")</f>
        <v>S59588/P03989</v>
      </c>
      <c r="E55" s="4" t="s">
        <v>393</v>
      </c>
      <c r="F55" s="5">
        <f>IFERROR(__xludf.DUMMYFUNCTION("SPLIT(E55,""-"")
"),1654.0)</f>
        <v>1654</v>
      </c>
      <c r="G55" s="5"/>
      <c r="H55" s="5">
        <f t="shared" si="1"/>
        <v>1654</v>
      </c>
      <c r="I55" s="5" t="s">
        <v>394</v>
      </c>
      <c r="J55" s="5" t="str">
        <f t="shared" si="2"/>
        <v>Mbeya</v>
      </c>
      <c r="K55" s="4" t="s">
        <v>395</v>
      </c>
      <c r="L55" s="5">
        <v>30.0</v>
      </c>
      <c r="M55" s="5" t="s">
        <v>135</v>
      </c>
      <c r="N55" s="5" t="str">
        <f>IFERROR(__xludf.DUMMYFUNCTION("PROPER(GOOGLETRANSLATE(M55, ""auto"", ""en""))"),"Kenya Coffee Traders Association")</f>
        <v>Kenya Coffee Traders Association</v>
      </c>
      <c r="O55" s="5" t="s">
        <v>136</v>
      </c>
      <c r="P55" s="5" t="str">
        <f t="shared" si="3"/>
        <v>2022</v>
      </c>
      <c r="Q55" s="5" t="s">
        <v>396</v>
      </c>
      <c r="R55" s="6" t="str">
        <f>IFERROR(__xludf.DUMMYFUNCTION("TEXT(DATEVALUE(REGEXREPLACE(Q55,""(\d+)(st|nd|rd|th)"",""$1"")),""yyyy-mm-dd"")"),"2022-11-09")</f>
        <v>2022-11-09</v>
      </c>
      <c r="S55" s="7" t="s">
        <v>138</v>
      </c>
      <c r="T55" s="5" t="s">
        <v>50</v>
      </c>
      <c r="U55" s="5" t="s">
        <v>69</v>
      </c>
      <c r="V55" s="4" t="s">
        <v>70</v>
      </c>
      <c r="W55" s="4" t="s">
        <v>154</v>
      </c>
      <c r="X55" s="4" t="s">
        <v>154</v>
      </c>
      <c r="Y55" s="4" t="s">
        <v>70</v>
      </c>
      <c r="Z55" s="4" t="s">
        <v>112</v>
      </c>
      <c r="AA55" s="4" t="s">
        <v>112</v>
      </c>
      <c r="AB55" s="4" t="s">
        <v>56</v>
      </c>
      <c r="AC55" s="4" t="s">
        <v>56</v>
      </c>
      <c r="AD55" s="4" t="s">
        <v>56</v>
      </c>
      <c r="AE55" s="4" t="s">
        <v>112</v>
      </c>
      <c r="AF55" s="4" t="s">
        <v>40</v>
      </c>
      <c r="AG55" s="4" t="s">
        <v>377</v>
      </c>
      <c r="AH55" s="4" t="s">
        <v>397</v>
      </c>
      <c r="AI55" s="4" t="s">
        <v>40</v>
      </c>
      <c r="AJ55" s="4" t="s">
        <v>40</v>
      </c>
      <c r="AK55" s="5" t="s">
        <v>59</v>
      </c>
      <c r="AL55" s="4" t="s">
        <v>40</v>
      </c>
      <c r="AM55" s="5" t="s">
        <v>398</v>
      </c>
      <c r="AN55" s="6" t="str">
        <f>IFERROR(__xludf.DUMMYFUNCTION("TEXT(DATEVALUE(REGEXREPLACE(AM55,""(\d+)(st|nd|rd|th)"",""$1"")),""yyyy-mm-dd"")"),"2023-11-09")</f>
        <v>2023-11-09</v>
      </c>
    </row>
    <row r="56">
      <c r="A56" s="4" t="s">
        <v>399</v>
      </c>
      <c r="B56" s="5" t="s">
        <v>62</v>
      </c>
      <c r="C56" s="5" t="s">
        <v>400</v>
      </c>
      <c r="D56" s="6" t="str">
        <f>IFERROR(__xludf.DUMMYFUNCTION("GOOGLETRANSLATE(C56,""auto"",""en"")"),"The 2022 Pacific Rim Coffee Summit,T029")</f>
        <v>The 2022 Pacific Rim Coffee Summit,T029</v>
      </c>
      <c r="E56" s="4" t="s">
        <v>79</v>
      </c>
      <c r="F56" s="5">
        <f>IFERROR(__xludf.DUMMYFUNCTION("SPLIT(E56,""-"")
"),1300.0)</f>
        <v>1300</v>
      </c>
      <c r="G56" s="5"/>
      <c r="H56" s="5">
        <f t="shared" si="1"/>
        <v>1300</v>
      </c>
      <c r="I56" s="5" t="s">
        <v>65</v>
      </c>
      <c r="J56" s="5" t="str">
        <f t="shared" si="2"/>
        <v>Chiayi</v>
      </c>
      <c r="K56" s="4" t="s">
        <v>45</v>
      </c>
      <c r="L56" s="5">
        <v>25.0</v>
      </c>
      <c r="M56" s="5" t="s">
        <v>66</v>
      </c>
      <c r="N56" s="5" t="str">
        <f>IFERROR(__xludf.DUMMYFUNCTION("PROPER(GOOGLETRANSLATE(M56, ""auto"", ""en""))"),"Taiwan Coffee Laboratory")</f>
        <v>Taiwan Coffee Laboratory</v>
      </c>
      <c r="O56" s="5" t="s">
        <v>47</v>
      </c>
      <c r="P56" s="5" t="str">
        <f t="shared" si="3"/>
        <v>2021</v>
      </c>
      <c r="Q56" s="5" t="s">
        <v>67</v>
      </c>
      <c r="R56" s="6" t="str">
        <f>IFERROR(__xludf.DUMMYFUNCTION("TEXT(DATEVALUE(REGEXREPLACE(Q56,""(\d+)(st|nd|rd|th)"",""$1"")),""yyyy-mm-dd"")"),"2022-11-15")</f>
        <v>2022-11-15</v>
      </c>
      <c r="S56" s="7" t="s">
        <v>126</v>
      </c>
      <c r="T56" s="5" t="s">
        <v>50</v>
      </c>
      <c r="U56" s="5" t="s">
        <v>123</v>
      </c>
      <c r="V56" s="4" t="s">
        <v>112</v>
      </c>
      <c r="W56" s="4" t="s">
        <v>112</v>
      </c>
      <c r="X56" s="4" t="s">
        <v>167</v>
      </c>
      <c r="Y56" s="4" t="s">
        <v>167</v>
      </c>
      <c r="Z56" s="4" t="s">
        <v>112</v>
      </c>
      <c r="AA56" s="4" t="s">
        <v>71</v>
      </c>
      <c r="AB56" s="4" t="s">
        <v>56</v>
      </c>
      <c r="AC56" s="4" t="s">
        <v>56</v>
      </c>
      <c r="AD56" s="4" t="s">
        <v>56</v>
      </c>
      <c r="AE56" s="4" t="s">
        <v>71</v>
      </c>
      <c r="AF56" s="4" t="s">
        <v>40</v>
      </c>
      <c r="AG56" s="4" t="s">
        <v>377</v>
      </c>
      <c r="AH56" s="4" t="s">
        <v>297</v>
      </c>
      <c r="AI56" s="4" t="s">
        <v>40</v>
      </c>
      <c r="AJ56" s="4" t="s">
        <v>40</v>
      </c>
      <c r="AK56" s="5" t="s">
        <v>59</v>
      </c>
      <c r="AL56" s="4" t="s">
        <v>40</v>
      </c>
      <c r="AM56" s="5" t="s">
        <v>75</v>
      </c>
      <c r="AN56" s="6" t="str">
        <f>IFERROR(__xludf.DUMMYFUNCTION("TEXT(DATEVALUE(REGEXREPLACE(AM56,""(\d+)(st|nd|rd|th)"",""$1"")),""yyyy-mm-dd"")"),"2023-11-15")</f>
        <v>2023-11-15</v>
      </c>
    </row>
    <row r="57">
      <c r="A57" s="4" t="s">
        <v>401</v>
      </c>
      <c r="B57" s="5" t="s">
        <v>62</v>
      </c>
      <c r="C57" s="5" t="s">
        <v>402</v>
      </c>
      <c r="D57" s="6" t="str">
        <f>IFERROR(__xludf.DUMMYFUNCTION("GOOGLETRANSLATE(C57,""auto"",""en"")"),"The 2022 Pacific Rim Coffee Summit,T039")</f>
        <v>The 2022 Pacific Rim Coffee Summit,T039</v>
      </c>
      <c r="E57" s="4" t="s">
        <v>403</v>
      </c>
      <c r="F57" s="5">
        <f>IFERROR(__xludf.DUMMYFUNCTION("SPLIT(E57,""-"")
"),1400.0)</f>
        <v>1400</v>
      </c>
      <c r="G57" s="5"/>
      <c r="H57" s="5">
        <f t="shared" si="1"/>
        <v>1400</v>
      </c>
      <c r="I57" s="5" t="s">
        <v>404</v>
      </c>
      <c r="J57" s="5" t="str">
        <f t="shared" si="2"/>
        <v>Nantou</v>
      </c>
      <c r="K57" s="4" t="s">
        <v>45</v>
      </c>
      <c r="L57" s="5">
        <v>30.0</v>
      </c>
      <c r="M57" s="5" t="s">
        <v>66</v>
      </c>
      <c r="N57" s="5" t="str">
        <f>IFERROR(__xludf.DUMMYFUNCTION("PROPER(GOOGLETRANSLATE(M57, ""auto"", ""en""))"),"Taiwan Coffee Laboratory")</f>
        <v>Taiwan Coffee Laboratory</v>
      </c>
      <c r="O57" s="5" t="s">
        <v>47</v>
      </c>
      <c r="P57" s="5" t="str">
        <f t="shared" si="3"/>
        <v>2021</v>
      </c>
      <c r="Q57" s="5" t="s">
        <v>67</v>
      </c>
      <c r="R57" s="6" t="str">
        <f>IFERROR(__xludf.DUMMYFUNCTION("TEXT(DATEVALUE(REGEXREPLACE(Q57,""(\d+)(st|nd|rd|th)"",""$1"")),""yyyy-mm-dd"")"),"2022-11-15")</f>
        <v>2022-11-15</v>
      </c>
      <c r="S57" s="7" t="s">
        <v>126</v>
      </c>
      <c r="T57" s="5" t="s">
        <v>50</v>
      </c>
      <c r="U57" s="5" t="s">
        <v>69</v>
      </c>
      <c r="V57" s="4" t="s">
        <v>167</v>
      </c>
      <c r="W57" s="4" t="s">
        <v>70</v>
      </c>
      <c r="X57" s="4" t="s">
        <v>70</v>
      </c>
      <c r="Y57" s="4" t="s">
        <v>112</v>
      </c>
      <c r="Z57" s="4" t="s">
        <v>154</v>
      </c>
      <c r="AA57" s="4" t="s">
        <v>112</v>
      </c>
      <c r="AB57" s="4" t="s">
        <v>56</v>
      </c>
      <c r="AC57" s="4" t="s">
        <v>56</v>
      </c>
      <c r="AD57" s="4" t="s">
        <v>56</v>
      </c>
      <c r="AE57" s="4" t="s">
        <v>112</v>
      </c>
      <c r="AF57" s="4" t="s">
        <v>40</v>
      </c>
      <c r="AG57" s="4" t="s">
        <v>405</v>
      </c>
      <c r="AH57" s="4" t="s">
        <v>88</v>
      </c>
      <c r="AI57" s="4" t="s">
        <v>40</v>
      </c>
      <c r="AJ57" s="4" t="s">
        <v>40</v>
      </c>
      <c r="AK57" s="5" t="s">
        <v>59</v>
      </c>
      <c r="AL57" s="4" t="s">
        <v>40</v>
      </c>
      <c r="AM57" s="5" t="s">
        <v>75</v>
      </c>
      <c r="AN57" s="6" t="str">
        <f>IFERROR(__xludf.DUMMYFUNCTION("TEXT(DATEVALUE(REGEXREPLACE(AM57,""(\d+)(st|nd|rd|th)"",""$1"")),""yyyy-mm-dd"")"),"2023-11-15")</f>
        <v>2023-11-15</v>
      </c>
    </row>
    <row r="58">
      <c r="A58" s="4" t="s">
        <v>406</v>
      </c>
      <c r="B58" s="5" t="s">
        <v>239</v>
      </c>
      <c r="C58" s="5" t="s">
        <v>407</v>
      </c>
      <c r="D58" s="6" t="str">
        <f>IFERROR(__xludf.DUMMYFUNCTION("GOOGLETRANSLATE(C58,""auto"",""en"")"),"FBT111")</f>
        <v>FBT111</v>
      </c>
      <c r="E58" s="4" t="s">
        <v>179</v>
      </c>
      <c r="F58" s="5">
        <f>IFERROR(__xludf.DUMMYFUNCTION("SPLIT(E58,""-"")
"),1100.0)</f>
        <v>1100</v>
      </c>
      <c r="G58" s="5"/>
      <c r="H58" s="5">
        <f t="shared" si="1"/>
        <v>1100</v>
      </c>
      <c r="I58" s="5" t="s">
        <v>408</v>
      </c>
      <c r="J58" s="5" t="str">
        <f t="shared" si="2"/>
        <v>Campo Das Vertentes</v>
      </c>
      <c r="K58" s="4" t="s">
        <v>107</v>
      </c>
      <c r="L58" s="5">
        <v>36.0</v>
      </c>
      <c r="M58" s="5" t="s">
        <v>46</v>
      </c>
      <c r="N58" s="5" t="str">
        <f>IFERROR(__xludf.DUMMYFUNCTION("PROPER(GOOGLETRANSLATE(M58, ""auto"", ""en""))"),"Japan Coffee Exchange")</f>
        <v>Japan Coffee Exchange</v>
      </c>
      <c r="O58" s="4" t="s">
        <v>94</v>
      </c>
      <c r="P58" s="5" t="str">
        <f t="shared" si="3"/>
        <v>2022</v>
      </c>
      <c r="Q58" s="5" t="s">
        <v>409</v>
      </c>
      <c r="R58" s="6" t="str">
        <f>IFERROR(__xludf.DUMMYFUNCTION("TEXT(DATEVALUE(REGEXREPLACE(Q58,""(\d+)(st|nd|rd|th)"",""$1"")),""yyyy-mm-dd"")"),"2023-02-13")</f>
        <v>2023-02-13</v>
      </c>
      <c r="S58" s="7" t="s">
        <v>376</v>
      </c>
      <c r="T58" s="5" t="s">
        <v>50</v>
      </c>
      <c r="U58" s="5" t="s">
        <v>410</v>
      </c>
      <c r="V58" s="4" t="s">
        <v>112</v>
      </c>
      <c r="W58" s="4" t="s">
        <v>70</v>
      </c>
      <c r="X58" s="4" t="s">
        <v>154</v>
      </c>
      <c r="Y58" s="4" t="s">
        <v>70</v>
      </c>
      <c r="Z58" s="4" t="s">
        <v>167</v>
      </c>
      <c r="AA58" s="4" t="s">
        <v>112</v>
      </c>
      <c r="AB58" s="4" t="s">
        <v>56</v>
      </c>
      <c r="AC58" s="4" t="s">
        <v>56</v>
      </c>
      <c r="AD58" s="4" t="s">
        <v>56</v>
      </c>
      <c r="AE58" s="4" t="s">
        <v>112</v>
      </c>
      <c r="AF58" s="4" t="s">
        <v>40</v>
      </c>
      <c r="AG58" s="4" t="s">
        <v>405</v>
      </c>
      <c r="AH58" s="4" t="s">
        <v>397</v>
      </c>
      <c r="AI58" s="4" t="s">
        <v>40</v>
      </c>
      <c r="AJ58" s="4" t="s">
        <v>45</v>
      </c>
      <c r="AK58" s="5" t="s">
        <v>59</v>
      </c>
      <c r="AL58" s="4" t="s">
        <v>107</v>
      </c>
      <c r="AM58" s="5" t="s">
        <v>411</v>
      </c>
      <c r="AN58" s="6" t="str">
        <f>IFERROR(__xludf.DUMMYFUNCTION("TEXT(DATEVALUE(REGEXREPLACE(AM58,""(\d+)(st|nd|rd|th)"",""$1"")),""yyyy-mm-dd"")"),"2024-02-13")</f>
        <v>2024-02-13</v>
      </c>
    </row>
    <row r="59">
      <c r="A59" s="4" t="s">
        <v>412</v>
      </c>
      <c r="B59" s="5" t="s">
        <v>413</v>
      </c>
      <c r="C59" s="5" t="s">
        <v>414</v>
      </c>
      <c r="D59" s="6" t="str">
        <f>IFERROR(__xludf.DUMMYFUNCTION("GOOGLETRANSLATE(C59,""auto"",""en"")"),"2-237-05")</f>
        <v>2-237-05</v>
      </c>
      <c r="E59" s="4" t="s">
        <v>64</v>
      </c>
      <c r="F59" s="5">
        <f>IFERROR(__xludf.DUMMYFUNCTION("SPLIT(E59,""-"")
"),1200.0)</f>
        <v>1200</v>
      </c>
      <c r="G59" s="5"/>
      <c r="H59" s="5">
        <f t="shared" si="1"/>
        <v>1200</v>
      </c>
      <c r="I59" s="5" t="s">
        <v>415</v>
      </c>
      <c r="J59" s="5" t="str">
        <f t="shared" si="2"/>
        <v>Boquete</v>
      </c>
      <c r="K59" s="4" t="s">
        <v>205</v>
      </c>
      <c r="L59" s="5">
        <v>30.0</v>
      </c>
      <c r="M59" s="5" t="s">
        <v>416</v>
      </c>
      <c r="N59" s="5" t="str">
        <f>IFERROR(__xludf.DUMMYFUNCTION("PROPER(GOOGLETRANSLATE(M59, ""auto"", ""en""))"),"Specialty Coffee Association Of Costa Rica")</f>
        <v>Specialty Coffee Association Of Costa Rica</v>
      </c>
      <c r="O59" s="5" t="s">
        <v>136</v>
      </c>
      <c r="P59" s="5" t="str">
        <f t="shared" si="3"/>
        <v>2022</v>
      </c>
      <c r="Q59" s="5" t="s">
        <v>417</v>
      </c>
      <c r="R59" s="6" t="str">
        <f>IFERROR(__xludf.DUMMYFUNCTION("TEXT(DATEVALUE(REGEXREPLACE(Q59,""(\d+)(st|nd|rd|th)"",""$1"")),""yyyy-mm-dd"")"),"2023-04-26")</f>
        <v>2023-04-26</v>
      </c>
      <c r="S59" s="7" t="s">
        <v>359</v>
      </c>
      <c r="T59" s="5" t="s">
        <v>50</v>
      </c>
      <c r="U59" s="5" t="s">
        <v>69</v>
      </c>
      <c r="V59" s="4" t="s">
        <v>112</v>
      </c>
      <c r="W59" s="4" t="s">
        <v>112</v>
      </c>
      <c r="X59" s="4" t="s">
        <v>154</v>
      </c>
      <c r="Y59" s="4" t="s">
        <v>70</v>
      </c>
      <c r="Z59" s="4" t="s">
        <v>112</v>
      </c>
      <c r="AA59" s="4" t="s">
        <v>154</v>
      </c>
      <c r="AB59" s="4" t="s">
        <v>56</v>
      </c>
      <c r="AC59" s="4" t="s">
        <v>56</v>
      </c>
      <c r="AD59" s="4" t="s">
        <v>56</v>
      </c>
      <c r="AE59" s="4" t="s">
        <v>112</v>
      </c>
      <c r="AF59" s="4" t="s">
        <v>40</v>
      </c>
      <c r="AG59" s="4" t="s">
        <v>405</v>
      </c>
      <c r="AH59" s="4" t="s">
        <v>196</v>
      </c>
      <c r="AI59" s="4" t="s">
        <v>40</v>
      </c>
      <c r="AJ59" s="4" t="s">
        <v>45</v>
      </c>
      <c r="AK59" s="5" t="s">
        <v>74</v>
      </c>
      <c r="AL59" s="4" t="s">
        <v>107</v>
      </c>
      <c r="AM59" s="5" t="s">
        <v>418</v>
      </c>
      <c r="AN59" s="6" t="str">
        <f>IFERROR(__xludf.DUMMYFUNCTION("TEXT(DATEVALUE(REGEXREPLACE(AM59,""(\d+)(st|nd|rd|th)"",""$1"")),""yyyy-mm-dd"")"),"2024-04-25")</f>
        <v>2024-04-25</v>
      </c>
    </row>
    <row r="60">
      <c r="A60" s="4" t="s">
        <v>419</v>
      </c>
      <c r="B60" s="5" t="s">
        <v>62</v>
      </c>
      <c r="C60" s="5" t="s">
        <v>420</v>
      </c>
      <c r="D60" s="6" t="str">
        <f>IFERROR(__xludf.DUMMYFUNCTION("GOOGLETRANSLATE(C60,""auto"",""en"")"),"Majia Township, Pingtung County")</f>
        <v>Majia Township, Pingtung County</v>
      </c>
      <c r="E60" s="4" t="s">
        <v>64</v>
      </c>
      <c r="F60" s="5">
        <f>IFERROR(__xludf.DUMMYFUNCTION("SPLIT(E60,""-"")
"),1200.0)</f>
        <v>1200</v>
      </c>
      <c r="G60" s="5"/>
      <c r="H60" s="5">
        <f t="shared" si="1"/>
        <v>1200</v>
      </c>
      <c r="I60" s="5" t="s">
        <v>321</v>
      </c>
      <c r="J60" s="5" t="str">
        <f t="shared" si="2"/>
        <v>台灣屏東</v>
      </c>
      <c r="K60" s="4" t="s">
        <v>45</v>
      </c>
      <c r="L60" s="5">
        <v>2.0</v>
      </c>
      <c r="M60" s="5" t="s">
        <v>66</v>
      </c>
      <c r="N60" s="5" t="str">
        <f>IFERROR(__xludf.DUMMYFUNCTION("PROPER(GOOGLETRANSLATE(M60, ""auto"", ""en""))"),"Taiwan Coffee Laboratory")</f>
        <v>Taiwan Coffee Laboratory</v>
      </c>
      <c r="O60" s="5" t="s">
        <v>47</v>
      </c>
      <c r="P60" s="5" t="str">
        <f t="shared" si="3"/>
        <v>2021</v>
      </c>
      <c r="Q60" s="5" t="s">
        <v>322</v>
      </c>
      <c r="R60" s="6" t="str">
        <f>IFERROR(__xludf.DUMMYFUNCTION("TEXT(DATEVALUE(REGEXREPLACE(Q60,""(\d+)(st|nd|rd|th)"",""$1"")),""yyyy-mm-dd"")"),"2022-12-30")</f>
        <v>2022-12-30</v>
      </c>
      <c r="S60" s="7" t="s">
        <v>376</v>
      </c>
      <c r="T60" s="5" t="s">
        <v>50</v>
      </c>
      <c r="U60" s="5" t="s">
        <v>180</v>
      </c>
      <c r="V60" s="4" t="s">
        <v>70</v>
      </c>
      <c r="W60" s="4" t="s">
        <v>85</v>
      </c>
      <c r="X60" s="4" t="s">
        <v>167</v>
      </c>
      <c r="Y60" s="4" t="s">
        <v>70</v>
      </c>
      <c r="Z60" s="4" t="s">
        <v>167</v>
      </c>
      <c r="AA60" s="4" t="s">
        <v>154</v>
      </c>
      <c r="AB60" s="4" t="s">
        <v>56</v>
      </c>
      <c r="AC60" s="4" t="s">
        <v>56</v>
      </c>
      <c r="AD60" s="4" t="s">
        <v>56</v>
      </c>
      <c r="AE60" s="4" t="s">
        <v>154</v>
      </c>
      <c r="AF60" s="4" t="s">
        <v>40</v>
      </c>
      <c r="AG60" s="4" t="s">
        <v>405</v>
      </c>
      <c r="AH60" s="4" t="s">
        <v>56</v>
      </c>
      <c r="AI60" s="4" t="s">
        <v>40</v>
      </c>
      <c r="AJ60" s="4" t="s">
        <v>40</v>
      </c>
      <c r="AK60" s="5" t="s">
        <v>74</v>
      </c>
      <c r="AL60" s="4" t="s">
        <v>40</v>
      </c>
      <c r="AM60" s="5" t="s">
        <v>323</v>
      </c>
      <c r="AN60" s="6" t="str">
        <f>IFERROR(__xludf.DUMMYFUNCTION("TEXT(DATEVALUE(REGEXREPLACE(AM60,""(\d+)(st|nd|rd|th)"",""$1"")),""yyyy-mm-dd"")"),"2023-12-30")</f>
        <v>2023-12-30</v>
      </c>
    </row>
    <row r="61">
      <c r="A61" s="4" t="s">
        <v>421</v>
      </c>
      <c r="B61" s="5" t="s">
        <v>108</v>
      </c>
      <c r="C61" s="5" t="s">
        <v>422</v>
      </c>
      <c r="D61" s="6" t="str">
        <f>IFERROR(__xludf.DUMMYFUNCTION("GOOGLETRANSLATE(C61,""auto"",""en"")"),"11/15/117")</f>
        <v>11/15/117</v>
      </c>
      <c r="E61" s="4" t="s">
        <v>348</v>
      </c>
      <c r="F61" s="5">
        <f>IFERROR(__xludf.DUMMYFUNCTION("SPLIT(E61,""-"")
"),1600.0)</f>
        <v>1600</v>
      </c>
      <c r="G61" s="5"/>
      <c r="H61" s="5">
        <f t="shared" si="1"/>
        <v>1600</v>
      </c>
      <c r="I61" s="5" t="s">
        <v>423</v>
      </c>
      <c r="J61" s="5" t="str">
        <f t="shared" si="2"/>
        <v>Huehuetenango</v>
      </c>
      <c r="K61" s="4" t="s">
        <v>257</v>
      </c>
      <c r="L61" s="5">
        <v>30.0</v>
      </c>
      <c r="M61" s="5" t="s">
        <v>350</v>
      </c>
      <c r="N61" s="5" t="str">
        <f>IFERROR(__xludf.DUMMYFUNCTION("PROPER(GOOGLETRANSLATE(M61, ""auto"", ""en""))"),"National Coffee Association")</f>
        <v>National Coffee Association</v>
      </c>
      <c r="O61" s="5" t="s">
        <v>136</v>
      </c>
      <c r="P61" s="5" t="str">
        <f t="shared" si="3"/>
        <v>2022</v>
      </c>
      <c r="Q61" s="5" t="s">
        <v>424</v>
      </c>
      <c r="R61" s="6" t="str">
        <f>IFERROR(__xludf.DUMMYFUNCTION("TEXT(DATEVALUE(REGEXREPLACE(Q61,""(\d+)(st|nd|rd|th)"",""$1"")),""yyyy-mm-dd"")"),"2023-04-28")</f>
        <v>2023-04-28</v>
      </c>
      <c r="S61" s="7" t="s">
        <v>175</v>
      </c>
      <c r="T61" s="5" t="s">
        <v>50</v>
      </c>
      <c r="U61" s="5" t="s">
        <v>69</v>
      </c>
      <c r="V61" s="4" t="s">
        <v>167</v>
      </c>
      <c r="W61" s="4" t="s">
        <v>71</v>
      </c>
      <c r="X61" s="4" t="s">
        <v>167</v>
      </c>
      <c r="Y61" s="4" t="s">
        <v>112</v>
      </c>
      <c r="Z61" s="4" t="s">
        <v>70</v>
      </c>
      <c r="AA61" s="4" t="s">
        <v>167</v>
      </c>
      <c r="AB61" s="4" t="s">
        <v>56</v>
      </c>
      <c r="AC61" s="4" t="s">
        <v>56</v>
      </c>
      <c r="AD61" s="4" t="s">
        <v>56</v>
      </c>
      <c r="AE61" s="4" t="s">
        <v>70</v>
      </c>
      <c r="AF61" s="4" t="s">
        <v>40</v>
      </c>
      <c r="AG61" s="4" t="s">
        <v>425</v>
      </c>
      <c r="AH61" s="4" t="s">
        <v>176</v>
      </c>
      <c r="AI61" s="4" t="s">
        <v>40</v>
      </c>
      <c r="AJ61" s="4" t="s">
        <v>40</v>
      </c>
      <c r="AK61" s="5" t="s">
        <v>59</v>
      </c>
      <c r="AL61" s="4" t="s">
        <v>45</v>
      </c>
      <c r="AM61" s="5" t="s">
        <v>426</v>
      </c>
      <c r="AN61" s="6" t="str">
        <f>IFERROR(__xludf.DUMMYFUNCTION("TEXT(DATEVALUE(REGEXREPLACE(AM61,""(\d+)(st|nd|rd|th)"",""$1"")),""yyyy-mm-dd"")"),"2024-04-27")</f>
        <v>2024-04-27</v>
      </c>
    </row>
    <row r="62">
      <c r="A62" s="4" t="s">
        <v>427</v>
      </c>
      <c r="B62" s="5" t="s">
        <v>108</v>
      </c>
      <c r="C62" s="5" t="s">
        <v>428</v>
      </c>
      <c r="D62" s="6" t="str">
        <f>IFERROR(__xludf.DUMMYFUNCTION("GOOGLETRANSLATE(C62,""auto"",""en"")"),"11/54876/03")</f>
        <v>11/54876/03</v>
      </c>
      <c r="E62" s="4" t="s">
        <v>429</v>
      </c>
      <c r="F62" s="5">
        <f>IFERROR(__xludf.DUMMYFUNCTION("SPLIT(E62,""-"")
"),4895.0)</f>
        <v>4895</v>
      </c>
      <c r="G62" s="5"/>
      <c r="H62" s="5">
        <f t="shared" si="1"/>
        <v>4895</v>
      </c>
      <c r="I62" s="5" t="s">
        <v>430</v>
      </c>
      <c r="J62" s="5" t="str">
        <f t="shared" si="2"/>
        <v>Antigua Guatemala</v>
      </c>
      <c r="K62" s="4" t="s">
        <v>431</v>
      </c>
      <c r="L62" s="5">
        <v>30.0</v>
      </c>
      <c r="M62" s="5" t="s">
        <v>350</v>
      </c>
      <c r="N62" s="5" t="str">
        <f>IFERROR(__xludf.DUMMYFUNCTION("PROPER(GOOGLETRANSLATE(M62, ""auto"", ""en""))"),"National Coffee Association")</f>
        <v>National Coffee Association</v>
      </c>
      <c r="O62" s="5" t="s">
        <v>47</v>
      </c>
      <c r="P62" s="5" t="str">
        <f t="shared" si="3"/>
        <v>2021</v>
      </c>
      <c r="Q62" s="5" t="s">
        <v>432</v>
      </c>
      <c r="R62" s="6" t="str">
        <f>IFERROR(__xludf.DUMMYFUNCTION("TEXT(DATEVALUE(REGEXREPLACE(Q62,""(\d+)(st|nd|rd|th)"",""$1"")),""yyyy-mm-dd"")"),"2022-05-19")</f>
        <v>2022-05-19</v>
      </c>
      <c r="S62" s="7" t="s">
        <v>138</v>
      </c>
      <c r="T62" s="5" t="s">
        <v>50</v>
      </c>
      <c r="U62" s="5" t="s">
        <v>123</v>
      </c>
      <c r="V62" s="4" t="s">
        <v>112</v>
      </c>
      <c r="W62" s="4" t="s">
        <v>71</v>
      </c>
      <c r="X62" s="4" t="s">
        <v>167</v>
      </c>
      <c r="Y62" s="4" t="s">
        <v>112</v>
      </c>
      <c r="Z62" s="4" t="s">
        <v>154</v>
      </c>
      <c r="AA62" s="4" t="s">
        <v>154</v>
      </c>
      <c r="AB62" s="4" t="s">
        <v>56</v>
      </c>
      <c r="AC62" s="4" t="s">
        <v>56</v>
      </c>
      <c r="AD62" s="4" t="s">
        <v>56</v>
      </c>
      <c r="AE62" s="4" t="s">
        <v>112</v>
      </c>
      <c r="AF62" s="4" t="s">
        <v>40</v>
      </c>
      <c r="AG62" s="4" t="s">
        <v>425</v>
      </c>
      <c r="AH62" s="4" t="s">
        <v>342</v>
      </c>
      <c r="AI62" s="4" t="s">
        <v>40</v>
      </c>
      <c r="AJ62" s="4" t="s">
        <v>60</v>
      </c>
      <c r="AK62" s="5" t="s">
        <v>105</v>
      </c>
      <c r="AL62" s="4" t="s">
        <v>76</v>
      </c>
      <c r="AM62" s="5" t="s">
        <v>433</v>
      </c>
      <c r="AN62" s="6" t="str">
        <f>IFERROR(__xludf.DUMMYFUNCTION("TEXT(DATEVALUE(REGEXREPLACE(AM62,""(\d+)(st|nd|rd|th)"",""$1"")),""yyyy-mm-dd"")"),"2023-05-19")</f>
        <v>2023-05-19</v>
      </c>
    </row>
    <row r="63">
      <c r="A63" s="4" t="s">
        <v>434</v>
      </c>
      <c r="B63" s="5" t="s">
        <v>90</v>
      </c>
      <c r="C63" s="4" t="s">
        <v>435</v>
      </c>
      <c r="D63" s="6" t="str">
        <f>IFERROR(__xludf.DUMMYFUNCTION("GOOGLETRANSLATE(C63,""auto"",""en"")"),"12075")</f>
        <v>12075</v>
      </c>
      <c r="E63" s="4" t="s">
        <v>172</v>
      </c>
      <c r="F63" s="5">
        <f>IFERROR(__xludf.DUMMYFUNCTION("SPLIT(E63,""-"")
"),1850.0)</f>
        <v>1850</v>
      </c>
      <c r="G63" s="5"/>
      <c r="H63" s="5">
        <f t="shared" si="1"/>
        <v>1850</v>
      </c>
      <c r="I63" s="5" t="s">
        <v>436</v>
      </c>
      <c r="J63" s="5" t="str">
        <f t="shared" si="2"/>
        <v>Tarrazu</v>
      </c>
      <c r="K63" s="4" t="s">
        <v>437</v>
      </c>
      <c r="L63" s="5">
        <v>69.0</v>
      </c>
      <c r="M63" s="5" t="s">
        <v>416</v>
      </c>
      <c r="N63" s="5" t="str">
        <f>IFERROR(__xludf.DUMMYFUNCTION("PROPER(GOOGLETRANSLATE(M63, ""auto"", ""en""))"),"Specialty Coffee Association Of Costa Rica")</f>
        <v>Specialty Coffee Association Of Costa Rica</v>
      </c>
      <c r="O63" s="5" t="s">
        <v>136</v>
      </c>
      <c r="P63" s="5" t="str">
        <f t="shared" si="3"/>
        <v>2022</v>
      </c>
      <c r="Q63" s="5" t="s">
        <v>438</v>
      </c>
      <c r="R63" s="6" t="str">
        <f>IFERROR(__xludf.DUMMYFUNCTION("TEXT(DATEVALUE(REGEXREPLACE(Q63,""(\d+)(st|nd|rd|th)"",""$1"")),""yyyy-mm-dd"")"),"2023-04-19")</f>
        <v>2023-04-19</v>
      </c>
      <c r="S63" s="7" t="s">
        <v>175</v>
      </c>
      <c r="T63" s="5" t="s">
        <v>50</v>
      </c>
      <c r="U63" s="5" t="s">
        <v>69</v>
      </c>
      <c r="V63" s="4" t="s">
        <v>250</v>
      </c>
      <c r="W63" s="4" t="s">
        <v>112</v>
      </c>
      <c r="X63" s="4" t="s">
        <v>439</v>
      </c>
      <c r="Y63" s="4" t="s">
        <v>167</v>
      </c>
      <c r="Z63" s="4" t="s">
        <v>112</v>
      </c>
      <c r="AA63" s="4" t="s">
        <v>167</v>
      </c>
      <c r="AB63" s="4" t="s">
        <v>56</v>
      </c>
      <c r="AC63" s="4" t="s">
        <v>56</v>
      </c>
      <c r="AD63" s="4" t="s">
        <v>56</v>
      </c>
      <c r="AE63" s="4" t="s">
        <v>52</v>
      </c>
      <c r="AF63" s="4" t="s">
        <v>40</v>
      </c>
      <c r="AG63" s="4" t="s">
        <v>425</v>
      </c>
      <c r="AH63" s="4" t="s">
        <v>56</v>
      </c>
      <c r="AI63" s="4" t="s">
        <v>40</v>
      </c>
      <c r="AJ63" s="4" t="s">
        <v>45</v>
      </c>
      <c r="AK63" s="5" t="s">
        <v>59</v>
      </c>
      <c r="AL63" s="4" t="s">
        <v>76</v>
      </c>
      <c r="AM63" s="5" t="s">
        <v>440</v>
      </c>
      <c r="AN63" s="6" t="str">
        <f>IFERROR(__xludf.DUMMYFUNCTION("TEXT(DATEVALUE(REGEXREPLACE(AM63,""(\d+)(st|nd|rd|th)"",""$1"")),""yyyy-mm-dd"")"),"2024-04-18")</f>
        <v>2024-04-18</v>
      </c>
    </row>
    <row r="64">
      <c r="A64" s="4" t="s">
        <v>441</v>
      </c>
      <c r="B64" s="5" t="s">
        <v>62</v>
      </c>
      <c r="C64" s="5" t="s">
        <v>442</v>
      </c>
      <c r="D64" s="6" t="str">
        <f>IFERROR(__xludf.DUMMYFUNCTION("GOOGLETRANSLATE(C64,""auto"",""en"")"),"A11-Northern Taiwan Specialty Coffee Evaluation")</f>
        <v>A11-Northern Taiwan Specialty Coffee Evaluation</v>
      </c>
      <c r="E64" s="5" t="s">
        <v>443</v>
      </c>
      <c r="F64" s="5">
        <f>IFERROR(__xludf.DUMMYFUNCTION("SPLIT(E64,""-"")
"),200.0)</f>
        <v>200</v>
      </c>
      <c r="G64" s="5">
        <f>IFERROR(__xludf.DUMMYFUNCTION("""COMPUTED_VALUE"""),300.0)</f>
        <v>300</v>
      </c>
      <c r="H64" s="5">
        <f t="shared" si="1"/>
        <v>250</v>
      </c>
      <c r="I64" s="5" t="s">
        <v>372</v>
      </c>
      <c r="J64" s="5" t="str">
        <f t="shared" si="2"/>
        <v>新竹縣</v>
      </c>
      <c r="K64" s="4" t="s">
        <v>45</v>
      </c>
      <c r="L64" s="5">
        <v>16.0</v>
      </c>
      <c r="M64" s="5" t="s">
        <v>66</v>
      </c>
      <c r="N64" s="5" t="str">
        <f>IFERROR(__xludf.DUMMYFUNCTION("PROPER(GOOGLETRANSLATE(M64, ""auto"", ""en""))"),"Taiwan Coffee Laboratory")</f>
        <v>Taiwan Coffee Laboratory</v>
      </c>
      <c r="O64" s="5" t="s">
        <v>47</v>
      </c>
      <c r="P64" s="5" t="str">
        <f t="shared" si="3"/>
        <v>2021</v>
      </c>
      <c r="Q64" s="5" t="s">
        <v>243</v>
      </c>
      <c r="R64" s="6" t="str">
        <f>IFERROR(__xludf.DUMMYFUNCTION("TEXT(DATEVALUE(REGEXREPLACE(Q64,""(\d+)(st|nd|rd|th)"",""$1"")),""yyyy-mm-dd"")"),"2023-01-06")</f>
        <v>2023-01-06</v>
      </c>
      <c r="S64" s="7" t="s">
        <v>216</v>
      </c>
      <c r="T64" s="5" t="s">
        <v>50</v>
      </c>
      <c r="U64" s="5" t="s">
        <v>180</v>
      </c>
      <c r="V64" s="4" t="s">
        <v>112</v>
      </c>
      <c r="W64" s="4" t="s">
        <v>112</v>
      </c>
      <c r="X64" s="4" t="s">
        <v>154</v>
      </c>
      <c r="Y64" s="4" t="s">
        <v>154</v>
      </c>
      <c r="Z64" s="4" t="s">
        <v>154</v>
      </c>
      <c r="AA64" s="4" t="s">
        <v>154</v>
      </c>
      <c r="AB64" s="4" t="s">
        <v>56</v>
      </c>
      <c r="AC64" s="4" t="s">
        <v>56</v>
      </c>
      <c r="AD64" s="4" t="s">
        <v>56</v>
      </c>
      <c r="AE64" s="4" t="s">
        <v>70</v>
      </c>
      <c r="AF64" s="4" t="s">
        <v>40</v>
      </c>
      <c r="AG64" s="4" t="s">
        <v>444</v>
      </c>
      <c r="AH64" s="4" t="s">
        <v>445</v>
      </c>
      <c r="AI64" s="4" t="s">
        <v>40</v>
      </c>
      <c r="AJ64" s="4" t="s">
        <v>40</v>
      </c>
      <c r="AK64" s="5" t="s">
        <v>59</v>
      </c>
      <c r="AL64" s="4" t="s">
        <v>40</v>
      </c>
      <c r="AM64" s="5" t="s">
        <v>245</v>
      </c>
      <c r="AN64" s="6" t="str">
        <f>IFERROR(__xludf.DUMMYFUNCTION("TEXT(DATEVALUE(REGEXREPLACE(AM64,""(\d+)(st|nd|rd|th)"",""$1"")),""yyyy-mm-dd"")"),"2024-01-06")</f>
        <v>2024-01-06</v>
      </c>
    </row>
    <row r="65">
      <c r="A65" s="4" t="s">
        <v>446</v>
      </c>
      <c r="B65" s="5" t="s">
        <v>62</v>
      </c>
      <c r="C65" s="5" t="s">
        <v>271</v>
      </c>
      <c r="D65" s="6" t="str">
        <f>IFERROR(__xludf.DUMMYFUNCTION("GOOGLETRANSLATE(C65,""auto"",""en"")"),"2022 Tainan City Specialty Coffee Evaluation Batch")</f>
        <v>2022 Tainan City Specialty Coffee Evaluation Batch</v>
      </c>
      <c r="E65" s="4" t="s">
        <v>447</v>
      </c>
      <c r="F65" s="5">
        <f>IFERROR(__xludf.DUMMYFUNCTION("SPLIT(E65,""-"")
"),700.0)</f>
        <v>700</v>
      </c>
      <c r="G65" s="5"/>
      <c r="H65" s="5">
        <f t="shared" si="1"/>
        <v>700</v>
      </c>
      <c r="I65" s="5" t="s">
        <v>273</v>
      </c>
      <c r="J65" s="5" t="str">
        <f t="shared" si="2"/>
        <v>Dongshan Dist., Tainan City</v>
      </c>
      <c r="K65" s="4" t="s">
        <v>183</v>
      </c>
      <c r="L65" s="5">
        <v>5.0</v>
      </c>
      <c r="M65" s="5" t="s">
        <v>66</v>
      </c>
      <c r="N65" s="5" t="str">
        <f>IFERROR(__xludf.DUMMYFUNCTION("PROPER(GOOGLETRANSLATE(M65, ""auto"", ""en""))"),"Taiwan Coffee Laboratory")</f>
        <v>Taiwan Coffee Laboratory</v>
      </c>
      <c r="O65" s="4" t="s">
        <v>94</v>
      </c>
      <c r="P65" s="5" t="str">
        <f t="shared" si="3"/>
        <v>2022</v>
      </c>
      <c r="Q65" s="5" t="s">
        <v>274</v>
      </c>
      <c r="R65" s="6" t="str">
        <f>IFERROR(__xludf.DUMMYFUNCTION("TEXT(DATEVALUE(REGEXREPLACE(Q65,""(\d+)(st|nd|rd|th)"",""$1"")),""yyyy-mm-dd"")"),"2022-06-08")</f>
        <v>2022-06-08</v>
      </c>
      <c r="S65" s="7" t="s">
        <v>68</v>
      </c>
      <c r="T65" s="5" t="s">
        <v>50</v>
      </c>
      <c r="U65" s="5" t="s">
        <v>180</v>
      </c>
      <c r="V65" s="4" t="s">
        <v>86</v>
      </c>
      <c r="W65" s="4" t="s">
        <v>112</v>
      </c>
      <c r="X65" s="4" t="s">
        <v>167</v>
      </c>
      <c r="Y65" s="4" t="s">
        <v>112</v>
      </c>
      <c r="Z65" s="4" t="s">
        <v>167</v>
      </c>
      <c r="AA65" s="4" t="s">
        <v>167</v>
      </c>
      <c r="AB65" s="4" t="s">
        <v>56</v>
      </c>
      <c r="AC65" s="4" t="s">
        <v>56</v>
      </c>
      <c r="AD65" s="4" t="s">
        <v>56</v>
      </c>
      <c r="AE65" s="4" t="s">
        <v>154</v>
      </c>
      <c r="AF65" s="4" t="s">
        <v>40</v>
      </c>
      <c r="AG65" s="4" t="s">
        <v>444</v>
      </c>
      <c r="AH65" s="4" t="s">
        <v>155</v>
      </c>
      <c r="AI65" s="4" t="s">
        <v>40</v>
      </c>
      <c r="AJ65" s="4" t="s">
        <v>40</v>
      </c>
      <c r="AK65" s="5" t="s">
        <v>59</v>
      </c>
      <c r="AL65" s="4" t="s">
        <v>40</v>
      </c>
      <c r="AM65" s="5" t="s">
        <v>275</v>
      </c>
      <c r="AN65" s="6" t="str">
        <f>IFERROR(__xludf.DUMMYFUNCTION("TEXT(DATEVALUE(REGEXREPLACE(AM65,""(\d+)(st|nd|rd|th)"",""$1"")),""yyyy-mm-dd"")"),"2023-06-08")</f>
        <v>2023-06-08</v>
      </c>
    </row>
    <row r="66">
      <c r="A66" s="4" t="s">
        <v>448</v>
      </c>
      <c r="B66" s="5" t="s">
        <v>449</v>
      </c>
      <c r="C66" s="5" t="s">
        <v>450</v>
      </c>
      <c r="D66" s="6" t="str">
        <f>IFERROR(__xludf.DUMMYFUNCTION("GOOGLETRANSLATE(C66,""auto"",""en"")"),"10 1.1")</f>
        <v>10 1.1</v>
      </c>
      <c r="E66" s="4" t="s">
        <v>231</v>
      </c>
      <c r="F66" s="5">
        <f>IFERROR(__xludf.DUMMYFUNCTION("SPLIT(E66,""-"")
"),1350.0)</f>
        <v>1350</v>
      </c>
      <c r="G66" s="5"/>
      <c r="H66" s="5">
        <f t="shared" si="1"/>
        <v>1350</v>
      </c>
      <c r="I66" s="5" t="s">
        <v>451</v>
      </c>
      <c r="J66" s="5" t="str">
        <f t="shared" si="2"/>
        <v>Esteli</v>
      </c>
      <c r="K66" s="4" t="s">
        <v>452</v>
      </c>
      <c r="L66" s="5">
        <v>45.0</v>
      </c>
      <c r="M66" s="5" t="s">
        <v>453</v>
      </c>
      <c r="N66" s="5" t="str">
        <f>IFERROR(__xludf.DUMMYFUNCTION("PROPER(GOOGLETRANSLATE(M66, ""auto"", ""en""))"),"Specialty Coffee Association")</f>
        <v>Specialty Coffee Association</v>
      </c>
      <c r="O66" s="5" t="s">
        <v>47</v>
      </c>
      <c r="P66" s="5" t="str">
        <f t="shared" si="3"/>
        <v>2021</v>
      </c>
      <c r="Q66" s="5" t="s">
        <v>454</v>
      </c>
      <c r="R66" s="6" t="str">
        <f>IFERROR(__xludf.DUMMYFUNCTION("TEXT(DATEVALUE(REGEXREPLACE(Q66,""(\d+)(st|nd|rd|th)"",""$1"")),""yyyy-mm-dd"")"),"2022-06-09")</f>
        <v>2022-06-09</v>
      </c>
      <c r="S66" s="7" t="s">
        <v>455</v>
      </c>
      <c r="T66" s="5" t="s">
        <v>50</v>
      </c>
      <c r="U66" s="5" t="s">
        <v>123</v>
      </c>
      <c r="V66" s="4" t="s">
        <v>70</v>
      </c>
      <c r="W66" s="4" t="s">
        <v>154</v>
      </c>
      <c r="X66" s="4" t="s">
        <v>167</v>
      </c>
      <c r="Y66" s="4" t="s">
        <v>167</v>
      </c>
      <c r="Z66" s="4" t="s">
        <v>112</v>
      </c>
      <c r="AA66" s="4" t="s">
        <v>154</v>
      </c>
      <c r="AB66" s="4" t="s">
        <v>56</v>
      </c>
      <c r="AC66" s="4" t="s">
        <v>56</v>
      </c>
      <c r="AD66" s="4" t="s">
        <v>56</v>
      </c>
      <c r="AE66" s="4" t="s">
        <v>71</v>
      </c>
      <c r="AF66" s="4" t="s">
        <v>40</v>
      </c>
      <c r="AG66" s="4" t="s">
        <v>444</v>
      </c>
      <c r="AH66" s="4" t="s">
        <v>281</v>
      </c>
      <c r="AI66" s="4" t="s">
        <v>45</v>
      </c>
      <c r="AJ66" s="4" t="s">
        <v>40</v>
      </c>
      <c r="AK66" s="5" t="s">
        <v>59</v>
      </c>
      <c r="AL66" s="4" t="s">
        <v>76</v>
      </c>
      <c r="AM66" s="5" t="s">
        <v>456</v>
      </c>
      <c r="AN66" s="6" t="str">
        <f>IFERROR(__xludf.DUMMYFUNCTION("TEXT(DATEVALUE(REGEXREPLACE(AM66,""(\d+)(st|nd|rd|th)"",""$1"")),""yyyy-mm-dd"")"),"2023-06-09")</f>
        <v>2023-06-09</v>
      </c>
    </row>
    <row r="67">
      <c r="A67" s="4" t="s">
        <v>284</v>
      </c>
      <c r="B67" s="5" t="s">
        <v>62</v>
      </c>
      <c r="C67" s="5" t="s">
        <v>457</v>
      </c>
      <c r="D67" s="6" t="str">
        <f>IFERROR(__xludf.DUMMYFUNCTION("GOOGLETRANSLATE(C67,""auto"",""en"")"),"The 2022 Pacific Rim Coffee Summit,T036")</f>
        <v>The 2022 Pacific Rim Coffee Summit,T036</v>
      </c>
      <c r="E67" s="4" t="s">
        <v>117</v>
      </c>
      <c r="F67" s="5">
        <f>IFERROR(__xludf.DUMMYFUNCTION("SPLIT(E67,""-"")
"),1250.0)</f>
        <v>1250</v>
      </c>
      <c r="G67" s="5"/>
      <c r="H67" s="5">
        <f t="shared" si="1"/>
        <v>1250</v>
      </c>
      <c r="I67" s="5" t="s">
        <v>65</v>
      </c>
      <c r="J67" s="5" t="str">
        <f t="shared" si="2"/>
        <v>Chiayi</v>
      </c>
      <c r="K67" s="4" t="s">
        <v>45</v>
      </c>
      <c r="L67" s="5">
        <v>80.0</v>
      </c>
      <c r="M67" s="5" t="s">
        <v>66</v>
      </c>
      <c r="N67" s="5" t="str">
        <f>IFERROR(__xludf.DUMMYFUNCTION("PROPER(GOOGLETRANSLATE(M67, ""auto"", ""en""))"),"Taiwan Coffee Laboratory")</f>
        <v>Taiwan Coffee Laboratory</v>
      </c>
      <c r="O67" s="5" t="s">
        <v>47</v>
      </c>
      <c r="P67" s="5" t="str">
        <f t="shared" si="3"/>
        <v>2021</v>
      </c>
      <c r="Q67" s="5" t="s">
        <v>67</v>
      </c>
      <c r="R67" s="6" t="str">
        <f>IFERROR(__xludf.DUMMYFUNCTION("TEXT(DATEVALUE(REGEXREPLACE(Q67,""(\d+)(st|nd|rd|th)"",""$1"")),""yyyy-mm-dd"")"),"2022-11-15")</f>
        <v>2022-11-15</v>
      </c>
      <c r="S67" s="7" t="s">
        <v>68</v>
      </c>
      <c r="T67" s="5" t="s">
        <v>50</v>
      </c>
      <c r="U67" s="5" t="s">
        <v>69</v>
      </c>
      <c r="V67" s="4" t="s">
        <v>85</v>
      </c>
      <c r="W67" s="4" t="s">
        <v>112</v>
      </c>
      <c r="X67" s="4" t="s">
        <v>167</v>
      </c>
      <c r="Y67" s="4" t="s">
        <v>167</v>
      </c>
      <c r="Z67" s="4" t="s">
        <v>167</v>
      </c>
      <c r="AA67" s="4" t="s">
        <v>154</v>
      </c>
      <c r="AB67" s="4" t="s">
        <v>56</v>
      </c>
      <c r="AC67" s="4" t="s">
        <v>56</v>
      </c>
      <c r="AD67" s="4" t="s">
        <v>56</v>
      </c>
      <c r="AE67" s="4" t="s">
        <v>70</v>
      </c>
      <c r="AF67" s="4" t="s">
        <v>40</v>
      </c>
      <c r="AG67" s="4" t="s">
        <v>444</v>
      </c>
      <c r="AH67" s="4" t="s">
        <v>397</v>
      </c>
      <c r="AI67" s="4" t="s">
        <v>40</v>
      </c>
      <c r="AJ67" s="4" t="s">
        <v>40</v>
      </c>
      <c r="AK67" s="5" t="s">
        <v>59</v>
      </c>
      <c r="AL67" s="4" t="s">
        <v>76</v>
      </c>
      <c r="AM67" s="5" t="s">
        <v>75</v>
      </c>
      <c r="AN67" s="6" t="str">
        <f>IFERROR(__xludf.DUMMYFUNCTION("TEXT(DATEVALUE(REGEXREPLACE(AM67,""(\d+)(st|nd|rd|th)"",""$1"")),""yyyy-mm-dd"")"),"2023-11-15")</f>
        <v>2023-11-15</v>
      </c>
    </row>
    <row r="68">
      <c r="A68" s="4" t="s">
        <v>431</v>
      </c>
      <c r="B68" s="5" t="s">
        <v>62</v>
      </c>
      <c r="C68" s="5" t="s">
        <v>458</v>
      </c>
      <c r="D68" s="6" t="str">
        <f>IFERROR(__xludf.DUMMYFUNCTION("GOOGLETRANSLATE(C68,""auto"",""en"")"),"The 2022 Pacific Rim Coffee Summit,T042")</f>
        <v>The 2022 Pacific Rim Coffee Summit,T042</v>
      </c>
      <c r="E68" s="4" t="s">
        <v>459</v>
      </c>
      <c r="F68" s="5">
        <f>IFERROR(__xludf.DUMMYFUNCTION("SPLIT(E68,""-"")
"),1450.0)</f>
        <v>1450</v>
      </c>
      <c r="G68" s="5"/>
      <c r="H68" s="5">
        <f t="shared" si="1"/>
        <v>1450</v>
      </c>
      <c r="I68" s="5" t="s">
        <v>65</v>
      </c>
      <c r="J68" s="5" t="str">
        <f t="shared" si="2"/>
        <v>Chiayi</v>
      </c>
      <c r="K68" s="4" t="s">
        <v>45</v>
      </c>
      <c r="L68" s="5">
        <v>104.0</v>
      </c>
      <c r="M68" s="5" t="s">
        <v>66</v>
      </c>
      <c r="N68" s="5" t="str">
        <f>IFERROR(__xludf.DUMMYFUNCTION("PROPER(GOOGLETRANSLATE(M68, ""auto"", ""en""))"),"Taiwan Coffee Laboratory")</f>
        <v>Taiwan Coffee Laboratory</v>
      </c>
      <c r="O68" s="5" t="s">
        <v>47</v>
      </c>
      <c r="P68" s="5" t="str">
        <f t="shared" si="3"/>
        <v>2021</v>
      </c>
      <c r="Q68" s="5" t="s">
        <v>67</v>
      </c>
      <c r="R68" s="6" t="str">
        <f>IFERROR(__xludf.DUMMYFUNCTION("TEXT(DATEVALUE(REGEXREPLACE(Q68,""(\d+)(st|nd|rd|th)"",""$1"")),""yyyy-mm-dd"")"),"2022-11-15")</f>
        <v>2022-11-15</v>
      </c>
      <c r="S68" s="7" t="s">
        <v>126</v>
      </c>
      <c r="T68" s="5" t="s">
        <v>50</v>
      </c>
      <c r="U68" s="5" t="s">
        <v>123</v>
      </c>
      <c r="V68" s="4" t="s">
        <v>112</v>
      </c>
      <c r="W68" s="4" t="s">
        <v>71</v>
      </c>
      <c r="X68" s="4" t="s">
        <v>167</v>
      </c>
      <c r="Y68" s="4" t="s">
        <v>154</v>
      </c>
      <c r="Z68" s="4" t="s">
        <v>167</v>
      </c>
      <c r="AA68" s="4" t="s">
        <v>154</v>
      </c>
      <c r="AB68" s="4" t="s">
        <v>56</v>
      </c>
      <c r="AC68" s="4" t="s">
        <v>56</v>
      </c>
      <c r="AD68" s="4" t="s">
        <v>56</v>
      </c>
      <c r="AE68" s="4" t="s">
        <v>70</v>
      </c>
      <c r="AF68" s="4" t="s">
        <v>40</v>
      </c>
      <c r="AG68" s="4" t="s">
        <v>444</v>
      </c>
      <c r="AH68" s="4" t="s">
        <v>196</v>
      </c>
      <c r="AI68" s="4" t="s">
        <v>40</v>
      </c>
      <c r="AJ68" s="4" t="s">
        <v>40</v>
      </c>
      <c r="AK68" s="5" t="s">
        <v>59</v>
      </c>
      <c r="AL68" s="4" t="s">
        <v>40</v>
      </c>
      <c r="AM68" s="5" t="s">
        <v>75</v>
      </c>
      <c r="AN68" s="6" t="str">
        <f>IFERROR(__xludf.DUMMYFUNCTION("TEXT(DATEVALUE(REGEXREPLACE(AM68,""(\d+)(st|nd|rd|th)"",""$1"")),""yyyy-mm-dd"")"),"2023-11-15")</f>
        <v>2023-11-15</v>
      </c>
    </row>
    <row r="69">
      <c r="A69" s="4" t="s">
        <v>460</v>
      </c>
      <c r="B69" s="5" t="s">
        <v>461</v>
      </c>
      <c r="C69" s="5" t="s">
        <v>462</v>
      </c>
      <c r="D69" s="6" t="str">
        <f>IFERROR(__xludf.DUMMYFUNCTION("GOOGLETRANSLATE(C69,""auto"",""en"")"),"The 2022 Pacific Rim Coffee Summit,VN02")</f>
        <v>The 2022 Pacific Rim Coffee Summit,VN02</v>
      </c>
      <c r="E69" s="4" t="s">
        <v>299</v>
      </c>
      <c r="F69" s="5">
        <f>IFERROR(__xludf.DUMMYFUNCTION("SPLIT(E69,""-"")
"),650.0)</f>
        <v>650</v>
      </c>
      <c r="G69" s="5"/>
      <c r="H69" s="5">
        <f t="shared" si="1"/>
        <v>650</v>
      </c>
      <c r="I69" s="5" t="s">
        <v>463</v>
      </c>
      <c r="J69" s="5" t="str">
        <f t="shared" si="2"/>
        <v>Quang Tri</v>
      </c>
      <c r="K69" s="4" t="s">
        <v>60</v>
      </c>
      <c r="L69" s="5">
        <v>5.0</v>
      </c>
      <c r="M69" s="5" t="s">
        <v>66</v>
      </c>
      <c r="N69" s="5" t="str">
        <f>IFERROR(__xludf.DUMMYFUNCTION("PROPER(GOOGLETRANSLATE(M69, ""auto"", ""en""))"),"Taiwan Coffee Laboratory")</f>
        <v>Taiwan Coffee Laboratory</v>
      </c>
      <c r="O69" s="5" t="s">
        <v>47</v>
      </c>
      <c r="P69" s="5" t="str">
        <f t="shared" si="3"/>
        <v>2021</v>
      </c>
      <c r="Q69" s="5" t="s">
        <v>67</v>
      </c>
      <c r="R69" s="6" t="str">
        <f>IFERROR(__xludf.DUMMYFUNCTION("TEXT(DATEVALUE(REGEXREPLACE(Q69,""(\d+)(st|nd|rd|th)"",""$1"")),""yyyy-mm-dd"")"),"2022-11-15")</f>
        <v>2022-11-15</v>
      </c>
      <c r="S69" s="7" t="s">
        <v>225</v>
      </c>
      <c r="T69" s="5" t="s">
        <v>50</v>
      </c>
      <c r="U69" s="5" t="s">
        <v>123</v>
      </c>
      <c r="V69" s="4" t="s">
        <v>71</v>
      </c>
      <c r="W69" s="4" t="s">
        <v>112</v>
      </c>
      <c r="X69" s="4" t="s">
        <v>154</v>
      </c>
      <c r="Y69" s="4" t="s">
        <v>167</v>
      </c>
      <c r="Z69" s="4" t="s">
        <v>250</v>
      </c>
      <c r="AA69" s="4" t="s">
        <v>112</v>
      </c>
      <c r="AB69" s="4" t="s">
        <v>56</v>
      </c>
      <c r="AC69" s="4" t="s">
        <v>56</v>
      </c>
      <c r="AD69" s="4" t="s">
        <v>56</v>
      </c>
      <c r="AE69" s="4" t="s">
        <v>70</v>
      </c>
      <c r="AF69" s="4" t="s">
        <v>40</v>
      </c>
      <c r="AG69" s="4" t="s">
        <v>444</v>
      </c>
      <c r="AH69" s="4" t="s">
        <v>104</v>
      </c>
      <c r="AI69" s="4" t="s">
        <v>40</v>
      </c>
      <c r="AJ69" s="4" t="s">
        <v>40</v>
      </c>
      <c r="AK69" s="5" t="s">
        <v>156</v>
      </c>
      <c r="AL69" s="4" t="s">
        <v>40</v>
      </c>
      <c r="AM69" s="5" t="s">
        <v>75</v>
      </c>
      <c r="AN69" s="6" t="str">
        <f>IFERROR(__xludf.DUMMYFUNCTION("TEXT(DATEVALUE(REGEXREPLACE(AM69,""(\d+)(st|nd|rd|th)"",""$1"")),""yyyy-mm-dd"")"),"2023-11-15")</f>
        <v>2023-11-15</v>
      </c>
    </row>
    <row r="70">
      <c r="A70" s="4" t="s">
        <v>464</v>
      </c>
      <c r="B70" s="5" t="s">
        <v>90</v>
      </c>
      <c r="C70" s="5" t="s">
        <v>465</v>
      </c>
      <c r="D70" s="6" t="str">
        <f>IFERROR(__xludf.DUMMYFUNCTION("GOOGLETRANSLATE(C70,""auto"",""en"")"),"CQU2022018")</f>
        <v>CQU2022018</v>
      </c>
      <c r="E70" s="4" t="s">
        <v>92</v>
      </c>
      <c r="F70" s="5">
        <f>IFERROR(__xludf.DUMMYFUNCTION("SPLIT(E70,""-"")
"),1900.0)</f>
        <v>1900</v>
      </c>
      <c r="G70" s="5"/>
      <c r="H70" s="5">
        <f t="shared" si="1"/>
        <v>1900</v>
      </c>
      <c r="I70" s="5" t="s">
        <v>93</v>
      </c>
      <c r="J70" s="5" t="str">
        <f t="shared" si="2"/>
        <v>Los Santos,Tarrazu</v>
      </c>
      <c r="K70" s="4" t="s">
        <v>45</v>
      </c>
      <c r="L70" s="5">
        <v>22.0</v>
      </c>
      <c r="M70" s="5" t="s">
        <v>46</v>
      </c>
      <c r="N70" s="5" t="str">
        <f>IFERROR(__xludf.DUMMYFUNCTION("PROPER(GOOGLETRANSLATE(M70, ""auto"", ""en""))"),"Japan Coffee Exchange")</f>
        <v>Japan Coffee Exchange</v>
      </c>
      <c r="O70" s="4" t="s">
        <v>94</v>
      </c>
      <c r="P70" s="5" t="str">
        <f t="shared" si="3"/>
        <v>2022</v>
      </c>
      <c r="Q70" s="5" t="s">
        <v>466</v>
      </c>
      <c r="R70" s="6" t="str">
        <f>IFERROR(__xludf.DUMMYFUNCTION("TEXT(DATEVALUE(REGEXREPLACE(Q70,""(\d+)(st|nd|rd|th)"",""$1"")),""yyyy-mm-dd"")"),"2022-10-04")</f>
        <v>2022-10-04</v>
      </c>
      <c r="S70" s="7" t="s">
        <v>68</v>
      </c>
      <c r="T70" s="5" t="s">
        <v>50</v>
      </c>
      <c r="U70" s="5" t="s">
        <v>69</v>
      </c>
      <c r="V70" s="4" t="s">
        <v>154</v>
      </c>
      <c r="W70" s="4" t="s">
        <v>112</v>
      </c>
      <c r="X70" s="4" t="s">
        <v>167</v>
      </c>
      <c r="Y70" s="4" t="s">
        <v>112</v>
      </c>
      <c r="Z70" s="4" t="s">
        <v>154</v>
      </c>
      <c r="AA70" s="4" t="s">
        <v>154</v>
      </c>
      <c r="AB70" s="4" t="s">
        <v>56</v>
      </c>
      <c r="AC70" s="4" t="s">
        <v>56</v>
      </c>
      <c r="AD70" s="4" t="s">
        <v>56</v>
      </c>
      <c r="AE70" s="4" t="s">
        <v>70</v>
      </c>
      <c r="AF70" s="4" t="s">
        <v>40</v>
      </c>
      <c r="AG70" s="4" t="s">
        <v>467</v>
      </c>
      <c r="AH70" s="4" t="s">
        <v>367</v>
      </c>
      <c r="AI70" s="4" t="s">
        <v>40</v>
      </c>
      <c r="AJ70" s="4" t="s">
        <v>45</v>
      </c>
      <c r="AK70" s="5" t="s">
        <v>59</v>
      </c>
      <c r="AL70" s="4" t="s">
        <v>40</v>
      </c>
      <c r="AM70" s="5" t="s">
        <v>468</v>
      </c>
      <c r="AN70" s="6" t="str">
        <f>IFERROR(__xludf.DUMMYFUNCTION("TEXT(DATEVALUE(REGEXREPLACE(AM70,""(\d+)(st|nd|rd|th)"",""$1"")),""yyyy-mm-dd"")"),"2023-10-04")</f>
        <v>2023-10-04</v>
      </c>
    </row>
    <row r="71">
      <c r="A71" s="4" t="s">
        <v>469</v>
      </c>
      <c r="B71" s="5" t="s">
        <v>62</v>
      </c>
      <c r="C71" s="5" t="s">
        <v>470</v>
      </c>
      <c r="D71" s="6" t="str">
        <f>IFERROR(__xludf.DUMMYFUNCTION("GOOGLETRANSLATE(C71,""auto"",""en"")"),"A37-Northern Taiwan Specialty Coffee Evaluation")</f>
        <v>A37-Northern Taiwan Specialty Coffee Evaluation</v>
      </c>
      <c r="E71" s="4" t="s">
        <v>471</v>
      </c>
      <c r="F71" s="5">
        <f>IFERROR(__xludf.DUMMYFUNCTION("SPLIT(E71,""-"")
"),520.0)</f>
        <v>520</v>
      </c>
      <c r="G71" s="5"/>
      <c r="H71" s="5">
        <f t="shared" si="1"/>
        <v>520</v>
      </c>
      <c r="I71" s="5" t="s">
        <v>327</v>
      </c>
      <c r="J71" s="5" t="str">
        <f t="shared" si="2"/>
        <v>苗栗縣</v>
      </c>
      <c r="K71" s="4" t="s">
        <v>45</v>
      </c>
      <c r="L71" s="5">
        <v>300.0</v>
      </c>
      <c r="M71" s="5" t="s">
        <v>66</v>
      </c>
      <c r="N71" s="5" t="str">
        <f>IFERROR(__xludf.DUMMYFUNCTION("PROPER(GOOGLETRANSLATE(M71, ""auto"", ""en""))"),"Taiwan Coffee Laboratory")</f>
        <v>Taiwan Coffee Laboratory</v>
      </c>
      <c r="O71" s="5" t="s">
        <v>47</v>
      </c>
      <c r="P71" s="5" t="str">
        <f t="shared" si="3"/>
        <v>2021</v>
      </c>
      <c r="Q71" s="5" t="s">
        <v>243</v>
      </c>
      <c r="R71" s="6" t="str">
        <f>IFERROR(__xludf.DUMMYFUNCTION("TEXT(DATEVALUE(REGEXREPLACE(Q71,""(\d+)(st|nd|rd|th)"",""$1"")),""yyyy-mm-dd"")"),"2023-01-06")</f>
        <v>2023-01-06</v>
      </c>
      <c r="S71" s="7" t="s">
        <v>234</v>
      </c>
      <c r="T71" s="5" t="s">
        <v>50</v>
      </c>
      <c r="U71" s="5" t="s">
        <v>180</v>
      </c>
      <c r="V71" s="4" t="s">
        <v>154</v>
      </c>
      <c r="W71" s="4" t="s">
        <v>70</v>
      </c>
      <c r="X71" s="4" t="s">
        <v>112</v>
      </c>
      <c r="Y71" s="4" t="s">
        <v>154</v>
      </c>
      <c r="Z71" s="4" t="s">
        <v>154</v>
      </c>
      <c r="AA71" s="4" t="s">
        <v>154</v>
      </c>
      <c r="AB71" s="4" t="s">
        <v>56</v>
      </c>
      <c r="AC71" s="4" t="s">
        <v>56</v>
      </c>
      <c r="AD71" s="4" t="s">
        <v>56</v>
      </c>
      <c r="AE71" s="4" t="s">
        <v>154</v>
      </c>
      <c r="AF71" s="4" t="s">
        <v>40</v>
      </c>
      <c r="AG71" s="4" t="s">
        <v>467</v>
      </c>
      <c r="AH71" s="4" t="s">
        <v>189</v>
      </c>
      <c r="AI71" s="4" t="s">
        <v>40</v>
      </c>
      <c r="AJ71" s="4" t="s">
        <v>40</v>
      </c>
      <c r="AK71" s="5" t="s">
        <v>74</v>
      </c>
      <c r="AL71" s="4" t="s">
        <v>40</v>
      </c>
      <c r="AM71" s="5" t="s">
        <v>245</v>
      </c>
      <c r="AN71" s="6" t="str">
        <f>IFERROR(__xludf.DUMMYFUNCTION("TEXT(DATEVALUE(REGEXREPLACE(AM71,""(\d+)(st|nd|rd|th)"",""$1"")),""yyyy-mm-dd"")"),"2024-01-06")</f>
        <v>2024-01-06</v>
      </c>
    </row>
    <row r="72">
      <c r="A72" s="4" t="s">
        <v>174</v>
      </c>
      <c r="B72" s="5" t="s">
        <v>472</v>
      </c>
      <c r="C72" s="4" t="s">
        <v>295</v>
      </c>
      <c r="D72" s="6" t="str">
        <f>IFERROR(__xludf.DUMMYFUNCTION("GOOGLETRANSLATE(C72,""auto"",""en"")"),"36")</f>
        <v>36</v>
      </c>
      <c r="E72" s="4" t="s">
        <v>473</v>
      </c>
      <c r="F72" s="5">
        <f>IFERROR(__xludf.DUMMYFUNCTION("SPLIT(E72,""-"")
"),1368.0)</f>
        <v>1368</v>
      </c>
      <c r="G72" s="5"/>
      <c r="H72" s="5">
        <f t="shared" si="1"/>
        <v>1368</v>
      </c>
      <c r="I72" s="5" t="s">
        <v>474</v>
      </c>
      <c r="J72" s="5" t="str">
        <f t="shared" si="2"/>
        <v>Centro, Lagunetillas-Ajuterique, Comayagua</v>
      </c>
      <c r="K72" s="4" t="s">
        <v>475</v>
      </c>
      <c r="L72" s="5">
        <v>69.0</v>
      </c>
      <c r="M72" s="5" t="s">
        <v>476</v>
      </c>
      <c r="N72" s="5" t="str">
        <f>IFERROR(__xludf.DUMMYFUNCTION("PROPER(GOOGLETRANSLATE(M72, ""auto"", ""en""))"),"Honduran Coffee Institute")</f>
        <v>Honduran Coffee Institute</v>
      </c>
      <c r="O72" s="5" t="s">
        <v>136</v>
      </c>
      <c r="P72" s="5" t="str">
        <f t="shared" si="3"/>
        <v>2022</v>
      </c>
      <c r="Q72" s="5" t="s">
        <v>477</v>
      </c>
      <c r="R72" s="6" t="str">
        <f>IFERROR(__xludf.DUMMYFUNCTION("TEXT(DATEVALUE(REGEXREPLACE(Q72,""(\d+)(st|nd|rd|th)"",""$1"")),""yyyy-mm-dd"")"),"2023-04-25")</f>
        <v>2023-04-25</v>
      </c>
      <c r="S72" s="7" t="s">
        <v>359</v>
      </c>
      <c r="T72" s="5" t="s">
        <v>50</v>
      </c>
      <c r="U72" s="5" t="s">
        <v>69</v>
      </c>
      <c r="V72" s="4" t="s">
        <v>112</v>
      </c>
      <c r="W72" s="4" t="s">
        <v>70</v>
      </c>
      <c r="X72" s="4" t="s">
        <v>154</v>
      </c>
      <c r="Y72" s="4" t="s">
        <v>154</v>
      </c>
      <c r="Z72" s="4" t="s">
        <v>154</v>
      </c>
      <c r="AA72" s="4" t="s">
        <v>154</v>
      </c>
      <c r="AB72" s="4" t="s">
        <v>56</v>
      </c>
      <c r="AC72" s="4" t="s">
        <v>56</v>
      </c>
      <c r="AD72" s="4" t="s">
        <v>56</v>
      </c>
      <c r="AE72" s="4" t="s">
        <v>154</v>
      </c>
      <c r="AF72" s="4" t="s">
        <v>40</v>
      </c>
      <c r="AG72" s="4" t="s">
        <v>467</v>
      </c>
      <c r="AH72" s="4" t="s">
        <v>226</v>
      </c>
      <c r="AI72" s="4" t="s">
        <v>40</v>
      </c>
      <c r="AJ72" s="4" t="s">
        <v>40</v>
      </c>
      <c r="AK72" s="5" t="s">
        <v>59</v>
      </c>
      <c r="AL72" s="4" t="s">
        <v>60</v>
      </c>
      <c r="AM72" s="5" t="s">
        <v>478</v>
      </c>
      <c r="AN72" s="6" t="str">
        <f>IFERROR(__xludf.DUMMYFUNCTION("TEXT(DATEVALUE(REGEXREPLACE(AM72,""(\d+)(st|nd|rd|th)"",""$1"")),""yyyy-mm-dd"")"),"2024-04-24")</f>
        <v>2024-04-24</v>
      </c>
    </row>
    <row r="73">
      <c r="A73" s="4" t="s">
        <v>479</v>
      </c>
      <c r="B73" s="5" t="s">
        <v>142</v>
      </c>
      <c r="C73" s="4" t="s">
        <v>480</v>
      </c>
      <c r="D73" s="6" t="str">
        <f>IFERROR(__xludf.DUMMYFUNCTION("GOOGLETRANSLATE(C73,""auto"",""en"")"),"712")</f>
        <v>712</v>
      </c>
      <c r="E73" s="4" t="s">
        <v>481</v>
      </c>
      <c r="F73" s="5">
        <f>IFERROR(__xludf.DUMMYFUNCTION("SPLIT(E73,""-"")
"),1943.0)</f>
        <v>1943</v>
      </c>
      <c r="G73" s="5"/>
      <c r="H73" s="5">
        <f t="shared" si="1"/>
        <v>1943</v>
      </c>
      <c r="I73" s="5" t="s">
        <v>142</v>
      </c>
      <c r="J73" s="5" t="str">
        <f t="shared" si="2"/>
        <v>Ethiopia</v>
      </c>
      <c r="K73" s="4" t="s">
        <v>482</v>
      </c>
      <c r="L73" s="5">
        <v>30.0</v>
      </c>
      <c r="M73" s="5" t="s">
        <v>194</v>
      </c>
      <c r="N73" s="5" t="str">
        <f>IFERROR(__xludf.DUMMYFUNCTION("PROPER(GOOGLETRANSLATE(M73, ""auto"", ""en""))"),"Blossom Valley International")</f>
        <v>Blossom Valley International</v>
      </c>
      <c r="O73" s="5" t="s">
        <v>47</v>
      </c>
      <c r="P73" s="5" t="str">
        <f t="shared" si="3"/>
        <v>2021</v>
      </c>
      <c r="Q73" s="5" t="s">
        <v>483</v>
      </c>
      <c r="R73" s="6" t="str">
        <f>IFERROR(__xludf.DUMMYFUNCTION("TEXT(DATEVALUE(REGEXREPLACE(Q73,""(\d+)(st|nd|rd|th)"",""$1"")),""yyyy-mm-dd"")"),"2022-08-23")</f>
        <v>2022-08-23</v>
      </c>
      <c r="S73" s="7" t="s">
        <v>147</v>
      </c>
      <c r="T73" s="5" t="s">
        <v>50</v>
      </c>
      <c r="U73" s="5" t="s">
        <v>69</v>
      </c>
      <c r="V73" s="4" t="s">
        <v>70</v>
      </c>
      <c r="W73" s="4" t="s">
        <v>112</v>
      </c>
      <c r="X73" s="4" t="s">
        <v>154</v>
      </c>
      <c r="Y73" s="4" t="s">
        <v>70</v>
      </c>
      <c r="Z73" s="4" t="s">
        <v>250</v>
      </c>
      <c r="AA73" s="4" t="s">
        <v>167</v>
      </c>
      <c r="AB73" s="4" t="s">
        <v>56</v>
      </c>
      <c r="AC73" s="4" t="s">
        <v>56</v>
      </c>
      <c r="AD73" s="4" t="s">
        <v>56</v>
      </c>
      <c r="AE73" s="4" t="s">
        <v>112</v>
      </c>
      <c r="AF73" s="4" t="s">
        <v>40</v>
      </c>
      <c r="AG73" s="4" t="s">
        <v>467</v>
      </c>
      <c r="AH73" s="4" t="s">
        <v>342</v>
      </c>
      <c r="AI73" s="4" t="s">
        <v>40</v>
      </c>
      <c r="AJ73" s="4" t="s">
        <v>40</v>
      </c>
      <c r="AK73" s="5" t="s">
        <v>59</v>
      </c>
      <c r="AL73" s="4" t="s">
        <v>129</v>
      </c>
      <c r="AM73" s="5" t="s">
        <v>484</v>
      </c>
      <c r="AN73" s="6" t="str">
        <f>IFERROR(__xludf.DUMMYFUNCTION("TEXT(DATEVALUE(REGEXREPLACE(AM73,""(\d+)(st|nd|rd|th)"",""$1"")),""yyyy-mm-dd"")"),"2023-08-23")</f>
        <v>2023-08-23</v>
      </c>
    </row>
    <row r="74">
      <c r="A74" s="4" t="s">
        <v>485</v>
      </c>
      <c r="B74" s="5" t="s">
        <v>62</v>
      </c>
      <c r="C74" s="4" t="s">
        <v>486</v>
      </c>
      <c r="D74" s="6" t="str">
        <f>IFERROR(__xludf.DUMMYFUNCTION("GOOGLETRANSLATE(C74,""auto"",""en"")"),"2021/11")</f>
        <v>2021/11</v>
      </c>
      <c r="E74" s="4" t="s">
        <v>487</v>
      </c>
      <c r="F74" s="5">
        <f>IFERROR(__xludf.DUMMYFUNCTION("SPLIT(E74,""-"")
"),400.0)</f>
        <v>400</v>
      </c>
      <c r="G74" s="5"/>
      <c r="H74" s="5">
        <f t="shared" si="1"/>
        <v>400</v>
      </c>
      <c r="I74" s="5" t="s">
        <v>488</v>
      </c>
      <c r="J74" s="5" t="str">
        <f t="shared" si="2"/>
        <v>玉里鎮yuli Township</v>
      </c>
      <c r="K74" s="4" t="s">
        <v>45</v>
      </c>
      <c r="L74" s="5">
        <v>20.0</v>
      </c>
      <c r="M74" s="5" t="s">
        <v>66</v>
      </c>
      <c r="N74" s="5" t="str">
        <f>IFERROR(__xludf.DUMMYFUNCTION("PROPER(GOOGLETRANSLATE(M74, ""auto"", ""en""))"),"Taiwan Coffee Laboratory")</f>
        <v>Taiwan Coffee Laboratory</v>
      </c>
      <c r="O74" s="5" t="s">
        <v>47</v>
      </c>
      <c r="P74" s="5" t="str">
        <f t="shared" si="3"/>
        <v>2021</v>
      </c>
      <c r="Q74" s="5" t="s">
        <v>215</v>
      </c>
      <c r="R74" s="6" t="str">
        <f>IFERROR(__xludf.DUMMYFUNCTION("TEXT(DATEVALUE(REGEXREPLACE(Q74,""(\d+)(st|nd|rd|th)"",""$1"")),""yyyy-mm-dd"")"),"2022-12-12")</f>
        <v>2022-12-12</v>
      </c>
      <c r="S74" s="7" t="s">
        <v>216</v>
      </c>
      <c r="T74" s="5" t="s">
        <v>50</v>
      </c>
      <c r="U74" s="5" t="s">
        <v>123</v>
      </c>
      <c r="V74" s="4" t="s">
        <v>85</v>
      </c>
      <c r="W74" s="4" t="s">
        <v>70</v>
      </c>
      <c r="X74" s="4" t="s">
        <v>154</v>
      </c>
      <c r="Y74" s="4" t="s">
        <v>112</v>
      </c>
      <c r="Z74" s="4" t="s">
        <v>439</v>
      </c>
      <c r="AA74" s="4" t="s">
        <v>250</v>
      </c>
      <c r="AB74" s="4" t="s">
        <v>56</v>
      </c>
      <c r="AC74" s="4" t="s">
        <v>56</v>
      </c>
      <c r="AD74" s="4" t="s">
        <v>56</v>
      </c>
      <c r="AE74" s="4" t="s">
        <v>112</v>
      </c>
      <c r="AF74" s="4" t="s">
        <v>40</v>
      </c>
      <c r="AG74" s="4" t="s">
        <v>467</v>
      </c>
      <c r="AH74" s="4" t="s">
        <v>182</v>
      </c>
      <c r="AI74" s="4" t="s">
        <v>40</v>
      </c>
      <c r="AJ74" s="4" t="s">
        <v>40</v>
      </c>
      <c r="AK74" s="5" t="s">
        <v>59</v>
      </c>
      <c r="AL74" s="4" t="s">
        <v>40</v>
      </c>
      <c r="AM74" s="5" t="s">
        <v>218</v>
      </c>
      <c r="AN74" s="6" t="str">
        <f>IFERROR(__xludf.DUMMYFUNCTION("TEXT(DATEVALUE(REGEXREPLACE(AM74,""(\d+)(st|nd|rd|th)"",""$1"")),""yyyy-mm-dd"")"),"2023-12-12")</f>
        <v>2023-12-12</v>
      </c>
    </row>
    <row r="75">
      <c r="A75" s="4" t="s">
        <v>489</v>
      </c>
      <c r="B75" s="5" t="s">
        <v>62</v>
      </c>
      <c r="C75" s="5" t="s">
        <v>490</v>
      </c>
      <c r="D75" s="6" t="str">
        <f>IFERROR(__xludf.DUMMYFUNCTION("GOOGLETRANSLATE(C75,""auto"",""en"")"),"The 2022 Pacific Rim Coffee Summit,T031")</f>
        <v>The 2022 Pacific Rim Coffee Summit,T031</v>
      </c>
      <c r="E75" s="4" t="s">
        <v>213</v>
      </c>
      <c r="F75" s="5">
        <f>IFERROR(__xludf.DUMMYFUNCTION("SPLIT(E75,""-"")
"),850.0)</f>
        <v>850</v>
      </c>
      <c r="G75" s="5"/>
      <c r="H75" s="5">
        <f t="shared" si="1"/>
        <v>850</v>
      </c>
      <c r="I75" s="5" t="s">
        <v>159</v>
      </c>
      <c r="J75" s="5" t="str">
        <f t="shared" si="2"/>
        <v>Yunlin</v>
      </c>
      <c r="K75" s="4" t="s">
        <v>45</v>
      </c>
      <c r="L75" s="5">
        <v>100.0</v>
      </c>
      <c r="M75" s="5" t="s">
        <v>66</v>
      </c>
      <c r="N75" s="5" t="str">
        <f>IFERROR(__xludf.DUMMYFUNCTION("PROPER(GOOGLETRANSLATE(M75, ""auto"", ""en""))"),"Taiwan Coffee Laboratory")</f>
        <v>Taiwan Coffee Laboratory</v>
      </c>
      <c r="O75" s="5" t="s">
        <v>47</v>
      </c>
      <c r="P75" s="5" t="str">
        <f t="shared" si="3"/>
        <v>2021</v>
      </c>
      <c r="Q75" s="5" t="s">
        <v>67</v>
      </c>
      <c r="R75" s="6" t="str">
        <f>IFERROR(__xludf.DUMMYFUNCTION("TEXT(DATEVALUE(REGEXREPLACE(Q75,""(\d+)(st|nd|rd|th)"",""$1"")),""yyyy-mm-dd"")"),"2022-11-15")</f>
        <v>2022-11-15</v>
      </c>
      <c r="S75" s="7" t="s">
        <v>68</v>
      </c>
      <c r="T75" s="5" t="s">
        <v>50</v>
      </c>
      <c r="U75" s="5" t="s">
        <v>69</v>
      </c>
      <c r="V75" s="4" t="s">
        <v>112</v>
      </c>
      <c r="W75" s="4" t="s">
        <v>71</v>
      </c>
      <c r="X75" s="4" t="s">
        <v>439</v>
      </c>
      <c r="Y75" s="4" t="s">
        <v>154</v>
      </c>
      <c r="Z75" s="4" t="s">
        <v>154</v>
      </c>
      <c r="AA75" s="4" t="s">
        <v>154</v>
      </c>
      <c r="AB75" s="4" t="s">
        <v>56</v>
      </c>
      <c r="AC75" s="4" t="s">
        <v>56</v>
      </c>
      <c r="AD75" s="4" t="s">
        <v>56</v>
      </c>
      <c r="AE75" s="4" t="s">
        <v>112</v>
      </c>
      <c r="AF75" s="4" t="s">
        <v>40</v>
      </c>
      <c r="AG75" s="4" t="s">
        <v>491</v>
      </c>
      <c r="AH75" s="4" t="s">
        <v>345</v>
      </c>
      <c r="AI75" s="4" t="s">
        <v>40</v>
      </c>
      <c r="AJ75" s="4" t="s">
        <v>40</v>
      </c>
      <c r="AK75" s="5" t="s">
        <v>74</v>
      </c>
      <c r="AL75" s="4" t="s">
        <v>45</v>
      </c>
      <c r="AM75" s="5" t="s">
        <v>75</v>
      </c>
      <c r="AN75" s="6" t="str">
        <f>IFERROR(__xludf.DUMMYFUNCTION("TEXT(DATEVALUE(REGEXREPLACE(AM75,""(\d+)(st|nd|rd|th)"",""$1"")),""yyyy-mm-dd"")"),"2023-11-15")</f>
        <v>2023-11-15</v>
      </c>
    </row>
    <row r="76">
      <c r="A76" s="4" t="s">
        <v>452</v>
      </c>
      <c r="B76" s="5" t="s">
        <v>108</v>
      </c>
      <c r="C76" s="5" t="s">
        <v>492</v>
      </c>
      <c r="D76" s="6" t="str">
        <f>IFERROR(__xludf.DUMMYFUNCTION("GOOGLETRANSLATE(C76,""auto"",""en"")"),"11-63-657")</f>
        <v>11-63-657</v>
      </c>
      <c r="E76" s="5" t="s">
        <v>493</v>
      </c>
      <c r="F76" s="5">
        <f>IFERROR(__xludf.DUMMYFUNCTION("SPLIT(E76,""-"")
"),1300.0)</f>
        <v>1300</v>
      </c>
      <c r="G76" s="5">
        <f>IFERROR(__xludf.DUMMYFUNCTION("""COMPUTED_VALUE"""),1400.0)</f>
        <v>1400</v>
      </c>
      <c r="H76" s="5">
        <f t="shared" si="1"/>
        <v>1350</v>
      </c>
      <c r="I76" s="5" t="s">
        <v>423</v>
      </c>
      <c r="J76" s="5" t="str">
        <f t="shared" si="2"/>
        <v>Huehuetenango</v>
      </c>
      <c r="K76" s="4" t="s">
        <v>257</v>
      </c>
      <c r="L76" s="5">
        <v>30.0</v>
      </c>
      <c r="M76" s="5" t="s">
        <v>350</v>
      </c>
      <c r="N76" s="5" t="str">
        <f>IFERROR(__xludf.DUMMYFUNCTION("PROPER(GOOGLETRANSLATE(M76, ""auto"", ""en""))"),"National Coffee Association")</f>
        <v>National Coffee Association</v>
      </c>
      <c r="O76" s="5" t="s">
        <v>136</v>
      </c>
      <c r="P76" s="5" t="str">
        <f t="shared" si="3"/>
        <v>2022</v>
      </c>
      <c r="Q76" s="5" t="s">
        <v>417</v>
      </c>
      <c r="R76" s="6" t="str">
        <f>IFERROR(__xludf.DUMMYFUNCTION("TEXT(DATEVALUE(REGEXREPLACE(Q76,""(\d+)(st|nd|rd|th)"",""$1"")),""yyyy-mm-dd"")"),"2023-04-26")</f>
        <v>2023-04-26</v>
      </c>
      <c r="S76" s="7" t="s">
        <v>138</v>
      </c>
      <c r="T76" s="5" t="s">
        <v>50</v>
      </c>
      <c r="U76" s="5" t="s">
        <v>69</v>
      </c>
      <c r="V76" s="4" t="s">
        <v>167</v>
      </c>
      <c r="W76" s="4" t="s">
        <v>112</v>
      </c>
      <c r="X76" s="4" t="s">
        <v>154</v>
      </c>
      <c r="Y76" s="4" t="s">
        <v>154</v>
      </c>
      <c r="Z76" s="4" t="s">
        <v>112</v>
      </c>
      <c r="AA76" s="4" t="s">
        <v>154</v>
      </c>
      <c r="AB76" s="4" t="s">
        <v>56</v>
      </c>
      <c r="AC76" s="4" t="s">
        <v>56</v>
      </c>
      <c r="AD76" s="4" t="s">
        <v>56</v>
      </c>
      <c r="AE76" s="4" t="s">
        <v>154</v>
      </c>
      <c r="AF76" s="4" t="s">
        <v>40</v>
      </c>
      <c r="AG76" s="4" t="s">
        <v>494</v>
      </c>
      <c r="AH76" s="4" t="s">
        <v>308</v>
      </c>
      <c r="AI76" s="4" t="s">
        <v>40</v>
      </c>
      <c r="AJ76" s="4" t="s">
        <v>45</v>
      </c>
      <c r="AK76" s="5" t="s">
        <v>59</v>
      </c>
      <c r="AL76" s="4" t="s">
        <v>107</v>
      </c>
      <c r="AM76" s="5" t="s">
        <v>418</v>
      </c>
      <c r="AN76" s="6" t="str">
        <f>IFERROR(__xludf.DUMMYFUNCTION("TEXT(DATEVALUE(REGEXREPLACE(AM76,""(\d+)(st|nd|rd|th)"",""$1"")),""yyyy-mm-dd"")"),"2024-04-25")</f>
        <v>2024-04-25</v>
      </c>
    </row>
    <row r="77">
      <c r="A77" s="4" t="s">
        <v>495</v>
      </c>
      <c r="B77" s="5" t="s">
        <v>255</v>
      </c>
      <c r="C77" s="5" t="s">
        <v>496</v>
      </c>
      <c r="D77" s="6" t="str">
        <f>IFERROR(__xludf.DUMMYFUNCTION("GOOGLETRANSLATE(C77,""auto"",""en"")"),"Islander’s Coffee for Pacific Rim Summit")</f>
        <v>Islander’s Coffee for Pacific Rim Summit</v>
      </c>
      <c r="E77" s="4" t="s">
        <v>79</v>
      </c>
      <c r="F77" s="5">
        <f>IFERROR(__xludf.DUMMYFUNCTION("SPLIT(E77,""-"")
"),1300.0)</f>
        <v>1300</v>
      </c>
      <c r="G77" s="5"/>
      <c r="H77" s="5">
        <f t="shared" si="1"/>
        <v>1300</v>
      </c>
      <c r="I77" s="5" t="s">
        <v>497</v>
      </c>
      <c r="J77" s="5" t="str">
        <f t="shared" si="2"/>
        <v>Ka'U District Of Big Island</v>
      </c>
      <c r="K77" s="4" t="s">
        <v>56</v>
      </c>
      <c r="L77" s="5">
        <v>10.0</v>
      </c>
      <c r="M77" s="5" t="s">
        <v>66</v>
      </c>
      <c r="N77" s="5" t="str">
        <f>IFERROR(__xludf.DUMMYFUNCTION("PROPER(GOOGLETRANSLATE(M77, ""auto"", ""en""))"),"Taiwan Coffee Laboratory")</f>
        <v>Taiwan Coffee Laboratory</v>
      </c>
      <c r="O77" s="4" t="s">
        <v>94</v>
      </c>
      <c r="P77" s="5" t="str">
        <f t="shared" si="3"/>
        <v>2022</v>
      </c>
      <c r="Q77" s="5" t="s">
        <v>396</v>
      </c>
      <c r="R77" s="6" t="str">
        <f>IFERROR(__xludf.DUMMYFUNCTION("TEXT(DATEVALUE(REGEXREPLACE(Q77,""(\d+)(st|nd|rd|th)"",""$1"")),""yyyy-mm-dd"")"),"2022-11-09")</f>
        <v>2022-11-09</v>
      </c>
      <c r="S77" s="7" t="s">
        <v>359</v>
      </c>
      <c r="T77" s="5" t="s">
        <v>50</v>
      </c>
      <c r="U77" s="5" t="s">
        <v>69</v>
      </c>
      <c r="V77" s="4" t="s">
        <v>70</v>
      </c>
      <c r="W77" s="4" t="s">
        <v>112</v>
      </c>
      <c r="X77" s="4" t="s">
        <v>154</v>
      </c>
      <c r="Y77" s="4" t="s">
        <v>70</v>
      </c>
      <c r="Z77" s="4" t="s">
        <v>439</v>
      </c>
      <c r="AA77" s="4" t="s">
        <v>167</v>
      </c>
      <c r="AB77" s="4" t="s">
        <v>56</v>
      </c>
      <c r="AC77" s="4" t="s">
        <v>56</v>
      </c>
      <c r="AD77" s="4" t="s">
        <v>56</v>
      </c>
      <c r="AE77" s="4" t="s">
        <v>154</v>
      </c>
      <c r="AF77" s="4" t="s">
        <v>40</v>
      </c>
      <c r="AG77" s="4" t="s">
        <v>494</v>
      </c>
      <c r="AH77" s="4" t="s">
        <v>345</v>
      </c>
      <c r="AI77" s="4" t="s">
        <v>60</v>
      </c>
      <c r="AJ77" s="4" t="s">
        <v>40</v>
      </c>
      <c r="AK77" s="5" t="s">
        <v>105</v>
      </c>
      <c r="AL77" s="4" t="s">
        <v>120</v>
      </c>
      <c r="AM77" s="5" t="s">
        <v>398</v>
      </c>
      <c r="AN77" s="6" t="str">
        <f>IFERROR(__xludf.DUMMYFUNCTION("TEXT(DATEVALUE(REGEXREPLACE(AM77,""(\d+)(st|nd|rd|th)"",""$1"")),""yyyy-mm-dd"")"),"2023-11-09")</f>
        <v>2023-11-09</v>
      </c>
    </row>
    <row r="78">
      <c r="A78" s="4" t="s">
        <v>498</v>
      </c>
      <c r="B78" s="5" t="s">
        <v>142</v>
      </c>
      <c r="C78" s="4" t="s">
        <v>284</v>
      </c>
      <c r="D78" s="6" t="str">
        <f>IFERROR(__xludf.DUMMYFUNCTION("GOOGLETRANSLATE(C78,""auto"",""en"")"),"65")</f>
        <v>65</v>
      </c>
      <c r="E78" s="4" t="s">
        <v>499</v>
      </c>
      <c r="F78" s="5">
        <f>IFERROR(__xludf.DUMMYFUNCTION("SPLIT(E78,""-"")
"),2361.0)</f>
        <v>2361</v>
      </c>
      <c r="G78" s="5"/>
      <c r="H78" s="5">
        <f t="shared" si="1"/>
        <v>2361</v>
      </c>
      <c r="I78" s="5" t="s">
        <v>500</v>
      </c>
      <c r="J78" s="5" t="str">
        <f t="shared" si="2"/>
        <v>Addis Ababa</v>
      </c>
      <c r="K78" s="4" t="s">
        <v>134</v>
      </c>
      <c r="L78" s="5">
        <v>60.0</v>
      </c>
      <c r="M78" s="5" t="s">
        <v>165</v>
      </c>
      <c r="N78" s="5" t="str">
        <f>IFERROR(__xludf.DUMMYFUNCTION("PROPER(GOOGLETRANSLATE(M78, ""auto"", ""en""))"),"Metad Agricultural Development Plc")</f>
        <v>Metad Agricultural Development Plc</v>
      </c>
      <c r="O78" s="5" t="s">
        <v>47</v>
      </c>
      <c r="P78" s="5" t="str">
        <f t="shared" si="3"/>
        <v>2021</v>
      </c>
      <c r="Q78" s="5" t="s">
        <v>501</v>
      </c>
      <c r="R78" s="6" t="str">
        <f>IFERROR(__xludf.DUMMYFUNCTION("TEXT(DATEVALUE(REGEXREPLACE(Q78,""(\d+)(st|nd|rd|th)"",""$1"")),""yyyy-mm-dd"")"),"2022-09-19")</f>
        <v>2022-09-19</v>
      </c>
      <c r="S78" s="7" t="s">
        <v>147</v>
      </c>
      <c r="T78" s="5" t="s">
        <v>50</v>
      </c>
      <c r="U78" s="5" t="s">
        <v>123</v>
      </c>
      <c r="V78" s="4" t="s">
        <v>112</v>
      </c>
      <c r="W78" s="4" t="s">
        <v>154</v>
      </c>
      <c r="X78" s="4" t="s">
        <v>250</v>
      </c>
      <c r="Y78" s="4" t="s">
        <v>70</v>
      </c>
      <c r="Z78" s="4" t="s">
        <v>71</v>
      </c>
      <c r="AA78" s="4" t="s">
        <v>439</v>
      </c>
      <c r="AB78" s="4" t="s">
        <v>56</v>
      </c>
      <c r="AC78" s="4" t="s">
        <v>56</v>
      </c>
      <c r="AD78" s="4" t="s">
        <v>56</v>
      </c>
      <c r="AE78" s="4" t="s">
        <v>154</v>
      </c>
      <c r="AF78" s="4" t="s">
        <v>40</v>
      </c>
      <c r="AG78" s="4" t="s">
        <v>494</v>
      </c>
      <c r="AH78" s="4" t="s">
        <v>140</v>
      </c>
      <c r="AI78" s="4" t="s">
        <v>40</v>
      </c>
      <c r="AJ78" s="4" t="s">
        <v>107</v>
      </c>
      <c r="AK78" s="5" t="s">
        <v>105</v>
      </c>
      <c r="AL78" s="4" t="s">
        <v>96</v>
      </c>
      <c r="AM78" s="5" t="s">
        <v>502</v>
      </c>
      <c r="AN78" s="6" t="str">
        <f>IFERROR(__xludf.DUMMYFUNCTION("TEXT(DATEVALUE(REGEXREPLACE(AM78,""(\d+)(st|nd|rd|th)"",""$1"")),""yyyy-mm-dd"")"),"2023-09-19")</f>
        <v>2023-09-19</v>
      </c>
    </row>
    <row r="79">
      <c r="A79" s="4" t="s">
        <v>503</v>
      </c>
      <c r="B79" s="5" t="s">
        <v>504</v>
      </c>
      <c r="C79" s="5" t="s">
        <v>505</v>
      </c>
      <c r="D79" s="6" t="str">
        <f>IFERROR(__xludf.DUMMYFUNCTION("GOOGLETRANSLATE(C79,""auto"",""en"")"),"The 2022 Pacific Rim Coffee Summit,SV01")</f>
        <v>The 2022 Pacific Rim Coffee Summit,SV01</v>
      </c>
      <c r="E79" s="4" t="s">
        <v>506</v>
      </c>
      <c r="F79" s="5">
        <f>IFERROR(__xludf.DUMMYFUNCTION("SPLIT(E79,""-"")
"),1500.0)</f>
        <v>1500</v>
      </c>
      <c r="G79" s="5"/>
      <c r="H79" s="5">
        <f t="shared" si="1"/>
        <v>1500</v>
      </c>
      <c r="I79" s="5" t="s">
        <v>507</v>
      </c>
      <c r="J79" s="5" t="str">
        <f t="shared" si="2"/>
        <v>Chalatenango</v>
      </c>
      <c r="K79" s="4" t="s">
        <v>207</v>
      </c>
      <c r="L79" s="5">
        <v>30.0</v>
      </c>
      <c r="M79" s="5" t="s">
        <v>66</v>
      </c>
      <c r="N79" s="5" t="str">
        <f>IFERROR(__xludf.DUMMYFUNCTION("PROPER(GOOGLETRANSLATE(M79, ""auto"", ""en""))"),"Taiwan Coffee Laboratory")</f>
        <v>Taiwan Coffee Laboratory</v>
      </c>
      <c r="O79" s="4" t="s">
        <v>153</v>
      </c>
      <c r="P79" s="5" t="str">
        <f t="shared" si="3"/>
        <v>2021</v>
      </c>
      <c r="Q79" s="5" t="s">
        <v>67</v>
      </c>
      <c r="R79" s="6" t="str">
        <f>IFERROR(__xludf.DUMMYFUNCTION("TEXT(DATEVALUE(REGEXREPLACE(Q79,""(\d+)(st|nd|rd|th)"",""$1"")),""yyyy-mm-dd"")"),"2022-11-15")</f>
        <v>2022-11-15</v>
      </c>
      <c r="S79" s="7" t="s">
        <v>508</v>
      </c>
      <c r="T79" s="5" t="s">
        <v>50</v>
      </c>
      <c r="U79" s="5" t="s">
        <v>180</v>
      </c>
      <c r="V79" s="4" t="s">
        <v>112</v>
      </c>
      <c r="W79" s="4" t="s">
        <v>112</v>
      </c>
      <c r="X79" s="4" t="s">
        <v>112</v>
      </c>
      <c r="Y79" s="4" t="s">
        <v>112</v>
      </c>
      <c r="Z79" s="4" t="s">
        <v>167</v>
      </c>
      <c r="AA79" s="4" t="s">
        <v>167</v>
      </c>
      <c r="AB79" s="4" t="s">
        <v>56</v>
      </c>
      <c r="AC79" s="4" t="s">
        <v>56</v>
      </c>
      <c r="AD79" s="4" t="s">
        <v>56</v>
      </c>
      <c r="AE79" s="4" t="s">
        <v>167</v>
      </c>
      <c r="AF79" s="4" t="s">
        <v>40</v>
      </c>
      <c r="AG79" s="4" t="s">
        <v>494</v>
      </c>
      <c r="AH79" s="4" t="s">
        <v>196</v>
      </c>
      <c r="AI79" s="4" t="s">
        <v>40</v>
      </c>
      <c r="AJ79" s="4" t="s">
        <v>40</v>
      </c>
      <c r="AK79" s="5" t="s">
        <v>156</v>
      </c>
      <c r="AL79" s="4" t="s">
        <v>96</v>
      </c>
      <c r="AM79" s="5" t="s">
        <v>75</v>
      </c>
      <c r="AN79" s="6" t="str">
        <f>IFERROR(__xludf.DUMMYFUNCTION("TEXT(DATEVALUE(REGEXREPLACE(AM79,""(\d+)(st|nd|rd|th)"",""$1"")),""yyyy-mm-dd"")"),"2023-11-15")</f>
        <v>2023-11-15</v>
      </c>
    </row>
    <row r="80">
      <c r="A80" s="4" t="s">
        <v>509</v>
      </c>
      <c r="B80" s="5" t="s">
        <v>41</v>
      </c>
      <c r="C80" s="5" t="s">
        <v>510</v>
      </c>
      <c r="D80" s="6" t="str">
        <f>IFERROR(__xludf.DUMMYFUNCTION("GOOGLETRANSLATE(C80,""auto"",""en"")"),"NPCO-17418")</f>
        <v>NPCO-17418</v>
      </c>
      <c r="E80" s="4" t="s">
        <v>511</v>
      </c>
      <c r="F80" s="5">
        <f>IFERROR(__xludf.DUMMYFUNCTION("SPLIT(E80,""-"")
"),2100.0)</f>
        <v>2100</v>
      </c>
      <c r="G80" s="5"/>
      <c r="H80" s="5">
        <f t="shared" si="1"/>
        <v>2100</v>
      </c>
      <c r="I80" s="5" t="s">
        <v>512</v>
      </c>
      <c r="J80" s="5" t="str">
        <f t="shared" si="2"/>
        <v>Sierra Nevada De Santa Marta</v>
      </c>
      <c r="K80" s="4" t="s">
        <v>364</v>
      </c>
      <c r="L80" s="5">
        <v>70.0</v>
      </c>
      <c r="M80" s="5" t="s">
        <v>513</v>
      </c>
      <c r="N80" s="5" t="str">
        <f>IFERROR(__xludf.DUMMYFUNCTION("PROPER(GOOGLETRANSLATE(M80, ""auto"", ""en""))"),"Colombian Association For Coffee Excellence")</f>
        <v>Colombian Association For Coffee Excellence</v>
      </c>
      <c r="O80" s="5" t="s">
        <v>47</v>
      </c>
      <c r="P80" s="5" t="str">
        <f t="shared" si="3"/>
        <v>2021</v>
      </c>
      <c r="Q80" s="5" t="s">
        <v>514</v>
      </c>
      <c r="R80" s="6" t="str">
        <f>IFERROR(__xludf.DUMMYFUNCTION("TEXT(DATEVALUE(REGEXREPLACE(Q80,""(\d+)(st|nd|rd|th)"",""$1"")),""yyyy-mm-dd"")"),"2022-05-11")</f>
        <v>2022-05-11</v>
      </c>
      <c r="S80" s="7" t="s">
        <v>515</v>
      </c>
      <c r="T80" s="5" t="s">
        <v>50</v>
      </c>
      <c r="U80" s="5" t="s">
        <v>69</v>
      </c>
      <c r="V80" s="4" t="s">
        <v>154</v>
      </c>
      <c r="W80" s="4" t="s">
        <v>154</v>
      </c>
      <c r="X80" s="4" t="s">
        <v>154</v>
      </c>
      <c r="Y80" s="4" t="s">
        <v>154</v>
      </c>
      <c r="Z80" s="4" t="s">
        <v>112</v>
      </c>
      <c r="AA80" s="4" t="s">
        <v>167</v>
      </c>
      <c r="AB80" s="4" t="s">
        <v>56</v>
      </c>
      <c r="AC80" s="4" t="s">
        <v>56</v>
      </c>
      <c r="AD80" s="4" t="s">
        <v>56</v>
      </c>
      <c r="AE80" s="4" t="s">
        <v>112</v>
      </c>
      <c r="AF80" s="4" t="s">
        <v>40</v>
      </c>
      <c r="AG80" s="4" t="s">
        <v>494</v>
      </c>
      <c r="AH80" s="4" t="s">
        <v>104</v>
      </c>
      <c r="AI80" s="4" t="s">
        <v>40</v>
      </c>
      <c r="AJ80" s="4" t="s">
        <v>40</v>
      </c>
      <c r="AK80" s="5" t="s">
        <v>59</v>
      </c>
      <c r="AL80" s="4" t="s">
        <v>45</v>
      </c>
      <c r="AM80" s="5" t="s">
        <v>516</v>
      </c>
      <c r="AN80" s="6" t="str">
        <f>IFERROR(__xludf.DUMMYFUNCTION("TEXT(DATEVALUE(REGEXREPLACE(AM80,""(\d+)(st|nd|rd|th)"",""$1"")),""yyyy-mm-dd"")"),"2023-05-11")</f>
        <v>2023-05-11</v>
      </c>
    </row>
    <row r="81">
      <c r="A81" s="4" t="s">
        <v>517</v>
      </c>
      <c r="B81" s="5" t="s">
        <v>380</v>
      </c>
      <c r="C81" s="5" t="s">
        <v>465</v>
      </c>
      <c r="D81" s="6" t="str">
        <f>IFERROR(__xludf.DUMMYFUNCTION("GOOGLETRANSLATE(C81,""auto"",""en"")"),"CQU2022018")</f>
        <v>CQU2022018</v>
      </c>
      <c r="E81" s="5" t="s">
        <v>518</v>
      </c>
      <c r="F81" s="5">
        <f>IFERROR(__xludf.DUMMYFUNCTION("SPLIT(E81,""-"")
"),1250.0)</f>
        <v>1250</v>
      </c>
      <c r="G81" s="5">
        <f>IFERROR(__xludf.DUMMYFUNCTION("""COMPUTED_VALUE"""),1350.0)</f>
        <v>1350</v>
      </c>
      <c r="H81" s="5">
        <f t="shared" si="1"/>
        <v>1300</v>
      </c>
      <c r="I81" s="5" t="s">
        <v>519</v>
      </c>
      <c r="J81" s="5" t="str">
        <f t="shared" si="2"/>
        <v>Lintong Nihuta/Dolok Sanggul,Sumatera Utara</v>
      </c>
      <c r="K81" s="4" t="s">
        <v>45</v>
      </c>
      <c r="L81" s="5">
        <v>60.0</v>
      </c>
      <c r="M81" s="5" t="s">
        <v>46</v>
      </c>
      <c r="N81" s="5" t="str">
        <f>IFERROR(__xludf.DUMMYFUNCTION("PROPER(GOOGLETRANSLATE(M81, ""auto"", ""en""))"),"Japan Coffee Exchange")</f>
        <v>Japan Coffee Exchange</v>
      </c>
      <c r="O81" s="4" t="s">
        <v>94</v>
      </c>
      <c r="P81" s="5" t="str">
        <f t="shared" si="3"/>
        <v>2022</v>
      </c>
      <c r="Q81" s="5" t="s">
        <v>48</v>
      </c>
      <c r="R81" s="6" t="str">
        <f>IFERROR(__xludf.DUMMYFUNCTION("TEXT(DATEVALUE(REGEXREPLACE(Q81,""(\d+)(st|nd|rd|th)"",""$1"")),""yyyy-mm-dd"")"),"2022-09-21")</f>
        <v>2022-09-21</v>
      </c>
      <c r="S81" s="7" t="s">
        <v>520</v>
      </c>
      <c r="T81" s="5" t="s">
        <v>50</v>
      </c>
      <c r="U81" s="5" t="s">
        <v>521</v>
      </c>
      <c r="V81" s="4" t="s">
        <v>167</v>
      </c>
      <c r="W81" s="4" t="s">
        <v>167</v>
      </c>
      <c r="X81" s="4" t="s">
        <v>112</v>
      </c>
      <c r="Y81" s="4" t="s">
        <v>112</v>
      </c>
      <c r="Z81" s="4" t="s">
        <v>167</v>
      </c>
      <c r="AA81" s="4" t="s">
        <v>154</v>
      </c>
      <c r="AB81" s="4" t="s">
        <v>56</v>
      </c>
      <c r="AC81" s="4" t="s">
        <v>56</v>
      </c>
      <c r="AD81" s="4" t="s">
        <v>56</v>
      </c>
      <c r="AE81" s="4" t="s">
        <v>112</v>
      </c>
      <c r="AF81" s="4" t="s">
        <v>40</v>
      </c>
      <c r="AG81" s="4" t="s">
        <v>522</v>
      </c>
      <c r="AH81" s="4" t="s">
        <v>155</v>
      </c>
      <c r="AI81" s="4" t="s">
        <v>40</v>
      </c>
      <c r="AJ81" s="4" t="s">
        <v>45</v>
      </c>
      <c r="AK81" s="5" t="s">
        <v>74</v>
      </c>
      <c r="AL81" s="4" t="s">
        <v>45</v>
      </c>
      <c r="AM81" s="5" t="s">
        <v>61</v>
      </c>
      <c r="AN81" s="6" t="str">
        <f>IFERROR(__xludf.DUMMYFUNCTION("TEXT(DATEVALUE(REGEXREPLACE(AM81,""(\d+)(st|nd|rd|th)"",""$1"")),""yyyy-mm-dd"")"),"2023-09-21")</f>
        <v>2023-09-21</v>
      </c>
    </row>
    <row r="82">
      <c r="A82" s="4" t="s">
        <v>259</v>
      </c>
      <c r="B82" s="5" t="s">
        <v>108</v>
      </c>
      <c r="C82" s="5" t="s">
        <v>523</v>
      </c>
      <c r="D82" s="6" t="str">
        <f>IFERROR(__xludf.DUMMYFUNCTION("GOOGLETRANSLATE(C82,""auto"",""en"")"),"11/15/96")</f>
        <v>11/15/96</v>
      </c>
      <c r="E82" s="4" t="s">
        <v>348</v>
      </c>
      <c r="F82" s="5">
        <f>IFERROR(__xludf.DUMMYFUNCTION("SPLIT(E82,""-"")
"),1600.0)</f>
        <v>1600</v>
      </c>
      <c r="G82" s="5"/>
      <c r="H82" s="5">
        <f t="shared" si="1"/>
        <v>1600</v>
      </c>
      <c r="I82" s="5" t="s">
        <v>524</v>
      </c>
      <c r="J82" s="5" t="str">
        <f t="shared" si="2"/>
        <v>Atitlán</v>
      </c>
      <c r="K82" s="4" t="s">
        <v>401</v>
      </c>
      <c r="L82" s="5">
        <v>30.0</v>
      </c>
      <c r="M82" s="5" t="s">
        <v>350</v>
      </c>
      <c r="N82" s="5" t="str">
        <f>IFERROR(__xludf.DUMMYFUNCTION("PROPER(GOOGLETRANSLATE(M82, ""auto"", ""en""))"),"National Coffee Association")</f>
        <v>National Coffee Association</v>
      </c>
      <c r="O82" s="5" t="s">
        <v>136</v>
      </c>
      <c r="P82" s="5" t="str">
        <f t="shared" si="3"/>
        <v>2022</v>
      </c>
      <c r="Q82" s="5" t="s">
        <v>351</v>
      </c>
      <c r="R82" s="6" t="str">
        <f>IFERROR(__xludf.DUMMYFUNCTION("TEXT(DATEVALUE(REGEXREPLACE(Q82,""(\d+)(st|nd|rd|th)"",""$1"")),""yyyy-mm-dd"")"),"2023-04-17")</f>
        <v>2023-04-17</v>
      </c>
      <c r="S82" s="7" t="s">
        <v>216</v>
      </c>
      <c r="T82" s="5" t="s">
        <v>50</v>
      </c>
      <c r="U82" s="5" t="s">
        <v>69</v>
      </c>
      <c r="V82" s="4" t="s">
        <v>250</v>
      </c>
      <c r="W82" s="4" t="s">
        <v>70</v>
      </c>
      <c r="X82" s="4" t="s">
        <v>167</v>
      </c>
      <c r="Y82" s="4" t="s">
        <v>154</v>
      </c>
      <c r="Z82" s="4" t="s">
        <v>112</v>
      </c>
      <c r="AA82" s="4" t="s">
        <v>154</v>
      </c>
      <c r="AB82" s="4" t="s">
        <v>56</v>
      </c>
      <c r="AC82" s="4" t="s">
        <v>56</v>
      </c>
      <c r="AD82" s="4" t="s">
        <v>56</v>
      </c>
      <c r="AE82" s="4" t="s">
        <v>154</v>
      </c>
      <c r="AF82" s="4" t="s">
        <v>40</v>
      </c>
      <c r="AG82" s="4" t="s">
        <v>522</v>
      </c>
      <c r="AH82" s="4" t="s">
        <v>56</v>
      </c>
      <c r="AI82" s="4" t="s">
        <v>40</v>
      </c>
      <c r="AJ82" s="4" t="s">
        <v>40</v>
      </c>
      <c r="AK82" s="5" t="s">
        <v>59</v>
      </c>
      <c r="AL82" s="4" t="s">
        <v>45</v>
      </c>
      <c r="AM82" s="5" t="s">
        <v>352</v>
      </c>
      <c r="AN82" s="6" t="str">
        <f>IFERROR(__xludf.DUMMYFUNCTION("TEXT(DATEVALUE(REGEXREPLACE(AM82,""(\d+)(st|nd|rd|th)"",""$1"")),""yyyy-mm-dd"")"),"2024-04-16")</f>
        <v>2024-04-16</v>
      </c>
    </row>
    <row r="83">
      <c r="A83" s="4" t="s">
        <v>525</v>
      </c>
      <c r="B83" s="5" t="s">
        <v>526</v>
      </c>
      <c r="C83" s="4" t="s">
        <v>45</v>
      </c>
      <c r="D83" s="6" t="str">
        <f>IFERROR(__xludf.DUMMYFUNCTION("GOOGLETRANSLATE(C83,""auto"",""en"")"),"1")</f>
        <v>1</v>
      </c>
      <c r="E83" s="4" t="s">
        <v>506</v>
      </c>
      <c r="F83" s="5">
        <f>IFERROR(__xludf.DUMMYFUNCTION("SPLIT(E83,""-"")
"),1500.0)</f>
        <v>1500</v>
      </c>
      <c r="G83" s="5"/>
      <c r="H83" s="5">
        <f t="shared" si="1"/>
        <v>1500</v>
      </c>
      <c r="I83" s="5" t="s">
        <v>527</v>
      </c>
      <c r="J83" s="5" t="str">
        <f t="shared" si="2"/>
        <v>Itasy</v>
      </c>
      <c r="K83" s="4" t="s">
        <v>107</v>
      </c>
      <c r="L83" s="5">
        <v>60.0</v>
      </c>
      <c r="M83" s="5" t="s">
        <v>383</v>
      </c>
      <c r="N83" s="5" t="str">
        <f>IFERROR(__xludf.DUMMYFUNCTION("PROPER(GOOGLETRANSLATE(M83, ""auto"", ""en""))"),"Nkg Quality Service (A Division Of Bernhard Rothfos Intercafé Ag)")</f>
        <v>Nkg Quality Service (A Division Of Bernhard Rothfos Intercafé Ag)</v>
      </c>
      <c r="O83" s="4" t="s">
        <v>94</v>
      </c>
      <c r="P83" s="5" t="str">
        <f t="shared" si="3"/>
        <v>2022</v>
      </c>
      <c r="Q83" s="5" t="s">
        <v>215</v>
      </c>
      <c r="R83" s="6" t="str">
        <f>IFERROR(__xludf.DUMMYFUNCTION("TEXT(DATEVALUE(REGEXREPLACE(Q83,""(\d+)(st|nd|rd|th)"",""$1"")),""yyyy-mm-dd"")"),"2022-12-12")</f>
        <v>2022-12-12</v>
      </c>
      <c r="S83" s="7" t="s">
        <v>138</v>
      </c>
      <c r="T83" s="5" t="s">
        <v>50</v>
      </c>
      <c r="U83" s="5" t="s">
        <v>69</v>
      </c>
      <c r="V83" s="4" t="s">
        <v>70</v>
      </c>
      <c r="W83" s="4" t="s">
        <v>70</v>
      </c>
      <c r="X83" s="4" t="s">
        <v>250</v>
      </c>
      <c r="Y83" s="4" t="s">
        <v>154</v>
      </c>
      <c r="Z83" s="4" t="s">
        <v>250</v>
      </c>
      <c r="AA83" s="4" t="s">
        <v>167</v>
      </c>
      <c r="AB83" s="4" t="s">
        <v>56</v>
      </c>
      <c r="AC83" s="4" t="s">
        <v>56</v>
      </c>
      <c r="AD83" s="4" t="s">
        <v>56</v>
      </c>
      <c r="AE83" s="4" t="s">
        <v>112</v>
      </c>
      <c r="AF83" s="4" t="s">
        <v>40</v>
      </c>
      <c r="AG83" s="4" t="s">
        <v>522</v>
      </c>
      <c r="AH83" s="4" t="s">
        <v>528</v>
      </c>
      <c r="AI83" s="4" t="s">
        <v>40</v>
      </c>
      <c r="AJ83" s="4" t="s">
        <v>40</v>
      </c>
      <c r="AK83" s="5" t="s">
        <v>74</v>
      </c>
      <c r="AL83" s="4" t="s">
        <v>40</v>
      </c>
      <c r="AM83" s="5" t="s">
        <v>218</v>
      </c>
      <c r="AN83" s="6" t="str">
        <f>IFERROR(__xludf.DUMMYFUNCTION("TEXT(DATEVALUE(REGEXREPLACE(AM83,""(\d+)(st|nd|rd|th)"",""$1"")),""yyyy-mm-dd"")"),"2023-12-12")</f>
        <v>2023-12-12</v>
      </c>
    </row>
    <row r="84">
      <c r="A84" s="4" t="s">
        <v>529</v>
      </c>
      <c r="B84" s="5" t="s">
        <v>472</v>
      </c>
      <c r="C84" s="4" t="s">
        <v>71</v>
      </c>
      <c r="D84" s="6" t="str">
        <f>IFERROR(__xludf.DUMMYFUNCTION("GOOGLETRANSLATE(C84,""auto"",""en"")"),"8")</f>
        <v>8</v>
      </c>
      <c r="E84" s="4" t="s">
        <v>473</v>
      </c>
      <c r="F84" s="5">
        <f>IFERROR(__xludf.DUMMYFUNCTION("SPLIT(E84,""-"")
"),1368.0)</f>
        <v>1368</v>
      </c>
      <c r="G84" s="5"/>
      <c r="H84" s="5">
        <f t="shared" si="1"/>
        <v>1368</v>
      </c>
      <c r="I84" s="5" t="s">
        <v>474</v>
      </c>
      <c r="J84" s="5" t="str">
        <f t="shared" si="2"/>
        <v>Centro, Lagunetillas-Ajuterique, Comayagua</v>
      </c>
      <c r="K84" s="4" t="s">
        <v>530</v>
      </c>
      <c r="L84" s="5">
        <v>30.0</v>
      </c>
      <c r="M84" s="5" t="s">
        <v>476</v>
      </c>
      <c r="N84" s="5" t="str">
        <f>IFERROR(__xludf.DUMMYFUNCTION("PROPER(GOOGLETRANSLATE(M84, ""auto"", ""en""))"),"Honduran Coffee Institute")</f>
        <v>Honduran Coffee Institute</v>
      </c>
      <c r="O84" s="5" t="s">
        <v>136</v>
      </c>
      <c r="P84" s="5" t="str">
        <f t="shared" si="3"/>
        <v>2022</v>
      </c>
      <c r="Q84" s="5" t="s">
        <v>477</v>
      </c>
      <c r="R84" s="6" t="str">
        <f>IFERROR(__xludf.DUMMYFUNCTION("TEXT(DATEVALUE(REGEXREPLACE(Q84,""(\d+)(st|nd|rd|th)"",""$1"")),""yyyy-mm-dd"")"),"2023-04-25")</f>
        <v>2023-04-25</v>
      </c>
      <c r="S84" s="7" t="s">
        <v>359</v>
      </c>
      <c r="T84" s="5" t="s">
        <v>50</v>
      </c>
      <c r="U84" s="5" t="s">
        <v>69</v>
      </c>
      <c r="V84" s="4" t="s">
        <v>154</v>
      </c>
      <c r="W84" s="4" t="s">
        <v>154</v>
      </c>
      <c r="X84" s="4" t="s">
        <v>250</v>
      </c>
      <c r="Y84" s="4" t="s">
        <v>112</v>
      </c>
      <c r="Z84" s="4" t="s">
        <v>154</v>
      </c>
      <c r="AA84" s="4" t="s">
        <v>154</v>
      </c>
      <c r="AB84" s="4" t="s">
        <v>56</v>
      </c>
      <c r="AC84" s="4" t="s">
        <v>56</v>
      </c>
      <c r="AD84" s="4" t="s">
        <v>56</v>
      </c>
      <c r="AE84" s="4" t="s">
        <v>154</v>
      </c>
      <c r="AF84" s="4" t="s">
        <v>40</v>
      </c>
      <c r="AG84" s="4" t="s">
        <v>531</v>
      </c>
      <c r="AH84" s="4" t="s">
        <v>182</v>
      </c>
      <c r="AI84" s="4" t="s">
        <v>40</v>
      </c>
      <c r="AJ84" s="4" t="s">
        <v>40</v>
      </c>
      <c r="AK84" s="5" t="s">
        <v>59</v>
      </c>
      <c r="AL84" s="4" t="s">
        <v>76</v>
      </c>
      <c r="AM84" s="5" t="s">
        <v>478</v>
      </c>
      <c r="AN84" s="6" t="str">
        <f>IFERROR(__xludf.DUMMYFUNCTION("TEXT(DATEVALUE(REGEXREPLACE(AM84,""(\d+)(st|nd|rd|th)"",""$1"")),""yyyy-mm-dd"")"),"2024-04-24")</f>
        <v>2024-04-24</v>
      </c>
    </row>
    <row r="85">
      <c r="A85" s="4" t="s">
        <v>532</v>
      </c>
      <c r="B85" s="5" t="s">
        <v>108</v>
      </c>
      <c r="C85" s="5" t="s">
        <v>533</v>
      </c>
      <c r="D85" s="6" t="str">
        <f>IFERROR(__xludf.DUMMYFUNCTION("GOOGLETRANSLATE(C85,""auto"",""en"")"),"11/441/49")</f>
        <v>11/441/49</v>
      </c>
      <c r="E85" s="4" t="s">
        <v>348</v>
      </c>
      <c r="F85" s="5">
        <f>IFERROR(__xludf.DUMMYFUNCTION("SPLIT(E85,""-"")
"),1600.0)</f>
        <v>1600</v>
      </c>
      <c r="G85" s="5"/>
      <c r="H85" s="5">
        <f t="shared" si="1"/>
        <v>1600</v>
      </c>
      <c r="I85" s="5" t="s">
        <v>363</v>
      </c>
      <c r="J85" s="5" t="str">
        <f t="shared" si="2"/>
        <v>Quiche</v>
      </c>
      <c r="K85" s="4" t="s">
        <v>364</v>
      </c>
      <c r="L85" s="5">
        <v>69.0</v>
      </c>
      <c r="M85" s="5" t="s">
        <v>350</v>
      </c>
      <c r="N85" s="5" t="str">
        <f>IFERROR(__xludf.DUMMYFUNCTION("PROPER(GOOGLETRANSLATE(M85, ""auto"", ""en""))"),"National Coffee Association")</f>
        <v>National Coffee Association</v>
      </c>
      <c r="O85" s="5" t="s">
        <v>47</v>
      </c>
      <c r="P85" s="5" t="str">
        <f t="shared" si="3"/>
        <v>2021</v>
      </c>
      <c r="Q85" s="5" t="s">
        <v>432</v>
      </c>
      <c r="R85" s="6" t="str">
        <f>IFERROR(__xludf.DUMMYFUNCTION("TEXT(DATEVALUE(REGEXREPLACE(Q85,""(\d+)(st|nd|rd|th)"",""$1"")),""yyyy-mm-dd"")"),"2022-05-19")</f>
        <v>2022-05-19</v>
      </c>
      <c r="S85" s="7" t="s">
        <v>175</v>
      </c>
      <c r="T85" s="5" t="s">
        <v>50</v>
      </c>
      <c r="U85" s="5" t="s">
        <v>69</v>
      </c>
      <c r="V85" s="4" t="s">
        <v>250</v>
      </c>
      <c r="W85" s="4" t="s">
        <v>70</v>
      </c>
      <c r="X85" s="4" t="s">
        <v>250</v>
      </c>
      <c r="Y85" s="4" t="s">
        <v>112</v>
      </c>
      <c r="Z85" s="4" t="s">
        <v>154</v>
      </c>
      <c r="AA85" s="4" t="s">
        <v>167</v>
      </c>
      <c r="AB85" s="4" t="s">
        <v>56</v>
      </c>
      <c r="AC85" s="4" t="s">
        <v>56</v>
      </c>
      <c r="AD85" s="4" t="s">
        <v>56</v>
      </c>
      <c r="AE85" s="4" t="s">
        <v>154</v>
      </c>
      <c r="AF85" s="4" t="s">
        <v>40</v>
      </c>
      <c r="AG85" s="4" t="s">
        <v>534</v>
      </c>
      <c r="AH85" s="4" t="s">
        <v>140</v>
      </c>
      <c r="AI85" s="4" t="s">
        <v>40</v>
      </c>
      <c r="AJ85" s="4" t="s">
        <v>60</v>
      </c>
      <c r="AK85" s="5" t="s">
        <v>59</v>
      </c>
      <c r="AL85" s="4" t="s">
        <v>76</v>
      </c>
      <c r="AM85" s="5" t="s">
        <v>433</v>
      </c>
      <c r="AN85" s="6" t="str">
        <f>IFERROR(__xludf.DUMMYFUNCTION("TEXT(DATEVALUE(REGEXREPLACE(AM85,""(\d+)(st|nd|rd|th)"",""$1"")),""yyyy-mm-dd"")"),"2023-05-19")</f>
        <v>2023-05-19</v>
      </c>
    </row>
    <row r="86">
      <c r="A86" s="4" t="s">
        <v>535</v>
      </c>
      <c r="B86" s="5" t="s">
        <v>62</v>
      </c>
      <c r="C86" s="5" t="s">
        <v>536</v>
      </c>
      <c r="D86" s="6" t="str">
        <f>IFERROR(__xludf.DUMMYFUNCTION("GOOGLETRANSLATE(C86,""auto"",""en"")"),"A32-Northern Taiwan Specialty Coffee Evaluation")</f>
        <v>A32-Northern Taiwan Specialty Coffee Evaluation</v>
      </c>
      <c r="E86" s="4" t="s">
        <v>341</v>
      </c>
      <c r="F86" s="5">
        <f>IFERROR(__xludf.DUMMYFUNCTION("SPLIT(E86,""-"")
"),150.0)</f>
        <v>150</v>
      </c>
      <c r="G86" s="5"/>
      <c r="H86" s="5">
        <f t="shared" si="1"/>
        <v>150</v>
      </c>
      <c r="I86" s="5" t="s">
        <v>537</v>
      </c>
      <c r="J86" s="5" t="str">
        <f t="shared" si="2"/>
        <v>新北市</v>
      </c>
      <c r="K86" s="4" t="s">
        <v>45</v>
      </c>
      <c r="L86" s="5">
        <v>110.0</v>
      </c>
      <c r="M86" s="5" t="s">
        <v>66</v>
      </c>
      <c r="N86" s="5" t="str">
        <f>IFERROR(__xludf.DUMMYFUNCTION("PROPER(GOOGLETRANSLATE(M86, ""auto"", ""en""))"),"Taiwan Coffee Laboratory")</f>
        <v>Taiwan Coffee Laboratory</v>
      </c>
      <c r="O86" s="5" t="s">
        <v>47</v>
      </c>
      <c r="P86" s="5" t="str">
        <f t="shared" si="3"/>
        <v>2021</v>
      </c>
      <c r="Q86" s="5" t="s">
        <v>243</v>
      </c>
      <c r="R86" s="6" t="str">
        <f>IFERROR(__xludf.DUMMYFUNCTION("TEXT(DATEVALUE(REGEXREPLACE(Q86,""(\d+)(st|nd|rd|th)"",""$1"")),""yyyy-mm-dd"")"),"2023-01-06")</f>
        <v>2023-01-06</v>
      </c>
      <c r="S86" s="7" t="s">
        <v>234</v>
      </c>
      <c r="T86" s="5" t="s">
        <v>50</v>
      </c>
      <c r="U86" s="5" t="s">
        <v>180</v>
      </c>
      <c r="V86" s="4" t="s">
        <v>112</v>
      </c>
      <c r="W86" s="4" t="s">
        <v>70</v>
      </c>
      <c r="X86" s="4" t="s">
        <v>112</v>
      </c>
      <c r="Y86" s="4" t="s">
        <v>250</v>
      </c>
      <c r="Z86" s="4" t="s">
        <v>250</v>
      </c>
      <c r="AA86" s="4" t="s">
        <v>167</v>
      </c>
      <c r="AB86" s="4" t="s">
        <v>56</v>
      </c>
      <c r="AC86" s="4" t="s">
        <v>56</v>
      </c>
      <c r="AD86" s="4" t="s">
        <v>56</v>
      </c>
      <c r="AE86" s="4" t="s">
        <v>167</v>
      </c>
      <c r="AF86" s="4" t="s">
        <v>40</v>
      </c>
      <c r="AG86" s="4" t="s">
        <v>534</v>
      </c>
      <c r="AH86" s="4" t="s">
        <v>128</v>
      </c>
      <c r="AI86" s="4" t="s">
        <v>40</v>
      </c>
      <c r="AJ86" s="4" t="s">
        <v>40</v>
      </c>
      <c r="AK86" s="5" t="s">
        <v>59</v>
      </c>
      <c r="AL86" s="4" t="s">
        <v>76</v>
      </c>
      <c r="AM86" s="5" t="s">
        <v>245</v>
      </c>
      <c r="AN86" s="6" t="str">
        <f>IFERROR(__xludf.DUMMYFUNCTION("TEXT(DATEVALUE(REGEXREPLACE(AM86,""(\d+)(st|nd|rd|th)"",""$1"")),""yyyy-mm-dd"")"),"2024-01-06")</f>
        <v>2024-01-06</v>
      </c>
    </row>
    <row r="87">
      <c r="A87" s="4" t="s">
        <v>337</v>
      </c>
      <c r="B87" s="5" t="s">
        <v>62</v>
      </c>
      <c r="C87" s="5" t="s">
        <v>538</v>
      </c>
      <c r="D87" s="6" t="str">
        <f>IFERROR(__xludf.DUMMYFUNCTION("GOOGLETRANSLATE(C87,""auto"",""en"")"),"The 2022 Pacific Rim Coffee Summit,T017")</f>
        <v>The 2022 Pacific Rim Coffee Summit,T017</v>
      </c>
      <c r="E87" s="4" t="s">
        <v>326</v>
      </c>
      <c r="F87" s="5">
        <f>IFERROR(__xludf.DUMMYFUNCTION("SPLIT(E87,""-"")
"),800.0)</f>
        <v>800</v>
      </c>
      <c r="G87" s="5"/>
      <c r="H87" s="5">
        <f t="shared" si="1"/>
        <v>800</v>
      </c>
      <c r="I87" s="5" t="s">
        <v>159</v>
      </c>
      <c r="J87" s="5" t="str">
        <f t="shared" si="2"/>
        <v>Yunlin</v>
      </c>
      <c r="K87" s="4" t="s">
        <v>45</v>
      </c>
      <c r="L87" s="5">
        <v>80.0</v>
      </c>
      <c r="M87" s="5" t="s">
        <v>66</v>
      </c>
      <c r="N87" s="5" t="str">
        <f>IFERROR(__xludf.DUMMYFUNCTION("PROPER(GOOGLETRANSLATE(M87, ""auto"", ""en""))"),"Taiwan Coffee Laboratory")</f>
        <v>Taiwan Coffee Laboratory</v>
      </c>
      <c r="O87" s="5" t="s">
        <v>47</v>
      </c>
      <c r="P87" s="5" t="str">
        <f t="shared" si="3"/>
        <v>2021</v>
      </c>
      <c r="Q87" s="5" t="s">
        <v>67</v>
      </c>
      <c r="R87" s="6" t="str">
        <f>IFERROR(__xludf.DUMMYFUNCTION("TEXT(DATEVALUE(REGEXREPLACE(Q87,""(\d+)(st|nd|rd|th)"",""$1"")),""yyyy-mm-dd"")"),"2022-11-15")</f>
        <v>2022-11-15</v>
      </c>
      <c r="S87" s="7" t="s">
        <v>68</v>
      </c>
      <c r="T87" s="5" t="s">
        <v>50</v>
      </c>
      <c r="U87" s="5" t="s">
        <v>123</v>
      </c>
      <c r="V87" s="4" t="s">
        <v>70</v>
      </c>
      <c r="W87" s="4" t="s">
        <v>154</v>
      </c>
      <c r="X87" s="4" t="s">
        <v>167</v>
      </c>
      <c r="Y87" s="4" t="s">
        <v>154</v>
      </c>
      <c r="Z87" s="4" t="s">
        <v>154</v>
      </c>
      <c r="AA87" s="4" t="s">
        <v>71</v>
      </c>
      <c r="AB87" s="4" t="s">
        <v>539</v>
      </c>
      <c r="AC87" s="4" t="s">
        <v>56</v>
      </c>
      <c r="AD87" s="4" t="s">
        <v>56</v>
      </c>
      <c r="AE87" s="4" t="s">
        <v>70</v>
      </c>
      <c r="AF87" s="4" t="s">
        <v>40</v>
      </c>
      <c r="AG87" s="4" t="s">
        <v>534</v>
      </c>
      <c r="AH87" s="4" t="s">
        <v>176</v>
      </c>
      <c r="AI87" s="4" t="s">
        <v>40</v>
      </c>
      <c r="AJ87" s="4" t="s">
        <v>40</v>
      </c>
      <c r="AK87" s="5" t="s">
        <v>105</v>
      </c>
      <c r="AL87" s="4" t="s">
        <v>40</v>
      </c>
      <c r="AM87" s="5" t="s">
        <v>75</v>
      </c>
      <c r="AN87" s="6" t="str">
        <f>IFERROR(__xludf.DUMMYFUNCTION("TEXT(DATEVALUE(REGEXREPLACE(AM87,""(\d+)(st|nd|rd|th)"",""$1"")),""yyyy-mm-dd"")"),"2023-11-15")</f>
        <v>2023-11-15</v>
      </c>
    </row>
    <row r="88">
      <c r="A88" s="4" t="s">
        <v>540</v>
      </c>
      <c r="B88" s="5" t="s">
        <v>108</v>
      </c>
      <c r="C88" s="5" t="s">
        <v>541</v>
      </c>
      <c r="D88" s="6" t="str">
        <f>IFERROR(__xludf.DUMMYFUNCTION("GOOGLETRANSLATE(C88,""auto"",""en"")"),"11/15/51")</f>
        <v>11/15/51</v>
      </c>
      <c r="E88" s="5" t="s">
        <v>542</v>
      </c>
      <c r="F88" s="5">
        <f>IFERROR(__xludf.DUMMYFUNCTION("SPLIT(E88,""-"")
"),1500.0)</f>
        <v>1500</v>
      </c>
      <c r="G88" s="5">
        <f>IFERROR(__xludf.DUMMYFUNCTION("""COMPUTED_VALUE"""),1600.0)</f>
        <v>1600</v>
      </c>
      <c r="H88" s="5">
        <f t="shared" si="1"/>
        <v>1550</v>
      </c>
      <c r="I88" s="5" t="s">
        <v>543</v>
      </c>
      <c r="J88" s="5" t="str">
        <f t="shared" si="2"/>
        <v>Oriente Santa Rosa</v>
      </c>
      <c r="K88" s="4" t="s">
        <v>544</v>
      </c>
      <c r="L88" s="5">
        <v>30.0</v>
      </c>
      <c r="M88" s="5" t="s">
        <v>350</v>
      </c>
      <c r="N88" s="5" t="str">
        <f>IFERROR(__xludf.DUMMYFUNCTION("PROPER(GOOGLETRANSLATE(M88, ""auto"", ""en""))"),"National Coffee Association")</f>
        <v>National Coffee Association</v>
      </c>
      <c r="O88" s="5" t="s">
        <v>136</v>
      </c>
      <c r="P88" s="5" t="str">
        <f t="shared" si="3"/>
        <v>2022</v>
      </c>
      <c r="Q88" s="5" t="s">
        <v>545</v>
      </c>
      <c r="R88" s="6" t="str">
        <f>IFERROR(__xludf.DUMMYFUNCTION("TEXT(DATEVALUE(REGEXREPLACE(Q88,""(\d+)(st|nd|rd|th)"",""$1"")),""yyyy-mm-dd"")"),"2023-03-22")</f>
        <v>2023-03-22</v>
      </c>
      <c r="S88" s="7" t="s">
        <v>175</v>
      </c>
      <c r="T88" s="5" t="s">
        <v>50</v>
      </c>
      <c r="U88" s="5" t="s">
        <v>69</v>
      </c>
      <c r="V88" s="4" t="s">
        <v>167</v>
      </c>
      <c r="W88" s="4" t="s">
        <v>112</v>
      </c>
      <c r="X88" s="4" t="s">
        <v>167</v>
      </c>
      <c r="Y88" s="4" t="s">
        <v>112</v>
      </c>
      <c r="Z88" s="4" t="s">
        <v>154</v>
      </c>
      <c r="AA88" s="4" t="s">
        <v>167</v>
      </c>
      <c r="AB88" s="4" t="s">
        <v>56</v>
      </c>
      <c r="AC88" s="4" t="s">
        <v>56</v>
      </c>
      <c r="AD88" s="4" t="s">
        <v>56</v>
      </c>
      <c r="AE88" s="4" t="s">
        <v>167</v>
      </c>
      <c r="AF88" s="4" t="s">
        <v>40</v>
      </c>
      <c r="AG88" s="4" t="s">
        <v>534</v>
      </c>
      <c r="AH88" s="4" t="s">
        <v>140</v>
      </c>
      <c r="AI88" s="4" t="s">
        <v>40</v>
      </c>
      <c r="AJ88" s="4" t="s">
        <v>45</v>
      </c>
      <c r="AK88" s="5" t="s">
        <v>59</v>
      </c>
      <c r="AL88" s="4" t="s">
        <v>76</v>
      </c>
      <c r="AM88" s="5" t="s">
        <v>546</v>
      </c>
      <c r="AN88" s="6" t="str">
        <f>IFERROR(__xludf.DUMMYFUNCTION("TEXT(DATEVALUE(REGEXREPLACE(AM88,""(\d+)(st|nd|rd|th)"",""$1"")),""yyyy-mm-dd"")"),"2024-03-21")</f>
        <v>2024-03-21</v>
      </c>
    </row>
    <row r="89">
      <c r="A89" s="4" t="s">
        <v>113</v>
      </c>
      <c r="B89" s="5" t="s">
        <v>108</v>
      </c>
      <c r="C89" s="5" t="s">
        <v>547</v>
      </c>
      <c r="D89" s="6" t="str">
        <f>IFERROR(__xludf.DUMMYFUNCTION("GOOGLETRANSLATE(C89,""auto"",""en"")"),"11/15/59")</f>
        <v>11/15/59</v>
      </c>
      <c r="E89" s="5" t="s">
        <v>542</v>
      </c>
      <c r="F89" s="5">
        <f>IFERROR(__xludf.DUMMYFUNCTION("SPLIT(E89,""-"")
"),1500.0)</f>
        <v>1500</v>
      </c>
      <c r="G89" s="5">
        <f>IFERROR(__xludf.DUMMYFUNCTION("""COMPUTED_VALUE"""),1600.0)</f>
        <v>1600</v>
      </c>
      <c r="H89" s="5">
        <f t="shared" si="1"/>
        <v>1550</v>
      </c>
      <c r="I89" s="5" t="s">
        <v>548</v>
      </c>
      <c r="J89" s="5" t="str">
        <f t="shared" si="2"/>
        <v>Sierra De Las Minas</v>
      </c>
      <c r="K89" s="4" t="s">
        <v>205</v>
      </c>
      <c r="L89" s="5">
        <v>30.0</v>
      </c>
      <c r="M89" s="5" t="s">
        <v>350</v>
      </c>
      <c r="N89" s="5" t="str">
        <f>IFERROR(__xludf.DUMMYFUNCTION("PROPER(GOOGLETRANSLATE(M89, ""auto"", ""en""))"),"National Coffee Association")</f>
        <v>National Coffee Association</v>
      </c>
      <c r="O89" s="5" t="s">
        <v>136</v>
      </c>
      <c r="P89" s="5" t="str">
        <f t="shared" si="3"/>
        <v>2022</v>
      </c>
      <c r="Q89" s="5" t="s">
        <v>545</v>
      </c>
      <c r="R89" s="6" t="str">
        <f>IFERROR(__xludf.DUMMYFUNCTION("TEXT(DATEVALUE(REGEXREPLACE(Q89,""(\d+)(st|nd|rd|th)"",""$1"")),""yyyy-mm-dd"")"),"2023-03-22")</f>
        <v>2023-03-22</v>
      </c>
      <c r="S89" s="7" t="s">
        <v>175</v>
      </c>
      <c r="T89" s="5" t="s">
        <v>50</v>
      </c>
      <c r="U89" s="5" t="s">
        <v>69</v>
      </c>
      <c r="V89" s="4" t="s">
        <v>167</v>
      </c>
      <c r="W89" s="4" t="s">
        <v>70</v>
      </c>
      <c r="X89" s="4" t="s">
        <v>167</v>
      </c>
      <c r="Y89" s="4" t="s">
        <v>154</v>
      </c>
      <c r="Z89" s="4" t="s">
        <v>167</v>
      </c>
      <c r="AA89" s="4" t="s">
        <v>250</v>
      </c>
      <c r="AB89" s="4" t="s">
        <v>56</v>
      </c>
      <c r="AC89" s="4" t="s">
        <v>56</v>
      </c>
      <c r="AD89" s="4" t="s">
        <v>56</v>
      </c>
      <c r="AE89" s="4" t="s">
        <v>154</v>
      </c>
      <c r="AF89" s="4" t="s">
        <v>40</v>
      </c>
      <c r="AG89" s="4" t="s">
        <v>535</v>
      </c>
      <c r="AH89" s="4" t="s">
        <v>140</v>
      </c>
      <c r="AI89" s="4" t="s">
        <v>40</v>
      </c>
      <c r="AJ89" s="4" t="s">
        <v>76</v>
      </c>
      <c r="AK89" s="5" t="s">
        <v>59</v>
      </c>
      <c r="AL89" s="4" t="s">
        <v>76</v>
      </c>
      <c r="AM89" s="5" t="s">
        <v>546</v>
      </c>
      <c r="AN89" s="6" t="str">
        <f>IFERROR(__xludf.DUMMYFUNCTION("TEXT(DATEVALUE(REGEXREPLACE(AM89,""(\d+)(st|nd|rd|th)"",""$1"")),""yyyy-mm-dd"")"),"2024-03-21")</f>
        <v>2024-03-21</v>
      </c>
    </row>
    <row r="90">
      <c r="A90" s="4" t="s">
        <v>549</v>
      </c>
      <c r="B90" s="5" t="s">
        <v>472</v>
      </c>
      <c r="C90" s="5" t="s">
        <v>550</v>
      </c>
      <c r="D90" s="6" t="str">
        <f>IFERROR(__xludf.DUMMYFUNCTION("GOOGLETRANSLATE(C90,""auto"",""en"")"),"The 2022 Pacific Rim Coffee Summit,HN04")</f>
        <v>The 2022 Pacific Rim Coffee Summit,HN04</v>
      </c>
      <c r="E90" s="4" t="s">
        <v>551</v>
      </c>
      <c r="F90" s="5">
        <f>IFERROR(__xludf.DUMMYFUNCTION("SPLIT(E90,""-"")
"),1800.0)</f>
        <v>1800</v>
      </c>
      <c r="G90" s="5"/>
      <c r="H90" s="5">
        <f t="shared" si="1"/>
        <v>1800</v>
      </c>
      <c r="I90" s="5" t="s">
        <v>552</v>
      </c>
      <c r="J90" s="5" t="str">
        <f t="shared" si="2"/>
        <v>San Andrés, Lempira</v>
      </c>
      <c r="K90" s="4" t="s">
        <v>183</v>
      </c>
      <c r="L90" s="5">
        <v>30.0</v>
      </c>
      <c r="M90" s="5" t="s">
        <v>66</v>
      </c>
      <c r="N90" s="5" t="str">
        <f>IFERROR(__xludf.DUMMYFUNCTION("PROPER(GOOGLETRANSLATE(M90, ""auto"", ""en""))"),"Taiwan Coffee Laboratory")</f>
        <v>Taiwan Coffee Laboratory</v>
      </c>
      <c r="O90" s="5" t="s">
        <v>47</v>
      </c>
      <c r="P90" s="5" t="str">
        <f t="shared" si="3"/>
        <v>2021</v>
      </c>
      <c r="Q90" s="5" t="s">
        <v>67</v>
      </c>
      <c r="R90" s="6" t="str">
        <f>IFERROR(__xludf.DUMMYFUNCTION("TEXT(DATEVALUE(REGEXREPLACE(Q90,""(\d+)(st|nd|rd|th)"",""$1"")),""yyyy-mm-dd"")"),"2022-11-15")</f>
        <v>2022-11-15</v>
      </c>
      <c r="S90" s="7" t="s">
        <v>216</v>
      </c>
      <c r="T90" s="5" t="s">
        <v>50</v>
      </c>
      <c r="U90" s="5" t="s">
        <v>180</v>
      </c>
      <c r="V90" s="4" t="s">
        <v>154</v>
      </c>
      <c r="W90" s="4" t="s">
        <v>154</v>
      </c>
      <c r="X90" s="4" t="s">
        <v>154</v>
      </c>
      <c r="Y90" s="4" t="s">
        <v>167</v>
      </c>
      <c r="Z90" s="4" t="s">
        <v>154</v>
      </c>
      <c r="AA90" s="4" t="s">
        <v>167</v>
      </c>
      <c r="AB90" s="4" t="s">
        <v>56</v>
      </c>
      <c r="AC90" s="4" t="s">
        <v>56</v>
      </c>
      <c r="AD90" s="4" t="s">
        <v>56</v>
      </c>
      <c r="AE90" s="4" t="s">
        <v>167</v>
      </c>
      <c r="AF90" s="4" t="s">
        <v>40</v>
      </c>
      <c r="AG90" s="4" t="s">
        <v>535</v>
      </c>
      <c r="AH90" s="4" t="s">
        <v>294</v>
      </c>
      <c r="AI90" s="4" t="s">
        <v>40</v>
      </c>
      <c r="AJ90" s="4" t="s">
        <v>40</v>
      </c>
      <c r="AK90" s="5" t="s">
        <v>59</v>
      </c>
      <c r="AL90" s="4" t="s">
        <v>40</v>
      </c>
      <c r="AM90" s="5" t="s">
        <v>75</v>
      </c>
      <c r="AN90" s="6" t="str">
        <f>IFERROR(__xludf.DUMMYFUNCTION("TEXT(DATEVALUE(REGEXREPLACE(AM90,""(\d+)(st|nd|rd|th)"",""$1"")),""yyyy-mm-dd"")"),"2023-11-15")</f>
        <v>2023-11-15</v>
      </c>
    </row>
    <row r="91">
      <c r="A91" s="4" t="s">
        <v>553</v>
      </c>
      <c r="B91" s="5" t="s">
        <v>130</v>
      </c>
      <c r="C91" s="5" t="s">
        <v>554</v>
      </c>
      <c r="D91" s="6" t="str">
        <f>IFERROR(__xludf.DUMMYFUNCTION("GOOGLETRANSLATE(C91,""auto"",""en"")"),"CN 4127230031/P-9139")</f>
        <v>CN 4127230031/P-9139</v>
      </c>
      <c r="E91" s="5" t="s">
        <v>555</v>
      </c>
      <c r="F91" s="5">
        <f>IFERROR(__xludf.DUMMYFUNCTION("SPLIT(E91,""-"")
"),1600.0)</f>
        <v>1600</v>
      </c>
      <c r="G91" s="5">
        <f>IFERROR(__xludf.DUMMYFUNCTION("""COMPUTED_VALUE"""),1750.0)</f>
        <v>1750</v>
      </c>
      <c r="H91" s="5">
        <f t="shared" si="1"/>
        <v>1675</v>
      </c>
      <c r="I91" s="5" t="s">
        <v>556</v>
      </c>
      <c r="J91" s="5" t="str">
        <f t="shared" si="2"/>
        <v>Arusha</v>
      </c>
      <c r="K91" s="4" t="s">
        <v>205</v>
      </c>
      <c r="L91" s="5">
        <v>60.0</v>
      </c>
      <c r="M91" s="5" t="s">
        <v>135</v>
      </c>
      <c r="N91" s="5" t="str">
        <f>IFERROR(__xludf.DUMMYFUNCTION("PROPER(GOOGLETRANSLATE(M91, ""auto"", ""en""))"),"Kenya Coffee Traders Association")</f>
        <v>Kenya Coffee Traders Association</v>
      </c>
      <c r="O91" s="5" t="s">
        <v>136</v>
      </c>
      <c r="P91" s="5" t="str">
        <f t="shared" si="3"/>
        <v>2022</v>
      </c>
      <c r="Q91" s="5" t="s">
        <v>557</v>
      </c>
      <c r="R91" s="6" t="str">
        <f>IFERROR(__xludf.DUMMYFUNCTION("TEXT(DATEVALUE(REGEXREPLACE(Q91,""(\d+)(st|nd|rd|th)"",""$1"")),""yyyy-mm-dd"")"),"2023-01-03")</f>
        <v>2023-01-03</v>
      </c>
      <c r="S91" s="7" t="s">
        <v>138</v>
      </c>
      <c r="T91" s="5" t="s">
        <v>50</v>
      </c>
      <c r="U91" s="5" t="s">
        <v>69</v>
      </c>
      <c r="V91" s="4" t="s">
        <v>250</v>
      </c>
      <c r="W91" s="4" t="s">
        <v>167</v>
      </c>
      <c r="X91" s="4" t="s">
        <v>154</v>
      </c>
      <c r="Y91" s="4" t="s">
        <v>154</v>
      </c>
      <c r="Z91" s="4" t="s">
        <v>154</v>
      </c>
      <c r="AA91" s="4" t="s">
        <v>154</v>
      </c>
      <c r="AB91" s="4" t="s">
        <v>56</v>
      </c>
      <c r="AC91" s="4" t="s">
        <v>56</v>
      </c>
      <c r="AD91" s="4" t="s">
        <v>56</v>
      </c>
      <c r="AE91" s="4" t="s">
        <v>154</v>
      </c>
      <c r="AF91" s="4" t="s">
        <v>40</v>
      </c>
      <c r="AG91" s="4" t="s">
        <v>535</v>
      </c>
      <c r="AH91" s="4" t="s">
        <v>226</v>
      </c>
      <c r="AI91" s="4" t="s">
        <v>40</v>
      </c>
      <c r="AJ91" s="4" t="s">
        <v>40</v>
      </c>
      <c r="AK91" s="5" t="s">
        <v>59</v>
      </c>
      <c r="AL91" s="4" t="s">
        <v>60</v>
      </c>
      <c r="AM91" s="5" t="s">
        <v>558</v>
      </c>
      <c r="AN91" s="6" t="str">
        <f>IFERROR(__xludf.DUMMYFUNCTION("TEXT(DATEVALUE(REGEXREPLACE(AM91,""(\d+)(st|nd|rd|th)"",""$1"")),""yyyy-mm-dd"")"),"2024-01-03")</f>
        <v>2024-01-03</v>
      </c>
    </row>
    <row r="92">
      <c r="A92" s="4" t="s">
        <v>559</v>
      </c>
      <c r="B92" s="5" t="s">
        <v>142</v>
      </c>
      <c r="C92" s="4" t="s">
        <v>560</v>
      </c>
      <c r="D92" s="6" t="str">
        <f>IFERROR(__xludf.DUMMYFUNCTION("GOOGLETRANSLATE(C92,""auto"",""en"")"),"1077")</f>
        <v>1077</v>
      </c>
      <c r="E92" s="4" t="s">
        <v>551</v>
      </c>
      <c r="F92" s="5">
        <f>IFERROR(__xludf.DUMMYFUNCTION("SPLIT(E92,""-"")
"),1800.0)</f>
        <v>1800</v>
      </c>
      <c r="G92" s="5"/>
      <c r="H92" s="5">
        <f t="shared" si="1"/>
        <v>1800</v>
      </c>
      <c r="I92" s="5" t="s">
        <v>561</v>
      </c>
      <c r="J92" s="5" t="str">
        <f t="shared" si="2"/>
        <v>Sidama</v>
      </c>
      <c r="K92" s="4" t="s">
        <v>305</v>
      </c>
      <c r="L92" s="5">
        <v>60.0</v>
      </c>
      <c r="M92" s="5" t="s">
        <v>562</v>
      </c>
      <c r="N92" s="5" t="str">
        <f>IFERROR(__xludf.DUMMYFUNCTION("PROPER(GOOGLETRANSLATE(M92, ""auto"", ""en""))"),"Agroecological Coffee Center A.C.")</f>
        <v>Agroecological Coffee Center A.C.</v>
      </c>
      <c r="O92" s="5" t="s">
        <v>47</v>
      </c>
      <c r="P92" s="5" t="str">
        <f t="shared" si="3"/>
        <v>2021</v>
      </c>
      <c r="Q92" s="5" t="s">
        <v>563</v>
      </c>
      <c r="R92" s="6" t="str">
        <f>IFERROR(__xludf.DUMMYFUNCTION("TEXT(DATEVALUE(REGEXREPLACE(Q92,""(\d+)(st|nd|rd|th)"",""$1"")),""yyyy-mm-dd"")"),"2022-11-18")</f>
        <v>2022-11-18</v>
      </c>
      <c r="S92" s="7" t="s">
        <v>147</v>
      </c>
      <c r="T92" s="5" t="s">
        <v>50</v>
      </c>
      <c r="U92" s="5" t="s">
        <v>69</v>
      </c>
      <c r="V92" s="4" t="s">
        <v>71</v>
      </c>
      <c r="W92" s="4" t="s">
        <v>154</v>
      </c>
      <c r="X92" s="4" t="s">
        <v>439</v>
      </c>
      <c r="Y92" s="4" t="s">
        <v>167</v>
      </c>
      <c r="Z92" s="4" t="s">
        <v>167</v>
      </c>
      <c r="AA92" s="4" t="s">
        <v>167</v>
      </c>
      <c r="AB92" s="4" t="s">
        <v>56</v>
      </c>
      <c r="AC92" s="4" t="s">
        <v>56</v>
      </c>
      <c r="AD92" s="4" t="s">
        <v>56</v>
      </c>
      <c r="AE92" s="4" t="s">
        <v>154</v>
      </c>
      <c r="AF92" s="4" t="s">
        <v>40</v>
      </c>
      <c r="AG92" s="4" t="s">
        <v>535</v>
      </c>
      <c r="AH92" s="4" t="s">
        <v>189</v>
      </c>
      <c r="AI92" s="4" t="s">
        <v>45</v>
      </c>
      <c r="AJ92" s="4" t="s">
        <v>45</v>
      </c>
      <c r="AK92" s="5" t="s">
        <v>59</v>
      </c>
      <c r="AL92" s="4" t="s">
        <v>45</v>
      </c>
      <c r="AM92" s="5" t="s">
        <v>564</v>
      </c>
      <c r="AN92" s="6" t="str">
        <f>IFERROR(__xludf.DUMMYFUNCTION("TEXT(DATEVALUE(REGEXREPLACE(AM92,""(\d+)(st|nd|rd|th)"",""$1"")),""yyyy-mm-dd"")"),"2023-11-18")</f>
        <v>2023-11-18</v>
      </c>
    </row>
    <row r="93">
      <c r="A93" s="4" t="s">
        <v>565</v>
      </c>
      <c r="B93" s="5" t="s">
        <v>130</v>
      </c>
      <c r="C93" s="5" t="s">
        <v>566</v>
      </c>
      <c r="D93" s="6" t="str">
        <f>IFERROR(__xludf.DUMMYFUNCTION("GOOGLETRANSLATE(C93,""auto"",""en"")"),"CN 4127220159/4189220459")</f>
        <v>CN 4127220159/4189220459</v>
      </c>
      <c r="E93" s="5" t="s">
        <v>132</v>
      </c>
      <c r="F93" s="5">
        <f>IFERROR(__xludf.DUMMYFUNCTION("SPLIT(E93,""-"")
"),1400.0)</f>
        <v>1400</v>
      </c>
      <c r="G93" s="5">
        <f>IFERROR(__xludf.DUMMYFUNCTION("""COMPUTED_VALUE"""),1700.0)</f>
        <v>1700</v>
      </c>
      <c r="H93" s="5">
        <f t="shared" si="1"/>
        <v>1550</v>
      </c>
      <c r="I93" s="5" t="s">
        <v>133</v>
      </c>
      <c r="J93" s="5" t="str">
        <f t="shared" si="2"/>
        <v>Kilimanjaro</v>
      </c>
      <c r="K93" s="4" t="s">
        <v>134</v>
      </c>
      <c r="L93" s="5">
        <v>60.0</v>
      </c>
      <c r="M93" s="5" t="s">
        <v>135</v>
      </c>
      <c r="N93" s="5" t="str">
        <f>IFERROR(__xludf.DUMMYFUNCTION("PROPER(GOOGLETRANSLATE(M93, ""auto"", ""en""))"),"Kenya Coffee Traders Association")</f>
        <v>Kenya Coffee Traders Association</v>
      </c>
      <c r="O93" s="5" t="s">
        <v>136</v>
      </c>
      <c r="P93" s="5" t="str">
        <f t="shared" si="3"/>
        <v>2022</v>
      </c>
      <c r="Q93" s="5" t="s">
        <v>567</v>
      </c>
      <c r="R93" s="6" t="str">
        <f>IFERROR(__xludf.DUMMYFUNCTION("TEXT(DATEVALUE(REGEXREPLACE(Q93,""(\d+)(st|nd|rd|th)"",""$1"")),""yyyy-mm-dd"")"),"2022-11-21")</f>
        <v>2022-11-21</v>
      </c>
      <c r="S93" s="7" t="s">
        <v>138</v>
      </c>
      <c r="T93" s="5" t="s">
        <v>50</v>
      </c>
      <c r="U93" s="5" t="s">
        <v>69</v>
      </c>
      <c r="V93" s="4" t="s">
        <v>154</v>
      </c>
      <c r="W93" s="4" t="s">
        <v>250</v>
      </c>
      <c r="X93" s="4" t="s">
        <v>250</v>
      </c>
      <c r="Y93" s="4" t="s">
        <v>70</v>
      </c>
      <c r="Z93" s="4" t="s">
        <v>167</v>
      </c>
      <c r="AA93" s="4" t="s">
        <v>154</v>
      </c>
      <c r="AB93" s="4" t="s">
        <v>56</v>
      </c>
      <c r="AC93" s="4" t="s">
        <v>56</v>
      </c>
      <c r="AD93" s="4" t="s">
        <v>56</v>
      </c>
      <c r="AE93" s="4" t="s">
        <v>154</v>
      </c>
      <c r="AF93" s="4" t="s">
        <v>40</v>
      </c>
      <c r="AG93" s="4" t="s">
        <v>535</v>
      </c>
      <c r="AH93" s="4" t="s">
        <v>104</v>
      </c>
      <c r="AI93" s="4" t="s">
        <v>40</v>
      </c>
      <c r="AJ93" s="4" t="s">
        <v>40</v>
      </c>
      <c r="AK93" s="5" t="s">
        <v>59</v>
      </c>
      <c r="AL93" s="4" t="s">
        <v>76</v>
      </c>
      <c r="AM93" s="5" t="s">
        <v>568</v>
      </c>
      <c r="AN93" s="6" t="str">
        <f>IFERROR(__xludf.DUMMYFUNCTION("TEXT(DATEVALUE(REGEXREPLACE(AM93,""(\d+)(st|nd|rd|th)"",""$1"")),""yyyy-mm-dd"")"),"2023-11-21")</f>
        <v>2023-11-21</v>
      </c>
    </row>
    <row r="94">
      <c r="A94" s="4" t="s">
        <v>569</v>
      </c>
      <c r="B94" s="5" t="s">
        <v>41</v>
      </c>
      <c r="C94" s="5" t="s">
        <v>570</v>
      </c>
      <c r="D94" s="6" t="str">
        <f>IFERROR(__xludf.DUMMYFUNCTION("GOOGLETRANSLATE(C94,""auto"",""en"")"),"3-002-00883")</f>
        <v>3-002-00883</v>
      </c>
      <c r="E94" s="5" t="s">
        <v>132</v>
      </c>
      <c r="F94" s="5">
        <f>IFERROR(__xludf.DUMMYFUNCTION("SPLIT(E94,""-"")
"),1400.0)</f>
        <v>1400</v>
      </c>
      <c r="G94" s="5">
        <f>IFERROR(__xludf.DUMMYFUNCTION("""COMPUTED_VALUE"""),1700.0)</f>
        <v>1700</v>
      </c>
      <c r="H94" s="5">
        <f t="shared" si="1"/>
        <v>1550</v>
      </c>
      <c r="I94" s="5" t="s">
        <v>571</v>
      </c>
      <c r="J94" s="5" t="str">
        <f t="shared" si="2"/>
        <v>Huila</v>
      </c>
      <c r="K94" s="4" t="s">
        <v>364</v>
      </c>
      <c r="L94" s="5">
        <v>70.0</v>
      </c>
      <c r="M94" s="5" t="s">
        <v>383</v>
      </c>
      <c r="N94" s="5" t="str">
        <f>IFERROR(__xludf.DUMMYFUNCTION("PROPER(GOOGLETRANSLATE(M94, ""auto"", ""en""))"),"Nkg Quality Service (A Division Of Bernhard Rothfos Intercafé Ag)")</f>
        <v>Nkg Quality Service (A Division Of Bernhard Rothfos Intercafé Ag)</v>
      </c>
      <c r="O94" s="4" t="s">
        <v>94</v>
      </c>
      <c r="P94" s="5" t="str">
        <f t="shared" si="3"/>
        <v>2022</v>
      </c>
      <c r="Q94" s="5" t="s">
        <v>572</v>
      </c>
      <c r="R94" s="6" t="str">
        <f>IFERROR(__xludf.DUMMYFUNCTION("TEXT(DATEVALUE(REGEXREPLACE(Q94,""(\d+)(st|nd|rd|th)"",""$1"")),""yyyy-mm-dd"")"),"2022-07-27")</f>
        <v>2022-07-27</v>
      </c>
      <c r="S94" s="7" t="s">
        <v>175</v>
      </c>
      <c r="T94" s="5" t="s">
        <v>50</v>
      </c>
      <c r="U94" s="5" t="s">
        <v>69</v>
      </c>
      <c r="V94" s="4" t="s">
        <v>167</v>
      </c>
      <c r="W94" s="4" t="s">
        <v>112</v>
      </c>
      <c r="X94" s="4" t="s">
        <v>250</v>
      </c>
      <c r="Y94" s="4" t="s">
        <v>70</v>
      </c>
      <c r="Z94" s="4" t="s">
        <v>167</v>
      </c>
      <c r="AA94" s="4" t="s">
        <v>167</v>
      </c>
      <c r="AB94" s="4" t="s">
        <v>56</v>
      </c>
      <c r="AC94" s="4" t="s">
        <v>56</v>
      </c>
      <c r="AD94" s="4" t="s">
        <v>56</v>
      </c>
      <c r="AE94" s="4" t="s">
        <v>167</v>
      </c>
      <c r="AF94" s="4" t="s">
        <v>40</v>
      </c>
      <c r="AG94" s="4" t="s">
        <v>535</v>
      </c>
      <c r="AH94" s="4" t="s">
        <v>573</v>
      </c>
      <c r="AI94" s="4" t="s">
        <v>40</v>
      </c>
      <c r="AJ94" s="4" t="s">
        <v>76</v>
      </c>
      <c r="AK94" s="5" t="s">
        <v>59</v>
      </c>
      <c r="AL94" s="4" t="s">
        <v>60</v>
      </c>
      <c r="AM94" s="5" t="s">
        <v>574</v>
      </c>
      <c r="AN94" s="6" t="str">
        <f>IFERROR(__xludf.DUMMYFUNCTION("TEXT(DATEVALUE(REGEXREPLACE(AM94,""(\d+)(st|nd|rd|th)"",""$1"")),""yyyy-mm-dd"")"),"2023-07-27")</f>
        <v>2023-07-27</v>
      </c>
    </row>
    <row r="95">
      <c r="A95" s="4" t="s">
        <v>575</v>
      </c>
      <c r="B95" s="5" t="s">
        <v>90</v>
      </c>
      <c r="C95" s="5" t="s">
        <v>576</v>
      </c>
      <c r="D95" s="6" t="str">
        <f>IFERROR(__xludf.DUMMYFUNCTION("GOOGLETRANSLATE(C95,""auto"",""en"")"),"12077-01")</f>
        <v>12077-01</v>
      </c>
      <c r="E95" s="4" t="s">
        <v>172</v>
      </c>
      <c r="F95" s="5">
        <f>IFERROR(__xludf.DUMMYFUNCTION("SPLIT(E95,""-"")
"),1850.0)</f>
        <v>1850</v>
      </c>
      <c r="G95" s="5"/>
      <c r="H95" s="5">
        <f t="shared" si="1"/>
        <v>1850</v>
      </c>
      <c r="I95" s="5" t="s">
        <v>436</v>
      </c>
      <c r="J95" s="5" t="str">
        <f t="shared" si="2"/>
        <v>Tarrazu</v>
      </c>
      <c r="K95" s="4" t="s">
        <v>577</v>
      </c>
      <c r="L95" s="5">
        <v>35.0</v>
      </c>
      <c r="M95" s="5" t="s">
        <v>416</v>
      </c>
      <c r="N95" s="5" t="str">
        <f>IFERROR(__xludf.DUMMYFUNCTION("PROPER(GOOGLETRANSLATE(M95, ""auto"", ""en""))"),"Specialty Coffee Association Of Costa Rica")</f>
        <v>Specialty Coffee Association Of Costa Rica</v>
      </c>
      <c r="O95" s="5" t="s">
        <v>136</v>
      </c>
      <c r="P95" s="5" t="str">
        <f t="shared" si="3"/>
        <v>2022</v>
      </c>
      <c r="Q95" s="5" t="s">
        <v>438</v>
      </c>
      <c r="R95" s="6" t="str">
        <f>IFERROR(__xludf.DUMMYFUNCTION("TEXT(DATEVALUE(REGEXREPLACE(Q95,""(\d+)(st|nd|rd|th)"",""$1"")),""yyyy-mm-dd"")"),"2023-04-19")</f>
        <v>2023-04-19</v>
      </c>
      <c r="S95" s="7" t="s">
        <v>175</v>
      </c>
      <c r="T95" s="5" t="s">
        <v>50</v>
      </c>
      <c r="U95" s="5" t="s">
        <v>69</v>
      </c>
      <c r="V95" s="4" t="s">
        <v>167</v>
      </c>
      <c r="W95" s="4" t="s">
        <v>70</v>
      </c>
      <c r="X95" s="4" t="s">
        <v>250</v>
      </c>
      <c r="Y95" s="4" t="s">
        <v>154</v>
      </c>
      <c r="Z95" s="4" t="s">
        <v>167</v>
      </c>
      <c r="AA95" s="4" t="s">
        <v>250</v>
      </c>
      <c r="AB95" s="4" t="s">
        <v>56</v>
      </c>
      <c r="AC95" s="4" t="s">
        <v>56</v>
      </c>
      <c r="AD95" s="4" t="s">
        <v>56</v>
      </c>
      <c r="AE95" s="4" t="s">
        <v>154</v>
      </c>
      <c r="AF95" s="4" t="s">
        <v>40</v>
      </c>
      <c r="AG95" s="4" t="s">
        <v>578</v>
      </c>
      <c r="AH95" s="4" t="s">
        <v>297</v>
      </c>
      <c r="AI95" s="4" t="s">
        <v>40</v>
      </c>
      <c r="AJ95" s="4" t="s">
        <v>40</v>
      </c>
      <c r="AK95" s="5" t="s">
        <v>59</v>
      </c>
      <c r="AL95" s="4" t="s">
        <v>76</v>
      </c>
      <c r="AM95" s="5" t="s">
        <v>440</v>
      </c>
      <c r="AN95" s="6" t="str">
        <f>IFERROR(__xludf.DUMMYFUNCTION("TEXT(DATEVALUE(REGEXREPLACE(AM95,""(\d+)(st|nd|rd|th)"",""$1"")),""yyyy-mm-dd"")"),"2024-04-18")</f>
        <v>2024-04-18</v>
      </c>
    </row>
    <row r="96">
      <c r="A96" s="4" t="s">
        <v>579</v>
      </c>
      <c r="B96" s="5" t="s">
        <v>108</v>
      </c>
      <c r="C96" s="5" t="s">
        <v>580</v>
      </c>
      <c r="D96" s="6" t="str">
        <f>IFERROR(__xludf.DUMMYFUNCTION("GOOGLETRANSLATE(C96,""auto"",""en"")"),"The 2022 Pacific Rim Coffee Summit,GT01")</f>
        <v>The 2022 Pacific Rim Coffee Summit,GT01</v>
      </c>
      <c r="E96" s="4" t="s">
        <v>92</v>
      </c>
      <c r="F96" s="5">
        <f>IFERROR(__xludf.DUMMYFUNCTION("SPLIT(E96,""-"")
"),1900.0)</f>
        <v>1900</v>
      </c>
      <c r="G96" s="5"/>
      <c r="H96" s="5">
        <f t="shared" si="1"/>
        <v>1900</v>
      </c>
      <c r="I96" s="5" t="s">
        <v>581</v>
      </c>
      <c r="J96" s="5" t="str">
        <f t="shared" si="2"/>
        <v>New Oriente</v>
      </c>
      <c r="K96" s="4" t="s">
        <v>45</v>
      </c>
      <c r="L96" s="5">
        <v>15.0</v>
      </c>
      <c r="M96" s="5" t="s">
        <v>66</v>
      </c>
      <c r="N96" s="5" t="str">
        <f>IFERROR(__xludf.DUMMYFUNCTION("PROPER(GOOGLETRANSLATE(M96, ""auto"", ""en""))"),"Taiwan Coffee Laboratory")</f>
        <v>Taiwan Coffee Laboratory</v>
      </c>
      <c r="O96" s="4" t="s">
        <v>153</v>
      </c>
      <c r="P96" s="5" t="str">
        <f t="shared" si="3"/>
        <v>2021</v>
      </c>
      <c r="Q96" s="5" t="s">
        <v>67</v>
      </c>
      <c r="R96" s="6" t="str">
        <f>IFERROR(__xludf.DUMMYFUNCTION("TEXT(DATEVALUE(REGEXREPLACE(Q96,""(\d+)(st|nd|rd|th)"",""$1"")),""yyyy-mm-dd"")"),"2022-11-15")</f>
        <v>2022-11-15</v>
      </c>
      <c r="S96" s="7" t="s">
        <v>68</v>
      </c>
      <c r="T96" s="5" t="s">
        <v>50</v>
      </c>
      <c r="U96" s="5" t="s">
        <v>123</v>
      </c>
      <c r="V96" s="4" t="s">
        <v>112</v>
      </c>
      <c r="W96" s="4" t="s">
        <v>112</v>
      </c>
      <c r="X96" s="4" t="s">
        <v>250</v>
      </c>
      <c r="Y96" s="4" t="s">
        <v>167</v>
      </c>
      <c r="Z96" s="4" t="s">
        <v>167</v>
      </c>
      <c r="AA96" s="4" t="s">
        <v>250</v>
      </c>
      <c r="AB96" s="4" t="s">
        <v>56</v>
      </c>
      <c r="AC96" s="4" t="s">
        <v>56</v>
      </c>
      <c r="AD96" s="4" t="s">
        <v>56</v>
      </c>
      <c r="AE96" s="4" t="s">
        <v>154</v>
      </c>
      <c r="AF96" s="4" t="s">
        <v>40</v>
      </c>
      <c r="AG96" s="4" t="s">
        <v>578</v>
      </c>
      <c r="AH96" s="4" t="s">
        <v>160</v>
      </c>
      <c r="AI96" s="4" t="s">
        <v>40</v>
      </c>
      <c r="AJ96" s="4" t="s">
        <v>40</v>
      </c>
      <c r="AK96" s="5" t="s">
        <v>59</v>
      </c>
      <c r="AL96" s="4" t="s">
        <v>40</v>
      </c>
      <c r="AM96" s="5" t="s">
        <v>75</v>
      </c>
      <c r="AN96" s="6" t="str">
        <f>IFERROR(__xludf.DUMMYFUNCTION("TEXT(DATEVALUE(REGEXREPLACE(AM96,""(\d+)(st|nd|rd|th)"",""$1"")),""yyyy-mm-dd"")"),"2023-11-15")</f>
        <v>2023-11-15</v>
      </c>
    </row>
    <row r="97">
      <c r="A97" s="4" t="s">
        <v>582</v>
      </c>
      <c r="B97" s="5" t="s">
        <v>108</v>
      </c>
      <c r="C97" s="5" t="s">
        <v>583</v>
      </c>
      <c r="D97" s="6" t="str">
        <f>IFERROR(__xludf.DUMMYFUNCTION("GOOGLETRANSLATE(C97,""auto"",""en"")"),"11/15/95")</f>
        <v>11/15/95</v>
      </c>
      <c r="E97" s="4" t="s">
        <v>348</v>
      </c>
      <c r="F97" s="5">
        <f>IFERROR(__xludf.DUMMYFUNCTION("SPLIT(E97,""-"")
"),1600.0)</f>
        <v>1600</v>
      </c>
      <c r="G97" s="5"/>
      <c r="H97" s="5">
        <f t="shared" si="1"/>
        <v>1600</v>
      </c>
      <c r="I97" s="5" t="s">
        <v>524</v>
      </c>
      <c r="J97" s="5" t="str">
        <f t="shared" si="2"/>
        <v>Atitlán</v>
      </c>
      <c r="K97" s="4" t="s">
        <v>290</v>
      </c>
      <c r="L97" s="5">
        <v>30.0</v>
      </c>
      <c r="M97" s="5" t="s">
        <v>350</v>
      </c>
      <c r="N97" s="5" t="str">
        <f>IFERROR(__xludf.DUMMYFUNCTION("PROPER(GOOGLETRANSLATE(M97, ""auto"", ""en""))"),"National Coffee Association")</f>
        <v>National Coffee Association</v>
      </c>
      <c r="O97" s="5" t="s">
        <v>136</v>
      </c>
      <c r="P97" s="5" t="str">
        <f t="shared" si="3"/>
        <v>2022</v>
      </c>
      <c r="Q97" s="5" t="s">
        <v>351</v>
      </c>
      <c r="R97" s="6" t="str">
        <f>IFERROR(__xludf.DUMMYFUNCTION("TEXT(DATEVALUE(REGEXREPLACE(Q97,""(\d+)(st|nd|rd|th)"",""$1"")),""yyyy-mm-dd"")"),"2023-04-17")</f>
        <v>2023-04-17</v>
      </c>
      <c r="S97" s="7" t="s">
        <v>138</v>
      </c>
      <c r="T97" s="5" t="s">
        <v>50</v>
      </c>
      <c r="U97" s="5" t="s">
        <v>69</v>
      </c>
      <c r="V97" s="4" t="s">
        <v>250</v>
      </c>
      <c r="W97" s="4" t="s">
        <v>112</v>
      </c>
      <c r="X97" s="4" t="s">
        <v>250</v>
      </c>
      <c r="Y97" s="4" t="s">
        <v>154</v>
      </c>
      <c r="Z97" s="4" t="s">
        <v>167</v>
      </c>
      <c r="AA97" s="4" t="s">
        <v>154</v>
      </c>
      <c r="AB97" s="4" t="s">
        <v>56</v>
      </c>
      <c r="AC97" s="4" t="s">
        <v>56</v>
      </c>
      <c r="AD97" s="4" t="s">
        <v>56</v>
      </c>
      <c r="AE97" s="4" t="s">
        <v>154</v>
      </c>
      <c r="AF97" s="4" t="s">
        <v>40</v>
      </c>
      <c r="AG97" s="4" t="s">
        <v>578</v>
      </c>
      <c r="AH97" s="4" t="s">
        <v>56</v>
      </c>
      <c r="AI97" s="4" t="s">
        <v>40</v>
      </c>
      <c r="AJ97" s="4" t="s">
        <v>45</v>
      </c>
      <c r="AK97" s="5" t="s">
        <v>59</v>
      </c>
      <c r="AL97" s="4" t="s">
        <v>76</v>
      </c>
      <c r="AM97" s="5" t="s">
        <v>352</v>
      </c>
      <c r="AN97" s="6" t="str">
        <f>IFERROR(__xludf.DUMMYFUNCTION("TEXT(DATEVALUE(REGEXREPLACE(AM97,""(\d+)(st|nd|rd|th)"",""$1"")),""yyyy-mm-dd"")"),"2024-04-16")</f>
        <v>2024-04-16</v>
      </c>
    </row>
    <row r="98">
      <c r="A98" s="4" t="s">
        <v>584</v>
      </c>
      <c r="B98" s="5" t="s">
        <v>220</v>
      </c>
      <c r="C98" s="5" t="s">
        <v>585</v>
      </c>
      <c r="D98" s="6" t="str">
        <f>IFERROR(__xludf.DUMMYFUNCTION("GOOGLETRANSLATE(C98,""auto"",""en"")"),"CQU2022016")</f>
        <v>CQU2022016</v>
      </c>
      <c r="E98" s="5" t="s">
        <v>493</v>
      </c>
      <c r="F98" s="5">
        <f>IFERROR(__xludf.DUMMYFUNCTION("SPLIT(E98,""-"")
"),1300.0)</f>
        <v>1300</v>
      </c>
      <c r="G98" s="5">
        <f>IFERROR(__xludf.DUMMYFUNCTION("""COMPUTED_VALUE"""),1400.0)</f>
        <v>1400</v>
      </c>
      <c r="H98" s="5">
        <f t="shared" si="1"/>
        <v>1350</v>
      </c>
      <c r="I98" s="5" t="s">
        <v>586</v>
      </c>
      <c r="J98" s="5" t="str">
        <f t="shared" si="2"/>
        <v>Nan</v>
      </c>
      <c r="K98" s="4" t="s">
        <v>45</v>
      </c>
      <c r="L98" s="5">
        <v>30.0</v>
      </c>
      <c r="M98" s="5" t="s">
        <v>46</v>
      </c>
      <c r="N98" s="5" t="str">
        <f>IFERROR(__xludf.DUMMYFUNCTION("PROPER(GOOGLETRANSLATE(M98, ""auto"", ""en""))"),"Japan Coffee Exchange")</f>
        <v>Japan Coffee Exchange</v>
      </c>
      <c r="O98" s="4" t="s">
        <v>94</v>
      </c>
      <c r="P98" s="5" t="str">
        <f t="shared" si="3"/>
        <v>2022</v>
      </c>
      <c r="Q98" s="5" t="s">
        <v>48</v>
      </c>
      <c r="R98" s="6" t="str">
        <f>IFERROR(__xludf.DUMMYFUNCTION("TEXT(DATEVALUE(REGEXREPLACE(Q98,""(\d+)(st|nd|rd|th)"",""$1"")),""yyyy-mm-dd"")"),"2022-09-21")</f>
        <v>2022-09-21</v>
      </c>
      <c r="S98" s="7" t="s">
        <v>225</v>
      </c>
      <c r="T98" s="5" t="s">
        <v>50</v>
      </c>
      <c r="U98" s="5" t="s">
        <v>123</v>
      </c>
      <c r="V98" s="4" t="s">
        <v>154</v>
      </c>
      <c r="W98" s="4" t="s">
        <v>167</v>
      </c>
      <c r="X98" s="4" t="s">
        <v>250</v>
      </c>
      <c r="Y98" s="4" t="s">
        <v>154</v>
      </c>
      <c r="Z98" s="4" t="s">
        <v>154</v>
      </c>
      <c r="AA98" s="4" t="s">
        <v>167</v>
      </c>
      <c r="AB98" s="4" t="s">
        <v>56</v>
      </c>
      <c r="AC98" s="4" t="s">
        <v>56</v>
      </c>
      <c r="AD98" s="4" t="s">
        <v>56</v>
      </c>
      <c r="AE98" s="4" t="s">
        <v>154</v>
      </c>
      <c r="AF98" s="4" t="s">
        <v>40</v>
      </c>
      <c r="AG98" s="4" t="s">
        <v>578</v>
      </c>
      <c r="AH98" s="4" t="s">
        <v>104</v>
      </c>
      <c r="AI98" s="4" t="s">
        <v>40</v>
      </c>
      <c r="AJ98" s="4" t="s">
        <v>40</v>
      </c>
      <c r="AK98" s="5" t="s">
        <v>89</v>
      </c>
      <c r="AL98" s="4" t="s">
        <v>60</v>
      </c>
      <c r="AM98" s="5" t="s">
        <v>61</v>
      </c>
      <c r="AN98" s="6" t="str">
        <f>IFERROR(__xludf.DUMMYFUNCTION("TEXT(DATEVALUE(REGEXREPLACE(AM98,""(\d+)(st|nd|rd|th)"",""$1"")),""yyyy-mm-dd"")"),"2023-09-21")</f>
        <v>2023-09-21</v>
      </c>
    </row>
    <row r="99">
      <c r="A99" s="4" t="s">
        <v>587</v>
      </c>
      <c r="B99" s="5" t="s">
        <v>41</v>
      </c>
      <c r="C99" s="5" t="s">
        <v>588</v>
      </c>
      <c r="D99" s="6" t="str">
        <f>IFERROR(__xludf.DUMMYFUNCTION("GOOGLETRANSLATE(C99,""auto"",""en"")"),"3/37/1370")</f>
        <v>3/37/1370</v>
      </c>
      <c r="E99" s="4" t="s">
        <v>589</v>
      </c>
      <c r="F99" s="5">
        <f>IFERROR(__xludf.DUMMYFUNCTION("SPLIT(E99,""-"")
"),1411.0)</f>
        <v>1411</v>
      </c>
      <c r="G99" s="5"/>
      <c r="H99" s="5">
        <f t="shared" si="1"/>
        <v>1411</v>
      </c>
      <c r="I99" s="5" t="s">
        <v>590</v>
      </c>
      <c r="J99" s="5" t="str">
        <f t="shared" si="2"/>
        <v>Pereira</v>
      </c>
      <c r="K99" s="4" t="s">
        <v>591</v>
      </c>
      <c r="L99" s="5">
        <v>70.0</v>
      </c>
      <c r="M99" s="5" t="s">
        <v>46</v>
      </c>
      <c r="N99" s="5" t="str">
        <f>IFERROR(__xludf.DUMMYFUNCTION("PROPER(GOOGLETRANSLATE(M99, ""auto"", ""en""))"),"Japan Coffee Exchange")</f>
        <v>Japan Coffee Exchange</v>
      </c>
      <c r="O99" s="5" t="s">
        <v>136</v>
      </c>
      <c r="P99" s="5" t="str">
        <f t="shared" si="3"/>
        <v>2022</v>
      </c>
      <c r="Q99" s="5" t="s">
        <v>351</v>
      </c>
      <c r="R99" s="6" t="str">
        <f>IFERROR(__xludf.DUMMYFUNCTION("TEXT(DATEVALUE(REGEXREPLACE(Q99,""(\d+)(st|nd|rd|th)"",""$1"")),""yyyy-mm-dd"")"),"2023-04-17")</f>
        <v>2023-04-17</v>
      </c>
      <c r="S99" s="7" t="s">
        <v>234</v>
      </c>
      <c r="T99" s="5" t="s">
        <v>50</v>
      </c>
      <c r="U99" s="5" t="s">
        <v>69</v>
      </c>
      <c r="V99" s="4" t="s">
        <v>167</v>
      </c>
      <c r="W99" s="4" t="s">
        <v>154</v>
      </c>
      <c r="X99" s="4" t="s">
        <v>167</v>
      </c>
      <c r="Y99" s="4" t="s">
        <v>154</v>
      </c>
      <c r="Z99" s="4" t="s">
        <v>167</v>
      </c>
      <c r="AA99" s="4" t="s">
        <v>167</v>
      </c>
      <c r="AB99" s="4" t="s">
        <v>56</v>
      </c>
      <c r="AC99" s="4" t="s">
        <v>56</v>
      </c>
      <c r="AD99" s="4" t="s">
        <v>56</v>
      </c>
      <c r="AE99" s="4" t="s">
        <v>167</v>
      </c>
      <c r="AF99" s="4" t="s">
        <v>40</v>
      </c>
      <c r="AG99" s="4" t="s">
        <v>592</v>
      </c>
      <c r="AH99" s="4" t="s">
        <v>160</v>
      </c>
      <c r="AI99" s="4" t="s">
        <v>40</v>
      </c>
      <c r="AJ99" s="4" t="s">
        <v>45</v>
      </c>
      <c r="AK99" s="5" t="s">
        <v>59</v>
      </c>
      <c r="AL99" s="4" t="s">
        <v>45</v>
      </c>
      <c r="AM99" s="5" t="s">
        <v>352</v>
      </c>
      <c r="AN99" s="6" t="str">
        <f>IFERROR(__xludf.DUMMYFUNCTION("TEXT(DATEVALUE(REGEXREPLACE(AM99,""(\d+)(st|nd|rd|th)"",""$1"")),""yyyy-mm-dd"")"),"2024-04-16")</f>
        <v>2024-04-16</v>
      </c>
    </row>
    <row r="100">
      <c r="A100" s="4" t="s">
        <v>593</v>
      </c>
      <c r="B100" s="5" t="s">
        <v>108</v>
      </c>
      <c r="C100" s="5" t="s">
        <v>594</v>
      </c>
      <c r="D100" s="6" t="str">
        <f>IFERROR(__xludf.DUMMYFUNCTION("GOOGLETRANSLATE(C100,""auto"",""en"")"),"11/63/908")</f>
        <v>11/63/908</v>
      </c>
      <c r="E100" s="4" t="s">
        <v>403</v>
      </c>
      <c r="F100" s="5">
        <f>IFERROR(__xludf.DUMMYFUNCTION("SPLIT(E100,""-"")
"),1400.0)</f>
        <v>1400</v>
      </c>
      <c r="G100" s="5"/>
      <c r="H100" s="5">
        <f t="shared" si="1"/>
        <v>1400</v>
      </c>
      <c r="I100" s="5" t="s">
        <v>595</v>
      </c>
      <c r="J100" s="5" t="str">
        <f t="shared" si="2"/>
        <v>Huehuetenango</v>
      </c>
      <c r="K100" s="4" t="s">
        <v>257</v>
      </c>
      <c r="L100" s="5">
        <v>30.0</v>
      </c>
      <c r="M100" s="5" t="s">
        <v>350</v>
      </c>
      <c r="N100" s="5" t="str">
        <f>IFERROR(__xludf.DUMMYFUNCTION("PROPER(GOOGLETRANSLATE(M100, ""auto"", ""en""))"),"National Coffee Association")</f>
        <v>National Coffee Association</v>
      </c>
      <c r="O100" s="5" t="s">
        <v>47</v>
      </c>
      <c r="P100" s="5" t="str">
        <f t="shared" si="3"/>
        <v>2021</v>
      </c>
      <c r="Q100" s="5" t="s">
        <v>596</v>
      </c>
      <c r="R100" s="6" t="str">
        <f>IFERROR(__xludf.DUMMYFUNCTION("TEXT(DATEVALUE(REGEXREPLACE(Q100,""(\d+)(st|nd|rd|th)"",""$1"")),""yyyy-mm-dd"")"),"2022-05-13")</f>
        <v>2022-05-13</v>
      </c>
      <c r="S100" s="7" t="s">
        <v>597</v>
      </c>
      <c r="T100" s="5" t="s">
        <v>50</v>
      </c>
      <c r="U100" s="5" t="s">
        <v>123</v>
      </c>
      <c r="V100" s="4" t="s">
        <v>250</v>
      </c>
      <c r="W100" s="4" t="s">
        <v>112</v>
      </c>
      <c r="X100" s="4" t="s">
        <v>167</v>
      </c>
      <c r="Y100" s="4" t="s">
        <v>167</v>
      </c>
      <c r="Z100" s="4" t="s">
        <v>167</v>
      </c>
      <c r="AA100" s="4" t="s">
        <v>167</v>
      </c>
      <c r="AB100" s="4" t="s">
        <v>56</v>
      </c>
      <c r="AC100" s="4" t="s">
        <v>56</v>
      </c>
      <c r="AD100" s="4" t="s">
        <v>56</v>
      </c>
      <c r="AE100" s="4" t="s">
        <v>154</v>
      </c>
      <c r="AF100" s="4" t="s">
        <v>40</v>
      </c>
      <c r="AG100" s="4" t="s">
        <v>592</v>
      </c>
      <c r="AH100" s="4" t="s">
        <v>128</v>
      </c>
      <c r="AI100" s="4" t="s">
        <v>40</v>
      </c>
      <c r="AJ100" s="4" t="s">
        <v>40</v>
      </c>
      <c r="AK100" s="5" t="s">
        <v>59</v>
      </c>
      <c r="AL100" s="4" t="s">
        <v>96</v>
      </c>
      <c r="AM100" s="5" t="s">
        <v>598</v>
      </c>
      <c r="AN100" s="6" t="str">
        <f>IFERROR(__xludf.DUMMYFUNCTION("TEXT(DATEVALUE(REGEXREPLACE(AM100,""(\d+)(st|nd|rd|th)"",""$1"")),""yyyy-mm-dd"")"),"2023-05-13")</f>
        <v>2023-05-13</v>
      </c>
    </row>
    <row r="101">
      <c r="A101" s="4" t="s">
        <v>599</v>
      </c>
      <c r="B101" s="5" t="s">
        <v>108</v>
      </c>
      <c r="C101" s="5" t="s">
        <v>600</v>
      </c>
      <c r="D101" s="6" t="str">
        <f>IFERROR(__xludf.DUMMYFUNCTION("GOOGLETRANSLATE(C101,""auto"",""en"")"),"SECURITY-22-0905")</f>
        <v>SECURITY-22-0905</v>
      </c>
      <c r="E101" s="5" t="s">
        <v>601</v>
      </c>
      <c r="F101" s="5">
        <f>IFERROR(__xludf.DUMMYFUNCTION("SPLIT(E101,""-"")
"),4895.0)</f>
        <v>4895</v>
      </c>
      <c r="G101" s="5">
        <f>IFERROR(__xludf.DUMMYFUNCTION("""COMPUTED_VALUE"""),5650.0)</f>
        <v>5650</v>
      </c>
      <c r="H101" s="5">
        <f t="shared" si="1"/>
        <v>5272.5</v>
      </c>
      <c r="I101" s="5" t="s">
        <v>430</v>
      </c>
      <c r="J101" s="5" t="str">
        <f t="shared" si="2"/>
        <v>Antigua Guatemala</v>
      </c>
      <c r="K101" s="4" t="s">
        <v>602</v>
      </c>
      <c r="L101" s="5">
        <v>30.0</v>
      </c>
      <c r="M101" s="5" t="s">
        <v>350</v>
      </c>
      <c r="N101" s="5" t="str">
        <f>IFERROR(__xludf.DUMMYFUNCTION("PROPER(GOOGLETRANSLATE(M101, ""auto"", ""en""))"),"National Coffee Association")</f>
        <v>National Coffee Association</v>
      </c>
      <c r="O101" s="5" t="s">
        <v>47</v>
      </c>
      <c r="P101" s="5" t="str">
        <f t="shared" si="3"/>
        <v>2021</v>
      </c>
      <c r="Q101" s="5" t="s">
        <v>432</v>
      </c>
      <c r="R101" s="6" t="str">
        <f>IFERROR(__xludf.DUMMYFUNCTION("TEXT(DATEVALUE(REGEXREPLACE(Q101,""(\d+)(st|nd|rd|th)"",""$1"")),""yyyy-mm-dd"")"),"2022-05-19")</f>
        <v>2022-05-19</v>
      </c>
      <c r="S101" s="7" t="s">
        <v>138</v>
      </c>
      <c r="T101" s="5" t="s">
        <v>50</v>
      </c>
      <c r="U101" s="5" t="s">
        <v>69</v>
      </c>
      <c r="V101" s="4" t="s">
        <v>250</v>
      </c>
      <c r="W101" s="4" t="s">
        <v>70</v>
      </c>
      <c r="X101" s="4" t="s">
        <v>439</v>
      </c>
      <c r="Y101" s="4" t="s">
        <v>167</v>
      </c>
      <c r="Z101" s="4" t="s">
        <v>154</v>
      </c>
      <c r="AA101" s="4" t="s">
        <v>167</v>
      </c>
      <c r="AB101" s="4" t="s">
        <v>56</v>
      </c>
      <c r="AC101" s="4" t="s">
        <v>56</v>
      </c>
      <c r="AD101" s="4" t="s">
        <v>56</v>
      </c>
      <c r="AE101" s="4" t="s">
        <v>154</v>
      </c>
      <c r="AF101" s="4" t="s">
        <v>40</v>
      </c>
      <c r="AG101" s="4" t="s">
        <v>592</v>
      </c>
      <c r="AH101" s="4" t="s">
        <v>342</v>
      </c>
      <c r="AI101" s="4" t="s">
        <v>40</v>
      </c>
      <c r="AJ101" s="4" t="s">
        <v>45</v>
      </c>
      <c r="AK101" s="5" t="s">
        <v>59</v>
      </c>
      <c r="AL101" s="4" t="s">
        <v>96</v>
      </c>
      <c r="AM101" s="5" t="s">
        <v>433</v>
      </c>
      <c r="AN101" s="6" t="str">
        <f>IFERROR(__xludf.DUMMYFUNCTION("TEXT(DATEVALUE(REGEXREPLACE(AM101,""(\d+)(st|nd|rd|th)"",""$1"")),""yyyy-mm-dd"")"),"2023-05-19")</f>
        <v>2023-05-19</v>
      </c>
    </row>
    <row r="102">
      <c r="A102" s="4" t="s">
        <v>603</v>
      </c>
      <c r="B102" s="5" t="s">
        <v>142</v>
      </c>
      <c r="C102" s="4" t="s">
        <v>45</v>
      </c>
      <c r="D102" s="6" t="str">
        <f>IFERROR(__xludf.DUMMYFUNCTION("GOOGLETRANSLATE(C102,""auto"",""en"")"),"1")</f>
        <v>1</v>
      </c>
      <c r="E102" s="4" t="s">
        <v>151</v>
      </c>
      <c r="F102" s="5">
        <f>IFERROR(__xludf.DUMMYFUNCTION("SPLIT(E102,""-"")
"),2000.0)</f>
        <v>2000</v>
      </c>
      <c r="G102" s="5"/>
      <c r="H102" s="5">
        <f t="shared" si="1"/>
        <v>2000</v>
      </c>
      <c r="I102" s="5" t="s">
        <v>561</v>
      </c>
      <c r="J102" s="5" t="str">
        <f t="shared" si="2"/>
        <v>Sidama</v>
      </c>
      <c r="K102" s="4" t="s">
        <v>603</v>
      </c>
      <c r="L102" s="5">
        <v>60.0</v>
      </c>
      <c r="M102" s="5" t="s">
        <v>135</v>
      </c>
      <c r="N102" s="5" t="str">
        <f>IFERROR(__xludf.DUMMYFUNCTION("PROPER(GOOGLETRANSLATE(M102, ""auto"", ""en""))"),"Kenya Coffee Traders Association")</f>
        <v>Kenya Coffee Traders Association</v>
      </c>
      <c r="O102" s="5" t="s">
        <v>47</v>
      </c>
      <c r="P102" s="5" t="str">
        <f t="shared" si="3"/>
        <v>2021</v>
      </c>
      <c r="Q102" s="5" t="s">
        <v>604</v>
      </c>
      <c r="R102" s="6" t="str">
        <f>IFERROR(__xludf.DUMMYFUNCTION("TEXT(DATEVALUE(REGEXREPLACE(Q102,""(\d+)(st|nd|rd|th)"",""$1"")),""yyyy-mm-dd"")"),"2022-09-09")</f>
        <v>2022-09-09</v>
      </c>
      <c r="S102" s="7" t="s">
        <v>147</v>
      </c>
      <c r="T102" s="5" t="s">
        <v>50</v>
      </c>
      <c r="U102" s="5" t="s">
        <v>69</v>
      </c>
      <c r="V102" s="4" t="s">
        <v>112</v>
      </c>
      <c r="W102" s="4" t="s">
        <v>167</v>
      </c>
      <c r="X102" s="4" t="s">
        <v>439</v>
      </c>
      <c r="Y102" s="4" t="s">
        <v>70</v>
      </c>
      <c r="Z102" s="4" t="s">
        <v>439</v>
      </c>
      <c r="AA102" s="4" t="s">
        <v>167</v>
      </c>
      <c r="AB102" s="4" t="s">
        <v>56</v>
      </c>
      <c r="AC102" s="4" t="s">
        <v>56</v>
      </c>
      <c r="AD102" s="4" t="s">
        <v>56</v>
      </c>
      <c r="AE102" s="4" t="s">
        <v>154</v>
      </c>
      <c r="AF102" s="4" t="s">
        <v>40</v>
      </c>
      <c r="AG102" s="4" t="s">
        <v>592</v>
      </c>
      <c r="AH102" s="4" t="s">
        <v>157</v>
      </c>
      <c r="AI102" s="4" t="s">
        <v>40</v>
      </c>
      <c r="AJ102" s="4" t="s">
        <v>40</v>
      </c>
      <c r="AK102" s="5" t="s">
        <v>59</v>
      </c>
      <c r="AL102" s="4" t="s">
        <v>157</v>
      </c>
      <c r="AM102" s="5" t="s">
        <v>605</v>
      </c>
      <c r="AN102" s="6" t="str">
        <f>IFERROR(__xludf.DUMMYFUNCTION("TEXT(DATEVALUE(REGEXREPLACE(AM102,""(\d+)(st|nd|rd|th)"",""$1"")),""yyyy-mm-dd"")"),"2023-09-09")</f>
        <v>2023-09-09</v>
      </c>
    </row>
    <row r="103">
      <c r="A103" s="4" t="s">
        <v>606</v>
      </c>
      <c r="B103" s="5" t="s">
        <v>41</v>
      </c>
      <c r="C103" s="5" t="s">
        <v>607</v>
      </c>
      <c r="D103" s="6" t="str">
        <f>IFERROR(__xludf.DUMMYFUNCTION("GOOGLETRANSLATE(C103,""auto"",""en"")"),"3-0068-00886")</f>
        <v>3-0068-00886</v>
      </c>
      <c r="E103" s="4" t="s">
        <v>291</v>
      </c>
      <c r="F103" s="5">
        <f>IFERROR(__xludf.DUMMYFUNCTION("SPLIT(E103,""-"")
"),1700.0)</f>
        <v>1700</v>
      </c>
      <c r="G103" s="5"/>
      <c r="H103" s="5">
        <f t="shared" si="1"/>
        <v>1700</v>
      </c>
      <c r="I103" s="5" t="s">
        <v>608</v>
      </c>
      <c r="J103" s="5" t="str">
        <f t="shared" si="2"/>
        <v>Cauca</v>
      </c>
      <c r="K103" s="4" t="s">
        <v>609</v>
      </c>
      <c r="L103" s="5">
        <v>70.0</v>
      </c>
      <c r="M103" s="5" t="s">
        <v>513</v>
      </c>
      <c r="N103" s="5" t="str">
        <f>IFERROR(__xludf.DUMMYFUNCTION("PROPER(GOOGLETRANSLATE(M103, ""auto"", ""en""))"),"Colombian Association For Coffee Excellence")</f>
        <v>Colombian Association For Coffee Excellence</v>
      </c>
      <c r="O103" s="5" t="s">
        <v>136</v>
      </c>
      <c r="P103" s="5" t="str">
        <f t="shared" si="3"/>
        <v>2022</v>
      </c>
      <c r="Q103" s="5" t="s">
        <v>610</v>
      </c>
      <c r="R103" s="6" t="str">
        <f>IFERROR(__xludf.DUMMYFUNCTION("TEXT(DATEVALUE(REGEXREPLACE(Q103,""(\d+)(st|nd|rd|th)"",""$1"")),""yyyy-mm-dd"")"),"2023-02-22")</f>
        <v>2023-02-22</v>
      </c>
      <c r="S103" s="7" t="s">
        <v>175</v>
      </c>
      <c r="T103" s="5" t="s">
        <v>50</v>
      </c>
      <c r="U103" s="5" t="s">
        <v>69</v>
      </c>
      <c r="V103" s="4" t="s">
        <v>70</v>
      </c>
      <c r="W103" s="4" t="s">
        <v>154</v>
      </c>
      <c r="X103" s="4" t="s">
        <v>611</v>
      </c>
      <c r="Y103" s="4" t="s">
        <v>250</v>
      </c>
      <c r="Z103" s="4" t="s">
        <v>70</v>
      </c>
      <c r="AA103" s="4" t="s">
        <v>167</v>
      </c>
      <c r="AB103" s="4" t="s">
        <v>56</v>
      </c>
      <c r="AC103" s="4" t="s">
        <v>56</v>
      </c>
      <c r="AD103" s="4" t="s">
        <v>56</v>
      </c>
      <c r="AE103" s="4" t="s">
        <v>250</v>
      </c>
      <c r="AF103" s="4" t="s">
        <v>40</v>
      </c>
      <c r="AG103" s="4" t="s">
        <v>592</v>
      </c>
      <c r="AH103" s="4" t="s">
        <v>528</v>
      </c>
      <c r="AI103" s="4" t="s">
        <v>76</v>
      </c>
      <c r="AJ103" s="4" t="s">
        <v>107</v>
      </c>
      <c r="AK103" s="5" t="s">
        <v>59</v>
      </c>
      <c r="AL103" s="4" t="s">
        <v>107</v>
      </c>
      <c r="AM103" s="5" t="s">
        <v>612</v>
      </c>
      <c r="AN103" s="6" t="str">
        <f>IFERROR(__xludf.DUMMYFUNCTION("TEXT(DATEVALUE(REGEXREPLACE(AM103,""(\d+)(st|nd|rd|th)"",""$1"")),""yyyy-mm-dd"")"),"2024-02-22")</f>
        <v>2024-02-22</v>
      </c>
    </row>
    <row r="104">
      <c r="A104" s="4" t="s">
        <v>613</v>
      </c>
      <c r="B104" s="5" t="s">
        <v>255</v>
      </c>
      <c r="C104" s="5" t="s">
        <v>614</v>
      </c>
      <c r="D104" s="6" t="str">
        <f>IFERROR(__xludf.DUMMYFUNCTION("GOOGLETRANSLATE(C104,""auto"",""en"")"),"The 2022 Pacific Rim Coffee Summit,US02")</f>
        <v>The 2022 Pacific Rim Coffee Summit,US02</v>
      </c>
      <c r="E104" s="5" t="s">
        <v>615</v>
      </c>
      <c r="F104" s="5">
        <f>IFERROR(__xludf.DUMMYFUNCTION("SPLIT(E104,""-"")
"),400.0)</f>
        <v>400</v>
      </c>
      <c r="G104" s="5">
        <f>IFERROR(__xludf.DUMMYFUNCTION("""COMPUTED_VALUE"""),600.0)</f>
        <v>600</v>
      </c>
      <c r="H104" s="5">
        <f t="shared" si="1"/>
        <v>500</v>
      </c>
      <c r="I104" s="5" t="s">
        <v>616</v>
      </c>
      <c r="J104" s="5" t="str">
        <f t="shared" si="2"/>
        <v>Ka'U</v>
      </c>
      <c r="K104" s="4" t="s">
        <v>96</v>
      </c>
      <c r="L104" s="5">
        <v>15.0</v>
      </c>
      <c r="M104" s="5" t="s">
        <v>66</v>
      </c>
      <c r="N104" s="5" t="str">
        <f>IFERROR(__xludf.DUMMYFUNCTION("PROPER(GOOGLETRANSLATE(M104, ""auto"", ""en""))"),"Taiwan Coffee Laboratory")</f>
        <v>Taiwan Coffee Laboratory</v>
      </c>
      <c r="O104" s="4" t="s">
        <v>94</v>
      </c>
      <c r="P104" s="5" t="str">
        <f t="shared" si="3"/>
        <v>2022</v>
      </c>
      <c r="Q104" s="5" t="s">
        <v>67</v>
      </c>
      <c r="R104" s="6" t="str">
        <f>IFERROR(__xludf.DUMMYFUNCTION("TEXT(DATEVALUE(REGEXREPLACE(Q104,""(\d+)(st|nd|rd|th)"",""$1"")),""yyyy-mm-dd"")"),"2022-11-15")</f>
        <v>2022-11-15</v>
      </c>
      <c r="S104" s="7" t="s">
        <v>216</v>
      </c>
      <c r="T104" s="5" t="s">
        <v>50</v>
      </c>
      <c r="U104" s="5" t="s">
        <v>69</v>
      </c>
      <c r="V104" s="4" t="s">
        <v>167</v>
      </c>
      <c r="W104" s="4" t="s">
        <v>70</v>
      </c>
      <c r="X104" s="4" t="s">
        <v>250</v>
      </c>
      <c r="Y104" s="4" t="s">
        <v>250</v>
      </c>
      <c r="Z104" s="4" t="s">
        <v>250</v>
      </c>
      <c r="AA104" s="4" t="s">
        <v>154</v>
      </c>
      <c r="AB104" s="4" t="s">
        <v>56</v>
      </c>
      <c r="AC104" s="4" t="s">
        <v>56</v>
      </c>
      <c r="AD104" s="4" t="s">
        <v>56</v>
      </c>
      <c r="AE104" s="4" t="s">
        <v>154</v>
      </c>
      <c r="AF104" s="4" t="s">
        <v>40</v>
      </c>
      <c r="AG104" s="4" t="s">
        <v>592</v>
      </c>
      <c r="AH104" s="4" t="s">
        <v>58</v>
      </c>
      <c r="AI104" s="4" t="s">
        <v>40</v>
      </c>
      <c r="AJ104" s="4" t="s">
        <v>60</v>
      </c>
      <c r="AK104" s="5" t="s">
        <v>59</v>
      </c>
      <c r="AL104" s="4" t="s">
        <v>60</v>
      </c>
      <c r="AM104" s="5" t="s">
        <v>75</v>
      </c>
      <c r="AN104" s="6" t="str">
        <f>IFERROR(__xludf.DUMMYFUNCTION("TEXT(DATEVALUE(REGEXREPLACE(AM104,""(\d+)(st|nd|rd|th)"",""$1"")),""yyyy-mm-dd"")"),"2023-11-15")</f>
        <v>2023-11-15</v>
      </c>
    </row>
    <row r="105">
      <c r="A105" s="4" t="s">
        <v>617</v>
      </c>
      <c r="B105" s="5" t="s">
        <v>41</v>
      </c>
      <c r="C105" s="5" t="s">
        <v>618</v>
      </c>
      <c r="D105" s="6" t="str">
        <f>IFERROR(__xludf.DUMMYFUNCTION("GOOGLETRANSLATE(C105,""auto"",""en"")"),"The 2022 Pacific Rim Coffee Summit,CO02")</f>
        <v>The 2022 Pacific Rim Coffee Summit,CO02</v>
      </c>
      <c r="E105" s="4" t="s">
        <v>551</v>
      </c>
      <c r="F105" s="5">
        <f>IFERROR(__xludf.DUMMYFUNCTION("SPLIT(E105,""-"")
"),1800.0)</f>
        <v>1800</v>
      </c>
      <c r="G105" s="5"/>
      <c r="H105" s="5">
        <f t="shared" si="1"/>
        <v>1800</v>
      </c>
      <c r="I105" s="5" t="s">
        <v>619</v>
      </c>
      <c r="J105" s="5" t="str">
        <f t="shared" si="2"/>
        <v>Tolima</v>
      </c>
      <c r="K105" s="4" t="s">
        <v>164</v>
      </c>
      <c r="L105" s="5">
        <v>35.0</v>
      </c>
      <c r="M105" s="5" t="s">
        <v>66</v>
      </c>
      <c r="N105" s="5" t="str">
        <f>IFERROR(__xludf.DUMMYFUNCTION("PROPER(GOOGLETRANSLATE(M105, ""auto"", ""en""))"),"Taiwan Coffee Laboratory")</f>
        <v>Taiwan Coffee Laboratory</v>
      </c>
      <c r="O105" s="4" t="s">
        <v>94</v>
      </c>
      <c r="P105" s="5" t="str">
        <f t="shared" si="3"/>
        <v>2022</v>
      </c>
      <c r="Q105" s="5" t="s">
        <v>67</v>
      </c>
      <c r="R105" s="6" t="str">
        <f>IFERROR(__xludf.DUMMYFUNCTION("TEXT(DATEVALUE(REGEXREPLACE(Q105,""(\d+)(st|nd|rd|th)"",""$1"")),""yyyy-mm-dd"")"),"2022-11-15")</f>
        <v>2022-11-15</v>
      </c>
      <c r="S105" s="7" t="s">
        <v>620</v>
      </c>
      <c r="T105" s="5" t="s">
        <v>50</v>
      </c>
      <c r="U105" s="5" t="s">
        <v>180</v>
      </c>
      <c r="V105" s="4" t="s">
        <v>167</v>
      </c>
      <c r="W105" s="4" t="s">
        <v>70</v>
      </c>
      <c r="X105" s="4" t="s">
        <v>167</v>
      </c>
      <c r="Y105" s="4" t="s">
        <v>250</v>
      </c>
      <c r="Z105" s="4" t="s">
        <v>167</v>
      </c>
      <c r="AA105" s="4" t="s">
        <v>167</v>
      </c>
      <c r="AB105" s="4" t="s">
        <v>56</v>
      </c>
      <c r="AC105" s="4" t="s">
        <v>56</v>
      </c>
      <c r="AD105" s="4" t="s">
        <v>56</v>
      </c>
      <c r="AE105" s="4" t="s">
        <v>250</v>
      </c>
      <c r="AF105" s="4" t="s">
        <v>40</v>
      </c>
      <c r="AG105" s="4" t="s">
        <v>621</v>
      </c>
      <c r="AH105" s="4" t="s">
        <v>176</v>
      </c>
      <c r="AI105" s="4" t="s">
        <v>40</v>
      </c>
      <c r="AJ105" s="4" t="s">
        <v>40</v>
      </c>
      <c r="AK105" s="5" t="s">
        <v>59</v>
      </c>
      <c r="AL105" s="4" t="s">
        <v>45</v>
      </c>
      <c r="AM105" s="5" t="s">
        <v>75</v>
      </c>
      <c r="AN105" s="6" t="str">
        <f>IFERROR(__xludf.DUMMYFUNCTION("TEXT(DATEVALUE(REGEXREPLACE(AM105,""(\d+)(st|nd|rd|th)"",""$1"")),""yyyy-mm-dd"")"),"2023-11-15")</f>
        <v>2023-11-15</v>
      </c>
    </row>
    <row r="106">
      <c r="A106" s="4" t="s">
        <v>622</v>
      </c>
      <c r="B106" s="5" t="s">
        <v>623</v>
      </c>
      <c r="C106" s="4" t="s">
        <v>624</v>
      </c>
      <c r="D106" s="6" t="str">
        <f>IFERROR(__xludf.DUMMYFUNCTION("GOOGLETRANSLATE(C106,""auto"",""en"")"),"312")</f>
        <v>312</v>
      </c>
      <c r="E106" s="4" t="s">
        <v>64</v>
      </c>
      <c r="F106" s="5">
        <f>IFERROR(__xludf.DUMMYFUNCTION("SPLIT(E106,""-"")
"),1200.0)</f>
        <v>1200</v>
      </c>
      <c r="G106" s="5"/>
      <c r="H106" s="5">
        <f t="shared" si="1"/>
        <v>1200</v>
      </c>
      <c r="I106" s="5" t="s">
        <v>625</v>
      </c>
      <c r="J106" s="5" t="str">
        <f t="shared" si="2"/>
        <v>Chiapas</v>
      </c>
      <c r="K106" s="4" t="s">
        <v>257</v>
      </c>
      <c r="L106" s="5">
        <v>30.0</v>
      </c>
      <c r="M106" s="5" t="s">
        <v>562</v>
      </c>
      <c r="N106" s="5" t="str">
        <f>IFERROR(__xludf.DUMMYFUNCTION("PROPER(GOOGLETRANSLATE(M106, ""auto"", ""en""))"),"Agroecological Coffee Center A.C.")</f>
        <v>Agroecological Coffee Center A.C.</v>
      </c>
      <c r="O106" s="5" t="s">
        <v>136</v>
      </c>
      <c r="P106" s="5" t="str">
        <f t="shared" si="3"/>
        <v>2022</v>
      </c>
      <c r="Q106" s="5" t="s">
        <v>626</v>
      </c>
      <c r="R106" s="6" t="str">
        <f>IFERROR(__xludf.DUMMYFUNCTION("TEXT(DATEVALUE(REGEXREPLACE(Q106,""(\d+)(st|nd|rd|th)"",""$1"")),""yyyy-mm-dd"")"),"2023-04-05")</f>
        <v>2023-04-05</v>
      </c>
      <c r="S106" s="7" t="s">
        <v>627</v>
      </c>
      <c r="T106" s="5" t="s">
        <v>50</v>
      </c>
      <c r="U106" s="5" t="s">
        <v>69</v>
      </c>
      <c r="V106" s="4" t="s">
        <v>167</v>
      </c>
      <c r="W106" s="4" t="s">
        <v>167</v>
      </c>
      <c r="X106" s="4" t="s">
        <v>250</v>
      </c>
      <c r="Y106" s="4" t="s">
        <v>167</v>
      </c>
      <c r="Z106" s="4" t="s">
        <v>112</v>
      </c>
      <c r="AA106" s="4" t="s">
        <v>250</v>
      </c>
      <c r="AB106" s="4" t="s">
        <v>56</v>
      </c>
      <c r="AC106" s="4" t="s">
        <v>56</v>
      </c>
      <c r="AD106" s="4" t="s">
        <v>56</v>
      </c>
      <c r="AE106" s="4" t="s">
        <v>154</v>
      </c>
      <c r="AF106" s="4" t="s">
        <v>40</v>
      </c>
      <c r="AG106" s="4" t="s">
        <v>621</v>
      </c>
      <c r="AH106" s="4" t="s">
        <v>367</v>
      </c>
      <c r="AI106" s="4" t="s">
        <v>96</v>
      </c>
      <c r="AJ106" s="4" t="s">
        <v>40</v>
      </c>
      <c r="AK106" s="5" t="s">
        <v>59</v>
      </c>
      <c r="AL106" s="4" t="s">
        <v>157</v>
      </c>
      <c r="AM106" s="5" t="s">
        <v>628</v>
      </c>
      <c r="AN106" s="6" t="str">
        <f>IFERROR(__xludf.DUMMYFUNCTION("TEXT(DATEVALUE(REGEXREPLACE(AM106,""(\d+)(st|nd|rd|th)"",""$1"")),""yyyy-mm-dd"")"),"2024-04-04")</f>
        <v>2024-04-04</v>
      </c>
    </row>
    <row r="107">
      <c r="A107" s="4" t="s">
        <v>629</v>
      </c>
      <c r="B107" s="5" t="s">
        <v>41</v>
      </c>
      <c r="C107" s="5" t="s">
        <v>234</v>
      </c>
      <c r="D107" s="6" t="str">
        <f>IFERROR(__xludf.DUMMYFUNCTION("GOOGLETRANSLATE(C107,""auto"",""en"")"),"Not Available")</f>
        <v>Not Available</v>
      </c>
      <c r="I107" s="5" t="s">
        <v>234</v>
      </c>
      <c r="J107" s="5" t="str">
        <f t="shared" si="2"/>
        <v>Not Available</v>
      </c>
      <c r="K107" s="4" t="s">
        <v>45</v>
      </c>
      <c r="L107" s="5">
        <v>1.0</v>
      </c>
      <c r="M107" s="5" t="s">
        <v>630</v>
      </c>
      <c r="N107" s="5" t="str">
        <f>IFERROR(__xludf.DUMMYFUNCTION("PROPER(GOOGLETRANSLATE(M107, ""auto"", ""en""))"),"Barista And Coffee Academy Of Asia")</f>
        <v>Barista And Coffee Academy Of Asia</v>
      </c>
      <c r="O107" s="4" t="s">
        <v>94</v>
      </c>
      <c r="P107" s="5" t="str">
        <f t="shared" si="3"/>
        <v>2022</v>
      </c>
      <c r="Q107" s="5" t="s">
        <v>631</v>
      </c>
      <c r="R107" s="6" t="str">
        <f>IFERROR(__xludf.DUMMYFUNCTION("TEXT(DATEVALUE(REGEXREPLACE(Q107,""(\d+)(st|nd|rd|th)"",""$1"")),""yyyy-mm-dd"")"),"2022-09-26")</f>
        <v>2022-09-26</v>
      </c>
      <c r="S107" s="7" t="s">
        <v>234</v>
      </c>
      <c r="T107" s="5" t="s">
        <v>50</v>
      </c>
      <c r="U107" s="7" t="s">
        <v>234</v>
      </c>
      <c r="V107" s="4" t="s">
        <v>112</v>
      </c>
      <c r="W107" s="4" t="s">
        <v>154</v>
      </c>
      <c r="X107" s="4" t="s">
        <v>439</v>
      </c>
      <c r="Y107" s="4" t="s">
        <v>250</v>
      </c>
      <c r="Z107" s="4" t="s">
        <v>167</v>
      </c>
      <c r="AA107" s="4" t="s">
        <v>167</v>
      </c>
      <c r="AB107" s="4" t="s">
        <v>56</v>
      </c>
      <c r="AC107" s="4" t="s">
        <v>56</v>
      </c>
      <c r="AD107" s="4" t="s">
        <v>56</v>
      </c>
      <c r="AE107" s="4" t="s">
        <v>167</v>
      </c>
      <c r="AF107" s="4" t="s">
        <v>40</v>
      </c>
      <c r="AG107" s="4" t="s">
        <v>632</v>
      </c>
      <c r="AH107" s="4" t="s">
        <v>633</v>
      </c>
      <c r="AI107" s="4" t="s">
        <v>45</v>
      </c>
      <c r="AJ107" s="4" t="s">
        <v>40</v>
      </c>
      <c r="AK107" s="5" t="s">
        <v>59</v>
      </c>
      <c r="AL107" s="4" t="s">
        <v>129</v>
      </c>
      <c r="AM107" s="5" t="s">
        <v>634</v>
      </c>
      <c r="AN107" s="6" t="str">
        <f>IFERROR(__xludf.DUMMYFUNCTION("TEXT(DATEVALUE(REGEXREPLACE(AM107,""(\d+)(st|nd|rd|th)"",""$1"")),""yyyy-mm-dd"")"),"2023-09-26")</f>
        <v>2023-09-26</v>
      </c>
    </row>
    <row r="108">
      <c r="A108" s="4" t="s">
        <v>635</v>
      </c>
      <c r="B108" s="5" t="s">
        <v>62</v>
      </c>
      <c r="C108" s="4" t="s">
        <v>192</v>
      </c>
      <c r="D108" s="6" t="str">
        <f>IFERROR(__xludf.DUMMYFUNCTION("GOOGLETRANSLATE(C108,""auto"",""en"")"),"202203")</f>
        <v>202203</v>
      </c>
      <c r="E108" s="4" t="s">
        <v>117</v>
      </c>
      <c r="F108" s="5">
        <f>IFERROR(__xludf.DUMMYFUNCTION("SPLIT(E108,""-"")
"),1250.0)</f>
        <v>1250</v>
      </c>
      <c r="G108" s="5"/>
      <c r="H108" s="5">
        <f t="shared" ref="H108:H208" si="4">AVERAGE(F108:G108)</f>
        <v>1250</v>
      </c>
      <c r="I108" s="5" t="s">
        <v>311</v>
      </c>
      <c r="J108" s="5" t="str">
        <f t="shared" si="2"/>
        <v>Caoling , Gukeng Township, Yunlin County</v>
      </c>
      <c r="K108" s="4" t="s">
        <v>373</v>
      </c>
      <c r="L108" s="5">
        <v>2.0</v>
      </c>
      <c r="M108" s="5" t="s">
        <v>194</v>
      </c>
      <c r="N108" s="5" t="str">
        <f>IFERROR(__xludf.DUMMYFUNCTION("PROPER(GOOGLETRANSLATE(M108, ""auto"", ""en""))"),"Blossom Valley International")</f>
        <v>Blossom Valley International</v>
      </c>
      <c r="O108" s="4" t="s">
        <v>94</v>
      </c>
      <c r="P108" s="5" t="str">
        <f t="shared" si="3"/>
        <v>2022</v>
      </c>
      <c r="Q108" s="5" t="s">
        <v>195</v>
      </c>
      <c r="R108" s="6" t="str">
        <f>IFERROR(__xludf.DUMMYFUNCTION("TEXT(DATEVALUE(REGEXREPLACE(Q108,""(\d+)(st|nd|rd|th)"",""$1"")),""yyyy-mm-dd"")"),"2022-10-24")</f>
        <v>2022-10-24</v>
      </c>
      <c r="S108" s="7" t="s">
        <v>126</v>
      </c>
      <c r="T108" s="5" t="s">
        <v>50</v>
      </c>
      <c r="U108" s="5" t="s">
        <v>69</v>
      </c>
      <c r="V108" s="4" t="s">
        <v>167</v>
      </c>
      <c r="W108" s="4" t="s">
        <v>167</v>
      </c>
      <c r="X108" s="4" t="s">
        <v>154</v>
      </c>
      <c r="Y108" s="4" t="s">
        <v>154</v>
      </c>
      <c r="Z108" s="4" t="s">
        <v>439</v>
      </c>
      <c r="AA108" s="4" t="s">
        <v>167</v>
      </c>
      <c r="AB108" s="4" t="s">
        <v>56</v>
      </c>
      <c r="AC108" s="4" t="s">
        <v>56</v>
      </c>
      <c r="AD108" s="4" t="s">
        <v>56</v>
      </c>
      <c r="AE108" s="4" t="s">
        <v>167</v>
      </c>
      <c r="AF108" s="4" t="s">
        <v>40</v>
      </c>
      <c r="AG108" s="4" t="s">
        <v>632</v>
      </c>
      <c r="AH108" s="4" t="s">
        <v>56</v>
      </c>
      <c r="AI108" s="4" t="s">
        <v>40</v>
      </c>
      <c r="AJ108" s="4" t="s">
        <v>40</v>
      </c>
      <c r="AK108" s="5" t="s">
        <v>74</v>
      </c>
      <c r="AL108" s="4" t="s">
        <v>40</v>
      </c>
      <c r="AM108" s="5" t="s">
        <v>197</v>
      </c>
      <c r="AN108" s="6" t="str">
        <f>IFERROR(__xludf.DUMMYFUNCTION("TEXT(DATEVALUE(REGEXREPLACE(AM108,""(\d+)(st|nd|rd|th)"",""$1"")),""yyyy-mm-dd"")"),"2023-10-24")</f>
        <v>2023-10-24</v>
      </c>
    </row>
    <row r="109">
      <c r="A109" s="4" t="s">
        <v>636</v>
      </c>
      <c r="B109" s="5" t="s">
        <v>637</v>
      </c>
      <c r="C109" s="5" t="s">
        <v>638</v>
      </c>
      <c r="D109" s="6" t="str">
        <f>IFERROR(__xludf.DUMMYFUNCTION("GOOGLETRANSLATE(C109,""auto"",""en"")"),"The 2022 Pacific Rim Coffee Summit,MM01")</f>
        <v>The 2022 Pacific Rim Coffee Summit,MM01</v>
      </c>
      <c r="E109" s="4" t="s">
        <v>403</v>
      </c>
      <c r="F109" s="5">
        <f>IFERROR(__xludf.DUMMYFUNCTION("SPLIT(E109,""-"")
"),1400.0)</f>
        <v>1400</v>
      </c>
      <c r="G109" s="5"/>
      <c r="H109" s="5">
        <f t="shared" si="4"/>
        <v>1400</v>
      </c>
      <c r="I109" s="5" t="s">
        <v>639</v>
      </c>
      <c r="J109" s="5" t="str">
        <f t="shared" si="2"/>
        <v>South Shan State</v>
      </c>
      <c r="K109" s="4" t="s">
        <v>603</v>
      </c>
      <c r="L109" s="5">
        <v>30.0</v>
      </c>
      <c r="M109" s="5" t="s">
        <v>66</v>
      </c>
      <c r="N109" s="5" t="str">
        <f>IFERROR(__xludf.DUMMYFUNCTION("PROPER(GOOGLETRANSLATE(M109, ""auto"", ""en""))"),"Taiwan Coffee Laboratory")</f>
        <v>Taiwan Coffee Laboratory</v>
      </c>
      <c r="O109" s="4" t="s">
        <v>94</v>
      </c>
      <c r="P109" s="5" t="str">
        <f t="shared" si="3"/>
        <v>2022</v>
      </c>
      <c r="Q109" s="5" t="s">
        <v>67</v>
      </c>
      <c r="R109" s="6" t="str">
        <f>IFERROR(__xludf.DUMMYFUNCTION("TEXT(DATEVALUE(REGEXREPLACE(Q109,""(\d+)(st|nd|rd|th)"",""$1"")),""yyyy-mm-dd"")"),"2022-11-15")</f>
        <v>2022-11-15</v>
      </c>
      <c r="S109" s="7" t="s">
        <v>640</v>
      </c>
      <c r="T109" s="5" t="s">
        <v>50</v>
      </c>
      <c r="U109" s="5" t="s">
        <v>123</v>
      </c>
      <c r="V109" s="4" t="s">
        <v>112</v>
      </c>
      <c r="W109" s="4" t="s">
        <v>112</v>
      </c>
      <c r="X109" s="4" t="s">
        <v>167</v>
      </c>
      <c r="Y109" s="4" t="s">
        <v>250</v>
      </c>
      <c r="Z109" s="4" t="s">
        <v>250</v>
      </c>
      <c r="AA109" s="4" t="s">
        <v>250</v>
      </c>
      <c r="AB109" s="4" t="s">
        <v>56</v>
      </c>
      <c r="AC109" s="4" t="s">
        <v>56</v>
      </c>
      <c r="AD109" s="4" t="s">
        <v>56</v>
      </c>
      <c r="AE109" s="4" t="s">
        <v>250</v>
      </c>
      <c r="AF109" s="4" t="s">
        <v>40</v>
      </c>
      <c r="AG109" s="4" t="s">
        <v>632</v>
      </c>
      <c r="AH109" s="4" t="s">
        <v>182</v>
      </c>
      <c r="AI109" s="4" t="s">
        <v>40</v>
      </c>
      <c r="AJ109" s="4" t="s">
        <v>45</v>
      </c>
      <c r="AK109" s="5" t="s">
        <v>328</v>
      </c>
      <c r="AL109" s="4" t="s">
        <v>45</v>
      </c>
      <c r="AM109" s="5" t="s">
        <v>75</v>
      </c>
      <c r="AN109" s="6" t="str">
        <f>IFERROR(__xludf.DUMMYFUNCTION("TEXT(DATEVALUE(REGEXREPLACE(AM109,""(\d+)(st|nd|rd|th)"",""$1"")),""yyyy-mm-dd"")"),"2023-11-15")</f>
        <v>2023-11-15</v>
      </c>
    </row>
    <row r="110">
      <c r="A110" s="4" t="s">
        <v>641</v>
      </c>
      <c r="B110" s="5" t="s">
        <v>62</v>
      </c>
      <c r="C110" s="5" t="s">
        <v>642</v>
      </c>
      <c r="D110" s="6" t="str">
        <f>IFERROR(__xludf.DUMMYFUNCTION("GOOGLETRANSLATE(C110,""auto"",""en"")"),"A05-Northern Taiwan Specialty Coffee Evaluation")</f>
        <v>A05-Northern Taiwan Specialty Coffee Evaluation</v>
      </c>
      <c r="E110" s="5" t="s">
        <v>643</v>
      </c>
      <c r="F110" s="5">
        <f>IFERROR(__xludf.DUMMYFUNCTION("SPLIT(E110,""-"")
"),200.0)</f>
        <v>200</v>
      </c>
      <c r="G110" s="5">
        <f>IFERROR(__xludf.DUMMYFUNCTION("""COMPUTED_VALUE"""),400.0)</f>
        <v>400</v>
      </c>
      <c r="H110" s="5">
        <f t="shared" si="4"/>
        <v>300</v>
      </c>
      <c r="I110" s="5" t="s">
        <v>372</v>
      </c>
      <c r="J110" s="5" t="str">
        <f t="shared" si="2"/>
        <v>新竹縣</v>
      </c>
      <c r="K110" s="4" t="s">
        <v>45</v>
      </c>
      <c r="L110" s="5">
        <v>13.0</v>
      </c>
      <c r="M110" s="5" t="s">
        <v>66</v>
      </c>
      <c r="N110" s="5" t="str">
        <f>IFERROR(__xludf.DUMMYFUNCTION("PROPER(GOOGLETRANSLATE(M110, ""auto"", ""en""))"),"Taiwan Coffee Laboratory")</f>
        <v>Taiwan Coffee Laboratory</v>
      </c>
      <c r="O110" s="5" t="s">
        <v>47</v>
      </c>
      <c r="P110" s="5" t="str">
        <f t="shared" si="3"/>
        <v>2021</v>
      </c>
      <c r="Q110" s="5" t="s">
        <v>243</v>
      </c>
      <c r="R110" s="6" t="str">
        <f>IFERROR(__xludf.DUMMYFUNCTION("TEXT(DATEVALUE(REGEXREPLACE(Q110,""(\d+)(st|nd|rd|th)"",""$1"")),""yyyy-mm-dd"")"),"2023-01-06")</f>
        <v>2023-01-06</v>
      </c>
      <c r="S110" s="7" t="s">
        <v>234</v>
      </c>
      <c r="T110" s="5" t="s">
        <v>50</v>
      </c>
      <c r="U110" s="5" t="s">
        <v>180</v>
      </c>
      <c r="V110" s="4" t="s">
        <v>250</v>
      </c>
      <c r="W110" s="4" t="s">
        <v>154</v>
      </c>
      <c r="X110" s="4" t="s">
        <v>167</v>
      </c>
      <c r="Y110" s="4" t="s">
        <v>112</v>
      </c>
      <c r="Z110" s="4" t="s">
        <v>439</v>
      </c>
      <c r="AA110" s="4" t="s">
        <v>167</v>
      </c>
      <c r="AB110" s="4" t="s">
        <v>56</v>
      </c>
      <c r="AC110" s="4" t="s">
        <v>56</v>
      </c>
      <c r="AD110" s="4" t="s">
        <v>56</v>
      </c>
      <c r="AE110" s="4" t="s">
        <v>167</v>
      </c>
      <c r="AF110" s="4" t="s">
        <v>40</v>
      </c>
      <c r="AG110" s="4" t="s">
        <v>632</v>
      </c>
      <c r="AH110" s="4" t="s">
        <v>308</v>
      </c>
      <c r="AI110" s="4" t="s">
        <v>40</v>
      </c>
      <c r="AJ110" s="4" t="s">
        <v>40</v>
      </c>
      <c r="AK110" s="5" t="s">
        <v>59</v>
      </c>
      <c r="AL110" s="4" t="s">
        <v>40</v>
      </c>
      <c r="AM110" s="5" t="s">
        <v>245</v>
      </c>
      <c r="AN110" s="6" t="str">
        <f>IFERROR(__xludf.DUMMYFUNCTION("TEXT(DATEVALUE(REGEXREPLACE(AM110,""(\d+)(st|nd|rd|th)"",""$1"")),""yyyy-mm-dd"")"),"2024-01-06")</f>
        <v>2024-01-06</v>
      </c>
    </row>
    <row r="111">
      <c r="A111" s="4" t="s">
        <v>644</v>
      </c>
      <c r="B111" s="5" t="s">
        <v>472</v>
      </c>
      <c r="C111" s="5" t="s">
        <v>645</v>
      </c>
      <c r="D111" s="6" t="str">
        <f>IFERROR(__xludf.DUMMYFUNCTION("GOOGLETRANSLATE(C111,""auto"",""en"")"),"The 2022 Pacific Rim Coffee Summit,HN01")</f>
        <v>The 2022 Pacific Rim Coffee Summit,HN01</v>
      </c>
      <c r="E111" s="4" t="s">
        <v>646</v>
      </c>
      <c r="F111" s="5">
        <f>IFERROR(__xludf.DUMMYFUNCTION("SPLIT(E111,""-"")
"),1470.0)</f>
        <v>1470</v>
      </c>
      <c r="G111" s="5"/>
      <c r="H111" s="5">
        <f t="shared" si="4"/>
        <v>1470</v>
      </c>
      <c r="I111" s="5" t="s">
        <v>647</v>
      </c>
      <c r="J111" s="5" t="str">
        <f t="shared" si="2"/>
        <v>San Jose, La Paz</v>
      </c>
      <c r="K111" s="4" t="s">
        <v>129</v>
      </c>
      <c r="L111" s="5">
        <v>15.0</v>
      </c>
      <c r="M111" s="5" t="s">
        <v>66</v>
      </c>
      <c r="N111" s="5" t="str">
        <f>IFERROR(__xludf.DUMMYFUNCTION("PROPER(GOOGLETRANSLATE(M111, ""auto"", ""en""))"),"Taiwan Coffee Laboratory")</f>
        <v>Taiwan Coffee Laboratory</v>
      </c>
      <c r="O111" s="4" t="s">
        <v>153</v>
      </c>
      <c r="P111" s="5" t="str">
        <f t="shared" si="3"/>
        <v>2021</v>
      </c>
      <c r="Q111" s="5" t="s">
        <v>67</v>
      </c>
      <c r="R111" s="6" t="str">
        <f>IFERROR(__xludf.DUMMYFUNCTION("TEXT(DATEVALUE(REGEXREPLACE(Q111,""(\d+)(st|nd|rd|th)"",""$1"")),""yyyy-mm-dd"")"),"2022-11-15")</f>
        <v>2022-11-15</v>
      </c>
      <c r="S111" s="7" t="s">
        <v>648</v>
      </c>
      <c r="T111" s="5" t="s">
        <v>50</v>
      </c>
      <c r="U111" s="5" t="s">
        <v>123</v>
      </c>
      <c r="V111" s="4" t="s">
        <v>167</v>
      </c>
      <c r="W111" s="4" t="s">
        <v>167</v>
      </c>
      <c r="X111" s="4" t="s">
        <v>250</v>
      </c>
      <c r="Y111" s="4" t="s">
        <v>154</v>
      </c>
      <c r="Z111" s="4" t="s">
        <v>167</v>
      </c>
      <c r="AA111" s="4" t="s">
        <v>167</v>
      </c>
      <c r="AB111" s="4" t="s">
        <v>56</v>
      </c>
      <c r="AC111" s="4" t="s">
        <v>56</v>
      </c>
      <c r="AD111" s="4" t="s">
        <v>56</v>
      </c>
      <c r="AE111" s="4" t="s">
        <v>167</v>
      </c>
      <c r="AF111" s="4" t="s">
        <v>40</v>
      </c>
      <c r="AG111" s="4" t="s">
        <v>632</v>
      </c>
      <c r="AH111" s="4" t="s">
        <v>649</v>
      </c>
      <c r="AI111" s="4" t="s">
        <v>40</v>
      </c>
      <c r="AJ111" s="4" t="s">
        <v>76</v>
      </c>
      <c r="AK111" s="5" t="s">
        <v>328</v>
      </c>
      <c r="AL111" s="4" t="s">
        <v>45</v>
      </c>
      <c r="AM111" s="5" t="s">
        <v>75</v>
      </c>
      <c r="AN111" s="6" t="str">
        <f>IFERROR(__xludf.DUMMYFUNCTION("TEXT(DATEVALUE(REGEXREPLACE(AM111,""(\d+)(st|nd|rd|th)"",""$1"")),""yyyy-mm-dd"")"),"2023-11-15")</f>
        <v>2023-11-15</v>
      </c>
    </row>
    <row r="112">
      <c r="A112" s="4" t="s">
        <v>650</v>
      </c>
      <c r="B112" s="5" t="s">
        <v>62</v>
      </c>
      <c r="C112" s="5" t="s">
        <v>651</v>
      </c>
      <c r="D112" s="6" t="str">
        <f>IFERROR(__xludf.DUMMYFUNCTION("GOOGLETRANSLATE(C112,""auto"",""en"")"),"A30-Northern Taiwan Specialty Coffee Evaluation")</f>
        <v>A30-Northern Taiwan Specialty Coffee Evaluation</v>
      </c>
      <c r="E112" s="5" t="s">
        <v>652</v>
      </c>
      <c r="F112" s="5">
        <f>IFERROR(__xludf.DUMMYFUNCTION("SPLIT(E112,""-"")
"),250.0)</f>
        <v>250</v>
      </c>
      <c r="G112" s="5">
        <f>IFERROR(__xludf.DUMMYFUNCTION("""COMPUTED_VALUE"""),400.0)</f>
        <v>400</v>
      </c>
      <c r="H112" s="5">
        <f t="shared" si="4"/>
        <v>325</v>
      </c>
      <c r="I112" s="5" t="s">
        <v>372</v>
      </c>
      <c r="J112" s="5" t="str">
        <f t="shared" si="2"/>
        <v>新竹縣</v>
      </c>
      <c r="K112" s="4" t="s">
        <v>45</v>
      </c>
      <c r="L112" s="5">
        <v>10.0</v>
      </c>
      <c r="M112" s="5" t="s">
        <v>66</v>
      </c>
      <c r="N112" s="5" t="str">
        <f>IFERROR(__xludf.DUMMYFUNCTION("PROPER(GOOGLETRANSLATE(M112, ""auto"", ""en""))"),"Taiwan Coffee Laboratory")</f>
        <v>Taiwan Coffee Laboratory</v>
      </c>
      <c r="O112" s="5" t="s">
        <v>47</v>
      </c>
      <c r="P112" s="5" t="str">
        <f t="shared" si="3"/>
        <v>2021</v>
      </c>
      <c r="Q112" s="5" t="s">
        <v>243</v>
      </c>
      <c r="R112" s="6" t="str">
        <f>IFERROR(__xludf.DUMMYFUNCTION("TEXT(DATEVALUE(REGEXREPLACE(Q112,""(\d+)(st|nd|rd|th)"",""$1"")),""yyyy-mm-dd"")"),"2023-01-06")</f>
        <v>2023-01-06</v>
      </c>
      <c r="S112" s="7" t="s">
        <v>234</v>
      </c>
      <c r="T112" s="5" t="s">
        <v>50</v>
      </c>
      <c r="U112" s="5" t="s">
        <v>123</v>
      </c>
      <c r="V112" s="4" t="s">
        <v>250</v>
      </c>
      <c r="W112" s="4" t="s">
        <v>167</v>
      </c>
      <c r="X112" s="4" t="s">
        <v>439</v>
      </c>
      <c r="Y112" s="4" t="s">
        <v>154</v>
      </c>
      <c r="Z112" s="4" t="s">
        <v>154</v>
      </c>
      <c r="AA112" s="4" t="s">
        <v>167</v>
      </c>
      <c r="AB112" s="4" t="s">
        <v>56</v>
      </c>
      <c r="AC112" s="4" t="s">
        <v>56</v>
      </c>
      <c r="AD112" s="4" t="s">
        <v>56</v>
      </c>
      <c r="AE112" s="4" t="s">
        <v>167</v>
      </c>
      <c r="AF112" s="4" t="s">
        <v>40</v>
      </c>
      <c r="AG112" s="4" t="s">
        <v>653</v>
      </c>
      <c r="AH112" s="4" t="s">
        <v>654</v>
      </c>
      <c r="AI112" s="4" t="s">
        <v>40</v>
      </c>
      <c r="AJ112" s="4" t="s">
        <v>40</v>
      </c>
      <c r="AK112" s="5" t="s">
        <v>59</v>
      </c>
      <c r="AL112" s="4" t="s">
        <v>40</v>
      </c>
      <c r="AM112" s="5" t="s">
        <v>245</v>
      </c>
      <c r="AN112" s="6" t="str">
        <f>IFERROR(__xludf.DUMMYFUNCTION("TEXT(DATEVALUE(REGEXREPLACE(AM112,""(\d+)(st|nd|rd|th)"",""$1"")),""yyyy-mm-dd"")"),"2024-01-06")</f>
        <v>2024-01-06</v>
      </c>
    </row>
    <row r="113">
      <c r="A113" s="4" t="s">
        <v>655</v>
      </c>
      <c r="B113" s="5" t="s">
        <v>62</v>
      </c>
      <c r="C113" s="5" t="s">
        <v>656</v>
      </c>
      <c r="D113" s="6" t="str">
        <f>IFERROR(__xludf.DUMMYFUNCTION("GOOGLETRANSLATE(C113,""auto"",""en"")"),"A14-Northern Taiwan Specialty Coffee Evaluation")</f>
        <v>A14-Northern Taiwan Specialty Coffee Evaluation</v>
      </c>
      <c r="E113" s="5" t="s">
        <v>657</v>
      </c>
      <c r="F113" s="5">
        <f>IFERROR(__xludf.DUMMYFUNCTION("SPLIT(E113,""-"")
"),250.0)</f>
        <v>250</v>
      </c>
      <c r="G113" s="5">
        <f>IFERROR(__xludf.DUMMYFUNCTION("""COMPUTED_VALUE"""),300.0)</f>
        <v>300</v>
      </c>
      <c r="H113" s="5">
        <f t="shared" si="4"/>
        <v>275</v>
      </c>
      <c r="I113" s="5" t="s">
        <v>372</v>
      </c>
      <c r="J113" s="5" t="str">
        <f t="shared" si="2"/>
        <v>新竹縣</v>
      </c>
      <c r="K113" s="4" t="s">
        <v>45</v>
      </c>
      <c r="L113" s="5">
        <v>10.0</v>
      </c>
      <c r="M113" s="5" t="s">
        <v>66</v>
      </c>
      <c r="N113" s="5" t="str">
        <f>IFERROR(__xludf.DUMMYFUNCTION("PROPER(GOOGLETRANSLATE(M113, ""auto"", ""en""))"),"Taiwan Coffee Laboratory")</f>
        <v>Taiwan Coffee Laboratory</v>
      </c>
      <c r="O113" s="5" t="s">
        <v>47</v>
      </c>
      <c r="P113" s="5" t="str">
        <f t="shared" si="3"/>
        <v>2021</v>
      </c>
      <c r="Q113" s="5" t="s">
        <v>243</v>
      </c>
      <c r="R113" s="6" t="str">
        <f>IFERROR(__xludf.DUMMYFUNCTION("TEXT(DATEVALUE(REGEXREPLACE(Q113,""(\d+)(st|nd|rd|th)"",""$1"")),""yyyy-mm-dd"")"),"2023-01-06")</f>
        <v>2023-01-06</v>
      </c>
      <c r="S113" s="7" t="s">
        <v>216</v>
      </c>
      <c r="T113" s="5" t="s">
        <v>50</v>
      </c>
      <c r="U113" s="5" t="s">
        <v>180</v>
      </c>
      <c r="V113" s="4" t="s">
        <v>250</v>
      </c>
      <c r="W113" s="4" t="s">
        <v>154</v>
      </c>
      <c r="X113" s="4" t="s">
        <v>250</v>
      </c>
      <c r="Y113" s="4" t="s">
        <v>154</v>
      </c>
      <c r="Z113" s="4" t="s">
        <v>250</v>
      </c>
      <c r="AA113" s="4" t="s">
        <v>167</v>
      </c>
      <c r="AB113" s="4" t="s">
        <v>56</v>
      </c>
      <c r="AC113" s="4" t="s">
        <v>56</v>
      </c>
      <c r="AD113" s="4" t="s">
        <v>56</v>
      </c>
      <c r="AE113" s="4" t="s">
        <v>167</v>
      </c>
      <c r="AF113" s="4" t="s">
        <v>40</v>
      </c>
      <c r="AG113" s="4" t="s">
        <v>653</v>
      </c>
      <c r="AH113" s="4" t="s">
        <v>119</v>
      </c>
      <c r="AI113" s="4" t="s">
        <v>40</v>
      </c>
      <c r="AJ113" s="4" t="s">
        <v>40</v>
      </c>
      <c r="AK113" s="5" t="s">
        <v>59</v>
      </c>
      <c r="AL113" s="4" t="s">
        <v>40</v>
      </c>
      <c r="AM113" s="5" t="s">
        <v>245</v>
      </c>
      <c r="AN113" s="6" t="str">
        <f>IFERROR(__xludf.DUMMYFUNCTION("TEXT(DATEVALUE(REGEXREPLACE(AM113,""(\d+)(st|nd|rd|th)"",""$1"")),""yyyy-mm-dd"")"),"2024-01-06")</f>
        <v>2024-01-06</v>
      </c>
    </row>
    <row r="114">
      <c r="A114" s="4" t="s">
        <v>658</v>
      </c>
      <c r="B114" s="5" t="s">
        <v>108</v>
      </c>
      <c r="C114" s="5" t="s">
        <v>659</v>
      </c>
      <c r="D114" s="6" t="str">
        <f>IFERROR(__xludf.DUMMYFUNCTION("GOOGLETRANSLATE(C114,""auto"",""en"")"),"P-4142")</f>
        <v>P-4142</v>
      </c>
      <c r="E114" s="4" t="s">
        <v>348</v>
      </c>
      <c r="F114" s="5">
        <f>IFERROR(__xludf.DUMMYFUNCTION("SPLIT(E114,""-"")
"),1600.0)</f>
        <v>1600</v>
      </c>
      <c r="G114" s="5"/>
      <c r="H114" s="5">
        <f t="shared" si="4"/>
        <v>1600</v>
      </c>
      <c r="I114" s="5" t="s">
        <v>660</v>
      </c>
      <c r="J114" s="5" t="str">
        <f t="shared" si="2"/>
        <v>Quiche</v>
      </c>
      <c r="K114" s="4" t="s">
        <v>364</v>
      </c>
      <c r="L114" s="5">
        <v>69.0</v>
      </c>
      <c r="M114" s="5" t="s">
        <v>350</v>
      </c>
      <c r="N114" s="5" t="str">
        <f>IFERROR(__xludf.DUMMYFUNCTION("PROPER(GOOGLETRANSLATE(M114, ""auto"", ""en""))"),"National Coffee Association")</f>
        <v>National Coffee Association</v>
      </c>
      <c r="O114" s="5" t="s">
        <v>47</v>
      </c>
      <c r="P114" s="5" t="str">
        <f t="shared" si="3"/>
        <v>2021</v>
      </c>
      <c r="Q114" s="5" t="s">
        <v>432</v>
      </c>
      <c r="R114" s="6" t="str">
        <f>IFERROR(__xludf.DUMMYFUNCTION("TEXT(DATEVALUE(REGEXREPLACE(Q114,""(\d+)(st|nd|rd|th)"",""$1"")),""yyyy-mm-dd"")"),"2022-05-19")</f>
        <v>2022-05-19</v>
      </c>
      <c r="S114" s="7" t="s">
        <v>175</v>
      </c>
      <c r="T114" s="5" t="s">
        <v>50</v>
      </c>
      <c r="U114" s="5" t="s">
        <v>69</v>
      </c>
      <c r="V114" s="4" t="s">
        <v>250</v>
      </c>
      <c r="W114" s="4" t="s">
        <v>112</v>
      </c>
      <c r="X114" s="4" t="s">
        <v>250</v>
      </c>
      <c r="Y114" s="4" t="s">
        <v>167</v>
      </c>
      <c r="Z114" s="4" t="s">
        <v>250</v>
      </c>
      <c r="AA114" s="4" t="s">
        <v>250</v>
      </c>
      <c r="AB114" s="4" t="s">
        <v>56</v>
      </c>
      <c r="AC114" s="4" t="s">
        <v>56</v>
      </c>
      <c r="AD114" s="4" t="s">
        <v>56</v>
      </c>
      <c r="AE114" s="4" t="s">
        <v>154</v>
      </c>
      <c r="AF114" s="4" t="s">
        <v>40</v>
      </c>
      <c r="AG114" s="4" t="s">
        <v>653</v>
      </c>
      <c r="AH114" s="4" t="s">
        <v>342</v>
      </c>
      <c r="AI114" s="4" t="s">
        <v>40</v>
      </c>
      <c r="AJ114" s="4" t="s">
        <v>76</v>
      </c>
      <c r="AK114" s="5" t="s">
        <v>59</v>
      </c>
      <c r="AL114" s="4" t="s">
        <v>96</v>
      </c>
      <c r="AM114" s="5" t="s">
        <v>433</v>
      </c>
      <c r="AN114" s="6" t="str">
        <f>IFERROR(__xludf.DUMMYFUNCTION("TEXT(DATEVALUE(REGEXREPLACE(AM114,""(\d+)(st|nd|rd|th)"",""$1"")),""yyyy-mm-dd"")"),"2023-05-19")</f>
        <v>2023-05-19</v>
      </c>
    </row>
    <row r="115">
      <c r="A115" s="4" t="s">
        <v>661</v>
      </c>
      <c r="B115" s="5" t="s">
        <v>472</v>
      </c>
      <c r="C115" s="5" t="s">
        <v>662</v>
      </c>
      <c r="D115" s="6" t="str">
        <f>IFERROR(__xludf.DUMMYFUNCTION("GOOGLETRANSLATE(C115,""auto"",""en"")"),"SECURITY-22-6011-1")</f>
        <v>SECURITY-22-6011-1</v>
      </c>
      <c r="E115" s="4" t="s">
        <v>403</v>
      </c>
      <c r="F115" s="5">
        <f>IFERROR(__xludf.DUMMYFUNCTION("SPLIT(E115,""-"")
"),1400.0)</f>
        <v>1400</v>
      </c>
      <c r="G115" s="5"/>
      <c r="H115" s="5">
        <f t="shared" si="4"/>
        <v>1400</v>
      </c>
      <c r="I115" s="5" t="s">
        <v>663</v>
      </c>
      <c r="J115" s="5" t="str">
        <f t="shared" si="2"/>
        <v>Marcala</v>
      </c>
      <c r="K115" s="4" t="s">
        <v>437</v>
      </c>
      <c r="L115" s="5">
        <v>69.0</v>
      </c>
      <c r="M115" s="5" t="s">
        <v>476</v>
      </c>
      <c r="N115" s="5" t="str">
        <f>IFERROR(__xludf.DUMMYFUNCTION("PROPER(GOOGLETRANSLATE(M115, ""auto"", ""en""))"),"Honduran Coffee Institute")</f>
        <v>Honduran Coffee Institute</v>
      </c>
      <c r="O115" s="5" t="s">
        <v>47</v>
      </c>
      <c r="P115" s="5" t="str">
        <f t="shared" si="3"/>
        <v>2021</v>
      </c>
      <c r="Q115" s="5" t="s">
        <v>664</v>
      </c>
      <c r="R115" s="6" t="str">
        <f>IFERROR(__xludf.DUMMYFUNCTION("TEXT(DATEVALUE(REGEXREPLACE(Q115,""(\d+)(st|nd|rd|th)"",""$1"")),""yyyy-mm-dd"")"),"2022-08-17")</f>
        <v>2022-08-17</v>
      </c>
      <c r="S115" s="7" t="s">
        <v>665</v>
      </c>
      <c r="T115" s="5" t="s">
        <v>50</v>
      </c>
      <c r="U115" s="5" t="s">
        <v>69</v>
      </c>
      <c r="V115" s="4" t="s">
        <v>154</v>
      </c>
      <c r="W115" s="4" t="s">
        <v>167</v>
      </c>
      <c r="X115" s="4" t="s">
        <v>250</v>
      </c>
      <c r="Y115" s="4" t="s">
        <v>250</v>
      </c>
      <c r="Z115" s="4" t="s">
        <v>250</v>
      </c>
      <c r="AA115" s="4" t="s">
        <v>167</v>
      </c>
      <c r="AB115" s="4" t="s">
        <v>56</v>
      </c>
      <c r="AC115" s="4" t="s">
        <v>56</v>
      </c>
      <c r="AD115" s="4" t="s">
        <v>56</v>
      </c>
      <c r="AE115" s="4" t="s">
        <v>167</v>
      </c>
      <c r="AF115" s="4" t="s">
        <v>40</v>
      </c>
      <c r="AG115" s="4" t="s">
        <v>666</v>
      </c>
      <c r="AH115" s="4" t="s">
        <v>397</v>
      </c>
      <c r="AI115" s="4" t="s">
        <v>40</v>
      </c>
      <c r="AJ115" s="4" t="s">
        <v>45</v>
      </c>
      <c r="AK115" s="5" t="s">
        <v>59</v>
      </c>
      <c r="AL115" s="4" t="s">
        <v>107</v>
      </c>
      <c r="AM115" s="5" t="s">
        <v>667</v>
      </c>
      <c r="AN115" s="6" t="str">
        <f>IFERROR(__xludf.DUMMYFUNCTION("TEXT(DATEVALUE(REGEXREPLACE(AM115,""(\d+)(st|nd|rd|th)"",""$1"")),""yyyy-mm-dd"")"),"2023-08-17")</f>
        <v>2023-08-17</v>
      </c>
    </row>
    <row r="116">
      <c r="A116" s="4" t="s">
        <v>668</v>
      </c>
      <c r="B116" s="5" t="s">
        <v>41</v>
      </c>
      <c r="C116" s="5" t="s">
        <v>669</v>
      </c>
      <c r="D116" s="6" t="str">
        <f>IFERROR(__xludf.DUMMYFUNCTION("GOOGLETRANSLATE(C116,""auto"",""en"")"),"3-0104-00202 Supreme Popayán")</f>
        <v>3-0104-00202 Supreme Popayán</v>
      </c>
      <c r="E116" s="4" t="s">
        <v>291</v>
      </c>
      <c r="F116" s="5">
        <f>IFERROR(__xludf.DUMMYFUNCTION("SPLIT(E116,""-"")
"),1700.0)</f>
        <v>1700</v>
      </c>
      <c r="G116" s="5"/>
      <c r="H116" s="5">
        <f t="shared" si="4"/>
        <v>1700</v>
      </c>
      <c r="I116" s="5" t="s">
        <v>670</v>
      </c>
      <c r="J116" s="5" t="str">
        <f t="shared" si="2"/>
        <v>Popayán Cauca</v>
      </c>
      <c r="K116" s="4" t="s">
        <v>257</v>
      </c>
      <c r="L116" s="5">
        <v>30.0</v>
      </c>
      <c r="M116" s="5" t="s">
        <v>513</v>
      </c>
      <c r="N116" s="5" t="str">
        <f>IFERROR(__xludf.DUMMYFUNCTION("PROPER(GOOGLETRANSLATE(M116, ""auto"", ""en""))"),"Colombian Association For Coffee Excellence")</f>
        <v>Colombian Association For Coffee Excellence</v>
      </c>
      <c r="O116" s="4" t="s">
        <v>94</v>
      </c>
      <c r="P116" s="5" t="str">
        <f t="shared" si="3"/>
        <v>2022</v>
      </c>
      <c r="Q116" s="5" t="s">
        <v>671</v>
      </c>
      <c r="R116" s="6" t="str">
        <f>IFERROR(__xludf.DUMMYFUNCTION("TEXT(DATEVALUE(REGEXREPLACE(Q116,""(\d+)(st|nd|rd|th)"",""$1"")),""yyyy-mm-dd"")"),"2023-01-18")</f>
        <v>2023-01-18</v>
      </c>
      <c r="S116" s="7" t="s">
        <v>175</v>
      </c>
      <c r="T116" s="5" t="s">
        <v>50</v>
      </c>
      <c r="U116" s="5" t="s">
        <v>69</v>
      </c>
      <c r="V116" s="4" t="s">
        <v>154</v>
      </c>
      <c r="W116" s="4" t="s">
        <v>154</v>
      </c>
      <c r="X116" s="4" t="s">
        <v>439</v>
      </c>
      <c r="Y116" s="4" t="s">
        <v>250</v>
      </c>
      <c r="Z116" s="4" t="s">
        <v>112</v>
      </c>
      <c r="AA116" s="4" t="s">
        <v>439</v>
      </c>
      <c r="AB116" s="4" t="s">
        <v>56</v>
      </c>
      <c r="AC116" s="4" t="s">
        <v>56</v>
      </c>
      <c r="AD116" s="4" t="s">
        <v>56</v>
      </c>
      <c r="AE116" s="4" t="s">
        <v>250</v>
      </c>
      <c r="AF116" s="4" t="s">
        <v>40</v>
      </c>
      <c r="AG116" s="4" t="s">
        <v>666</v>
      </c>
      <c r="AH116" s="4" t="s">
        <v>672</v>
      </c>
      <c r="AI116" s="4" t="s">
        <v>40</v>
      </c>
      <c r="AJ116" s="4" t="s">
        <v>40</v>
      </c>
      <c r="AK116" s="5" t="s">
        <v>74</v>
      </c>
      <c r="AL116" s="4" t="s">
        <v>76</v>
      </c>
      <c r="AM116" s="5" t="s">
        <v>673</v>
      </c>
      <c r="AN116" s="6" t="str">
        <f>IFERROR(__xludf.DUMMYFUNCTION("TEXT(DATEVALUE(REGEXREPLACE(AM116,""(\d+)(st|nd|rd|th)"",""$1"")),""yyyy-mm-dd"")"),"2024-01-18")</f>
        <v>2024-01-18</v>
      </c>
    </row>
    <row r="117">
      <c r="A117" s="4" t="s">
        <v>674</v>
      </c>
      <c r="B117" s="5" t="s">
        <v>220</v>
      </c>
      <c r="C117" s="5" t="s">
        <v>675</v>
      </c>
      <c r="D117" s="6" t="str">
        <f>IFERROR(__xludf.DUMMYFUNCTION("GOOGLETRANSLATE(C117,""auto"",""en"")"),"BOURBON 21/22 (Coffea Arabica)")</f>
        <v>BOURBON 21/22 (Coffea Arabica)</v>
      </c>
      <c r="E117" s="5" t="s">
        <v>676</v>
      </c>
      <c r="F117" s="5">
        <f>IFERROR(__xludf.DUMMYFUNCTION("SPLIT(E117,""-"")
"),1200.0)</f>
        <v>1200</v>
      </c>
      <c r="G117" s="5">
        <f>IFERROR(__xludf.DUMMYFUNCTION("""COMPUTED_VALUE"""),1580.0)</f>
        <v>1580</v>
      </c>
      <c r="H117" s="5">
        <f t="shared" si="4"/>
        <v>1390</v>
      </c>
      <c r="I117" s="5" t="s">
        <v>677</v>
      </c>
      <c r="J117" s="5" t="str">
        <f t="shared" si="2"/>
        <v>North Of Thailand</v>
      </c>
      <c r="K117" s="4" t="s">
        <v>76</v>
      </c>
      <c r="L117" s="5">
        <v>1.0</v>
      </c>
      <c r="M117" s="5" t="s">
        <v>223</v>
      </c>
      <c r="N117" s="5" t="str">
        <f>IFERROR(__xludf.DUMMYFUNCTION("PROPER(GOOGLETRANSLATE(M117, ""auto"", ""en""))"),"Fabb Academy Of Coffee")</f>
        <v>Fabb Academy Of Coffee</v>
      </c>
      <c r="O117" s="4" t="s">
        <v>94</v>
      </c>
      <c r="P117" s="5" t="str">
        <f t="shared" si="3"/>
        <v>2022</v>
      </c>
      <c r="Q117" s="5" t="s">
        <v>678</v>
      </c>
      <c r="R117" s="6" t="str">
        <f>IFERROR(__xludf.DUMMYFUNCTION("TEXT(DATEVALUE(REGEXREPLACE(Q117,""(\d+)(st|nd|rd|th)"",""$1"")),""yyyy-mm-dd"")"),"2022-07-14")</f>
        <v>2022-07-14</v>
      </c>
      <c r="S117" s="7" t="s">
        <v>138</v>
      </c>
      <c r="T117" s="5" t="s">
        <v>50</v>
      </c>
      <c r="U117" s="5" t="s">
        <v>69</v>
      </c>
      <c r="V117" s="4" t="s">
        <v>611</v>
      </c>
      <c r="W117" s="4" t="s">
        <v>112</v>
      </c>
      <c r="X117" s="4" t="s">
        <v>250</v>
      </c>
      <c r="Y117" s="4" t="s">
        <v>167</v>
      </c>
      <c r="Z117" s="4" t="s">
        <v>167</v>
      </c>
      <c r="AA117" s="4" t="s">
        <v>154</v>
      </c>
      <c r="AB117" s="4" t="s">
        <v>56</v>
      </c>
      <c r="AC117" s="4" t="s">
        <v>56</v>
      </c>
      <c r="AD117" s="4" t="s">
        <v>56</v>
      </c>
      <c r="AE117" s="4" t="s">
        <v>250</v>
      </c>
      <c r="AF117" s="4" t="s">
        <v>40</v>
      </c>
      <c r="AG117" s="4" t="s">
        <v>666</v>
      </c>
      <c r="AH117" s="4" t="s">
        <v>679</v>
      </c>
      <c r="AI117" s="4" t="s">
        <v>40</v>
      </c>
      <c r="AJ117" s="4" t="s">
        <v>40</v>
      </c>
      <c r="AK117" s="5" t="s">
        <v>59</v>
      </c>
      <c r="AL117" s="4" t="s">
        <v>40</v>
      </c>
      <c r="AM117" s="5" t="s">
        <v>680</v>
      </c>
      <c r="AN117" s="6" t="str">
        <f>IFERROR(__xludf.DUMMYFUNCTION("TEXT(DATEVALUE(REGEXREPLACE(AM117,""(\d+)(st|nd|rd|th)"",""$1"")),""yyyy-mm-dd"")"),"2023-07-14")</f>
        <v>2023-07-14</v>
      </c>
    </row>
    <row r="118">
      <c r="A118" s="4" t="s">
        <v>681</v>
      </c>
      <c r="B118" s="5" t="s">
        <v>142</v>
      </c>
      <c r="C118" s="4" t="s">
        <v>45</v>
      </c>
      <c r="D118" s="6" t="str">
        <f>IFERROR(__xludf.DUMMYFUNCTION("GOOGLETRANSLATE(C118,""auto"",""en"")"),"1")</f>
        <v>1</v>
      </c>
      <c r="E118" s="4" t="s">
        <v>291</v>
      </c>
      <c r="F118" s="5">
        <f>IFERROR(__xludf.DUMMYFUNCTION("SPLIT(E118,""-"")
"),1700.0)</f>
        <v>1700</v>
      </c>
      <c r="G118" s="5"/>
      <c r="H118" s="5">
        <f t="shared" si="4"/>
        <v>1700</v>
      </c>
      <c r="I118" s="5" t="s">
        <v>292</v>
      </c>
      <c r="J118" s="5" t="str">
        <f t="shared" si="2"/>
        <v>Oromia</v>
      </c>
      <c r="K118" s="4" t="s">
        <v>134</v>
      </c>
      <c r="L118" s="5">
        <v>19200.0</v>
      </c>
      <c r="M118" s="5" t="s">
        <v>165</v>
      </c>
      <c r="N118" s="5" t="str">
        <f>IFERROR(__xludf.DUMMYFUNCTION("PROPER(GOOGLETRANSLATE(M118, ""auto"", ""en""))"),"Metad Agricultural Development Plc")</f>
        <v>Metad Agricultural Development Plc</v>
      </c>
      <c r="O118" s="5" t="s">
        <v>47</v>
      </c>
      <c r="P118" s="5" t="str">
        <f t="shared" si="3"/>
        <v>2021</v>
      </c>
      <c r="Q118" s="5" t="s">
        <v>682</v>
      </c>
      <c r="R118" s="6" t="str">
        <f>IFERROR(__xludf.DUMMYFUNCTION("TEXT(DATEVALUE(REGEXREPLACE(Q118,""(\d+)(st|nd|rd|th)"",""$1"")),""yyyy-mm-dd"")"),"2022-11-30")</f>
        <v>2022-11-30</v>
      </c>
      <c r="S118" s="7" t="s">
        <v>147</v>
      </c>
      <c r="T118" s="5" t="s">
        <v>50</v>
      </c>
      <c r="U118" s="5" t="s">
        <v>69</v>
      </c>
      <c r="V118" s="4" t="s">
        <v>611</v>
      </c>
      <c r="W118" s="4" t="s">
        <v>611</v>
      </c>
      <c r="X118" s="4" t="s">
        <v>611</v>
      </c>
      <c r="Y118" s="4" t="s">
        <v>71</v>
      </c>
      <c r="Z118" s="4" t="s">
        <v>70</v>
      </c>
      <c r="AA118" s="4" t="s">
        <v>167</v>
      </c>
      <c r="AB118" s="4" t="s">
        <v>56</v>
      </c>
      <c r="AC118" s="4" t="s">
        <v>56</v>
      </c>
      <c r="AD118" s="4" t="s">
        <v>56</v>
      </c>
      <c r="AE118" s="4" t="s">
        <v>167</v>
      </c>
      <c r="AF118" s="4" t="s">
        <v>40</v>
      </c>
      <c r="AG118" s="4" t="s">
        <v>666</v>
      </c>
      <c r="AH118" s="4" t="s">
        <v>88</v>
      </c>
      <c r="AI118" s="4" t="s">
        <v>40</v>
      </c>
      <c r="AJ118" s="4" t="s">
        <v>45</v>
      </c>
      <c r="AK118" s="5" t="s">
        <v>59</v>
      </c>
      <c r="AL118" s="4" t="s">
        <v>140</v>
      </c>
      <c r="AM118" s="5" t="s">
        <v>683</v>
      </c>
      <c r="AN118" s="6" t="str">
        <f>IFERROR(__xludf.DUMMYFUNCTION("TEXT(DATEVALUE(REGEXREPLACE(AM118,""(\d+)(st|nd|rd|th)"",""$1"")),""yyyy-mm-dd"")"),"2023-11-30")</f>
        <v>2023-11-30</v>
      </c>
    </row>
    <row r="119">
      <c r="A119" s="4" t="s">
        <v>684</v>
      </c>
      <c r="B119" s="5" t="s">
        <v>220</v>
      </c>
      <c r="C119" s="5" t="s">
        <v>685</v>
      </c>
      <c r="D119" s="6" t="str">
        <f>IFERROR(__xludf.DUMMYFUNCTION("GOOGLETRANSLATE(C119,""auto"",""en"")"),"CQU2022011")</f>
        <v>CQU2022011</v>
      </c>
      <c r="E119" s="4" t="s">
        <v>459</v>
      </c>
      <c r="F119" s="5">
        <f>IFERROR(__xludf.DUMMYFUNCTION("SPLIT(E119,""-"")
"),1450.0)</f>
        <v>1450</v>
      </c>
      <c r="G119" s="5"/>
      <c r="H119" s="5">
        <f t="shared" si="4"/>
        <v>1450</v>
      </c>
      <c r="I119" s="5" t="s">
        <v>686</v>
      </c>
      <c r="J119" s="5" t="str">
        <f t="shared" si="2"/>
        <v>Suan Ya Lung</v>
      </c>
      <c r="K119" s="4" t="s">
        <v>107</v>
      </c>
      <c r="L119" s="5">
        <v>2.0</v>
      </c>
      <c r="M119" s="5" t="s">
        <v>46</v>
      </c>
      <c r="N119" s="5" t="str">
        <f>IFERROR(__xludf.DUMMYFUNCTION("PROPER(GOOGLETRANSLATE(M119, ""auto"", ""en""))"),"Japan Coffee Exchange")</f>
        <v>Japan Coffee Exchange</v>
      </c>
      <c r="O119" s="4" t="s">
        <v>94</v>
      </c>
      <c r="P119" s="5" t="str">
        <f t="shared" si="3"/>
        <v>2022</v>
      </c>
      <c r="Q119" s="5" t="s">
        <v>687</v>
      </c>
      <c r="R119" s="6" t="str">
        <f>IFERROR(__xludf.DUMMYFUNCTION("TEXT(DATEVALUE(REGEXREPLACE(Q119,""(\d+)(st|nd|rd|th)"",""$1"")),""yyyy-mm-dd"")"),"2022-06-16")</f>
        <v>2022-06-16</v>
      </c>
      <c r="S119" s="7" t="s">
        <v>82</v>
      </c>
      <c r="T119" s="5" t="s">
        <v>50</v>
      </c>
      <c r="U119" s="5" t="s">
        <v>69</v>
      </c>
      <c r="V119" s="4" t="s">
        <v>167</v>
      </c>
      <c r="W119" s="4" t="s">
        <v>167</v>
      </c>
      <c r="X119" s="4" t="s">
        <v>439</v>
      </c>
      <c r="Y119" s="4" t="s">
        <v>167</v>
      </c>
      <c r="Z119" s="4" t="s">
        <v>250</v>
      </c>
      <c r="AA119" s="4" t="s">
        <v>167</v>
      </c>
      <c r="AB119" s="4" t="s">
        <v>56</v>
      </c>
      <c r="AC119" s="4" t="s">
        <v>56</v>
      </c>
      <c r="AD119" s="4" t="s">
        <v>56</v>
      </c>
      <c r="AE119" s="4" t="s">
        <v>167</v>
      </c>
      <c r="AF119" s="4" t="s">
        <v>40</v>
      </c>
      <c r="AG119" s="4" t="s">
        <v>688</v>
      </c>
      <c r="AH119" s="4" t="s">
        <v>104</v>
      </c>
      <c r="AI119" s="4" t="s">
        <v>40</v>
      </c>
      <c r="AJ119" s="4" t="s">
        <v>76</v>
      </c>
      <c r="AK119" s="5" t="s">
        <v>59</v>
      </c>
      <c r="AL119" s="4" t="s">
        <v>40</v>
      </c>
      <c r="AM119" s="5" t="s">
        <v>689</v>
      </c>
      <c r="AN119" s="6" t="str">
        <f>IFERROR(__xludf.DUMMYFUNCTION("TEXT(DATEVALUE(REGEXREPLACE(AM119,""(\d+)(st|nd|rd|th)"",""$1"")),""yyyy-mm-dd"")"),"2023-06-16")</f>
        <v>2023-06-16</v>
      </c>
    </row>
    <row r="120">
      <c r="A120" s="4" t="s">
        <v>690</v>
      </c>
      <c r="B120" s="5" t="s">
        <v>330</v>
      </c>
      <c r="C120" s="5" t="s">
        <v>691</v>
      </c>
      <c r="D120" s="6" t="str">
        <f>IFERROR(__xludf.DUMMYFUNCTION("GOOGLETRANSLATE(C120,""auto"",""en"")"),"035/170/5021210")</f>
        <v>035/170/5021210</v>
      </c>
      <c r="E120" s="5" t="s">
        <v>692</v>
      </c>
      <c r="F120" s="5">
        <f>IFERROR(__xludf.DUMMYFUNCTION("SPLIT(E120,""-"")
"),1400.0)</f>
        <v>1400</v>
      </c>
      <c r="G120" s="5">
        <f>IFERROR(__xludf.DUMMYFUNCTION("""COMPUTED_VALUE"""),1900.0)</f>
        <v>1900</v>
      </c>
      <c r="H120" s="5">
        <f t="shared" si="4"/>
        <v>1650</v>
      </c>
      <c r="I120" s="5" t="s">
        <v>693</v>
      </c>
      <c r="J120" s="5" t="str">
        <f t="shared" si="2"/>
        <v>Mt Elgon</v>
      </c>
      <c r="K120" s="4" t="s">
        <v>341</v>
      </c>
      <c r="L120" s="5">
        <v>60.0</v>
      </c>
      <c r="M120" s="5" t="s">
        <v>334</v>
      </c>
      <c r="N120" s="5" t="str">
        <f>IFERROR(__xludf.DUMMYFUNCTION("PROPER(GOOGLETRANSLATE(M120, ""auto"", ""en""))"),"Uganda Coffee Development Authority")</f>
        <v>Uganda Coffee Development Authority</v>
      </c>
      <c r="O120" s="5" t="s">
        <v>47</v>
      </c>
      <c r="P120" s="5" t="str">
        <f t="shared" si="3"/>
        <v>2021</v>
      </c>
      <c r="Q120" s="5" t="s">
        <v>694</v>
      </c>
      <c r="R120" s="6" t="str">
        <f>IFERROR(__xludf.DUMMYFUNCTION("TEXT(DATEVALUE(REGEXREPLACE(Q120,""(\d+)(st|nd|rd|th)"",""$1"")),""yyyy-mm-dd"")"),"2022-07-07")</f>
        <v>2022-07-07</v>
      </c>
      <c r="S120" s="7" t="s">
        <v>336</v>
      </c>
      <c r="T120" s="5" t="s">
        <v>50</v>
      </c>
      <c r="U120" s="5" t="s">
        <v>69</v>
      </c>
      <c r="V120" s="4" t="s">
        <v>154</v>
      </c>
      <c r="W120" s="4" t="s">
        <v>154</v>
      </c>
      <c r="X120" s="4" t="s">
        <v>439</v>
      </c>
      <c r="Y120" s="4" t="s">
        <v>439</v>
      </c>
      <c r="Z120" s="4" t="s">
        <v>250</v>
      </c>
      <c r="AA120" s="4" t="s">
        <v>250</v>
      </c>
      <c r="AB120" s="4" t="s">
        <v>56</v>
      </c>
      <c r="AC120" s="4" t="s">
        <v>56</v>
      </c>
      <c r="AD120" s="4" t="s">
        <v>56</v>
      </c>
      <c r="AE120" s="4" t="s">
        <v>154</v>
      </c>
      <c r="AF120" s="4" t="s">
        <v>40</v>
      </c>
      <c r="AG120" s="4" t="s">
        <v>688</v>
      </c>
      <c r="AH120" s="4" t="s">
        <v>345</v>
      </c>
      <c r="AI120" s="4" t="s">
        <v>40</v>
      </c>
      <c r="AJ120" s="4" t="s">
        <v>40</v>
      </c>
      <c r="AK120" s="5" t="s">
        <v>59</v>
      </c>
      <c r="AL120" s="4" t="s">
        <v>60</v>
      </c>
      <c r="AM120" s="5" t="s">
        <v>695</v>
      </c>
      <c r="AN120" s="6" t="str">
        <f>IFERROR(__xludf.DUMMYFUNCTION("TEXT(DATEVALUE(REGEXREPLACE(AM120,""(\d+)(st|nd|rd|th)"",""$1"")),""yyyy-mm-dd"")"),"2023-07-07")</f>
        <v>2023-07-07</v>
      </c>
    </row>
    <row r="121">
      <c r="A121" s="4" t="s">
        <v>696</v>
      </c>
      <c r="B121" s="5" t="s">
        <v>62</v>
      </c>
      <c r="C121" s="5" t="s">
        <v>697</v>
      </c>
      <c r="D121" s="6" t="str">
        <f>IFERROR(__xludf.DUMMYFUNCTION("GOOGLETRANSLATE(C121,""auto"",""en"")"),"The 2022 Pacific Rim Coffee Summit,T022")</f>
        <v>The 2022 Pacific Rim Coffee Summit,T022</v>
      </c>
      <c r="E121" s="4" t="s">
        <v>179</v>
      </c>
      <c r="F121" s="5">
        <f>IFERROR(__xludf.DUMMYFUNCTION("SPLIT(E121,""-"")
"),1100.0)</f>
        <v>1100</v>
      </c>
      <c r="G121" s="5"/>
      <c r="H121" s="5">
        <f t="shared" si="4"/>
        <v>1100</v>
      </c>
      <c r="I121" s="5" t="s">
        <v>65</v>
      </c>
      <c r="J121" s="5" t="str">
        <f t="shared" si="2"/>
        <v>Chiayi</v>
      </c>
      <c r="K121" s="4" t="s">
        <v>45</v>
      </c>
      <c r="L121" s="5">
        <v>40.0</v>
      </c>
      <c r="M121" s="5" t="s">
        <v>66</v>
      </c>
      <c r="N121" s="5" t="str">
        <f>IFERROR(__xludf.DUMMYFUNCTION("PROPER(GOOGLETRANSLATE(M121, ""auto"", ""en""))"),"Taiwan Coffee Laboratory")</f>
        <v>Taiwan Coffee Laboratory</v>
      </c>
      <c r="O121" s="5" t="s">
        <v>47</v>
      </c>
      <c r="P121" s="5" t="str">
        <f t="shared" si="3"/>
        <v>2021</v>
      </c>
      <c r="Q121" s="5" t="s">
        <v>67</v>
      </c>
      <c r="R121" s="6" t="str">
        <f>IFERROR(__xludf.DUMMYFUNCTION("TEXT(DATEVALUE(REGEXREPLACE(Q121,""(\d+)(st|nd|rd|th)"",""$1"")),""yyyy-mm-dd"")"),"2022-11-15")</f>
        <v>2022-11-15</v>
      </c>
      <c r="S121" s="7" t="s">
        <v>698</v>
      </c>
      <c r="T121" s="5" t="s">
        <v>50</v>
      </c>
      <c r="U121" s="5" t="s">
        <v>69</v>
      </c>
      <c r="V121" s="4" t="s">
        <v>154</v>
      </c>
      <c r="W121" s="4" t="s">
        <v>70</v>
      </c>
      <c r="X121" s="4" t="s">
        <v>167</v>
      </c>
      <c r="Y121" s="4" t="s">
        <v>70</v>
      </c>
      <c r="Z121" s="4" t="s">
        <v>154</v>
      </c>
      <c r="AA121" s="4" t="s">
        <v>112</v>
      </c>
      <c r="AB121" s="4" t="s">
        <v>699</v>
      </c>
      <c r="AC121" s="4" t="s">
        <v>56</v>
      </c>
      <c r="AD121" s="4" t="s">
        <v>56</v>
      </c>
      <c r="AE121" s="4" t="s">
        <v>70</v>
      </c>
      <c r="AF121" s="4" t="s">
        <v>40</v>
      </c>
      <c r="AG121" s="4" t="s">
        <v>688</v>
      </c>
      <c r="AH121" s="4" t="s">
        <v>345</v>
      </c>
      <c r="AI121" s="4" t="s">
        <v>40</v>
      </c>
      <c r="AJ121" s="4" t="s">
        <v>40</v>
      </c>
      <c r="AK121" s="5" t="s">
        <v>74</v>
      </c>
      <c r="AL121" s="4" t="s">
        <v>40</v>
      </c>
      <c r="AM121" s="5" t="s">
        <v>75</v>
      </c>
      <c r="AN121" s="6" t="str">
        <f>IFERROR(__xludf.DUMMYFUNCTION("TEXT(DATEVALUE(REGEXREPLACE(AM121,""(\d+)(st|nd|rd|th)"",""$1"")),""yyyy-mm-dd"")"),"2023-11-15")</f>
        <v>2023-11-15</v>
      </c>
    </row>
    <row r="122">
      <c r="A122" s="4" t="s">
        <v>700</v>
      </c>
      <c r="B122" s="5" t="s">
        <v>330</v>
      </c>
      <c r="C122" s="4" t="s">
        <v>701</v>
      </c>
      <c r="D122" s="6" t="str">
        <f>IFERROR(__xludf.DUMMYFUNCTION("GOOGLETRANSLATE(C122,""auto"",""en"")"),"7969")</f>
        <v>7969</v>
      </c>
      <c r="E122" s="4" t="s">
        <v>332</v>
      </c>
      <c r="F122" s="5">
        <f>IFERROR(__xludf.DUMMYFUNCTION("SPLIT(E122,""-"")
"),1905.0)</f>
        <v>1905</v>
      </c>
      <c r="G122" s="5"/>
      <c r="H122" s="5">
        <f t="shared" si="4"/>
        <v>1905</v>
      </c>
      <c r="I122" s="5" t="s">
        <v>333</v>
      </c>
      <c r="J122" s="5" t="str">
        <f t="shared" si="2"/>
        <v>Rwenzori</v>
      </c>
      <c r="K122" s="4" t="s">
        <v>134</v>
      </c>
      <c r="L122" s="5">
        <v>60.0</v>
      </c>
      <c r="M122" s="5" t="s">
        <v>334</v>
      </c>
      <c r="N122" s="5" t="str">
        <f>IFERROR(__xludf.DUMMYFUNCTION("PROPER(GOOGLETRANSLATE(M122, ""auto"", ""en""))"),"Uganda Coffee Development Authority")</f>
        <v>Uganda Coffee Development Authority</v>
      </c>
      <c r="O122" s="5" t="s">
        <v>47</v>
      </c>
      <c r="P122" s="5" t="str">
        <f t="shared" si="3"/>
        <v>2021</v>
      </c>
      <c r="Q122" s="5" t="s">
        <v>702</v>
      </c>
      <c r="R122" s="6" t="str">
        <f>IFERROR(__xludf.DUMMYFUNCTION("TEXT(DATEVALUE(REGEXREPLACE(Q122,""(\d+)(st|nd|rd|th)"",""$1"")),""yyyy-mm-dd"")"),"2022-09-01")</f>
        <v>2022-09-01</v>
      </c>
      <c r="S122" s="7" t="s">
        <v>336</v>
      </c>
      <c r="T122" s="5" t="s">
        <v>50</v>
      </c>
      <c r="U122" s="5" t="s">
        <v>69</v>
      </c>
      <c r="V122" s="4" t="s">
        <v>154</v>
      </c>
      <c r="W122" s="4" t="s">
        <v>167</v>
      </c>
      <c r="X122" s="4" t="s">
        <v>250</v>
      </c>
      <c r="Y122" s="4" t="s">
        <v>439</v>
      </c>
      <c r="Z122" s="4" t="s">
        <v>167</v>
      </c>
      <c r="AA122" s="4" t="s">
        <v>439</v>
      </c>
      <c r="AB122" s="4" t="s">
        <v>56</v>
      </c>
      <c r="AC122" s="4" t="s">
        <v>56</v>
      </c>
      <c r="AD122" s="4" t="s">
        <v>56</v>
      </c>
      <c r="AE122" s="4" t="s">
        <v>167</v>
      </c>
      <c r="AF122" s="4" t="s">
        <v>40</v>
      </c>
      <c r="AG122" s="4" t="s">
        <v>703</v>
      </c>
      <c r="AH122" s="4" t="s">
        <v>649</v>
      </c>
      <c r="AI122" s="4" t="s">
        <v>40</v>
      </c>
      <c r="AJ122" s="4" t="s">
        <v>40</v>
      </c>
      <c r="AK122" s="5" t="s">
        <v>59</v>
      </c>
      <c r="AL122" s="4" t="s">
        <v>107</v>
      </c>
      <c r="AM122" s="5" t="s">
        <v>704</v>
      </c>
      <c r="AN122" s="6" t="str">
        <f>IFERROR(__xludf.DUMMYFUNCTION("TEXT(DATEVALUE(REGEXREPLACE(AM122,""(\d+)(st|nd|rd|th)"",""$1"")),""yyyy-mm-dd"")"),"2023-09-01")</f>
        <v>2023-09-01</v>
      </c>
    </row>
    <row r="123">
      <c r="A123" s="4" t="s">
        <v>705</v>
      </c>
      <c r="B123" s="5" t="s">
        <v>62</v>
      </c>
      <c r="C123" s="5" t="s">
        <v>706</v>
      </c>
      <c r="D123" s="6" t="str">
        <f>IFERROR(__xludf.DUMMYFUNCTION("GOOGLETRANSLATE(C123,""auto"",""en"")"),"A04-Northern Taiwan Specialty Coffee Evaluation")</f>
        <v>A04-Northern Taiwan Specialty Coffee Evaluation</v>
      </c>
      <c r="E123" s="5" t="s">
        <v>443</v>
      </c>
      <c r="F123" s="5">
        <f>IFERROR(__xludf.DUMMYFUNCTION("SPLIT(E123,""-"")
"),200.0)</f>
        <v>200</v>
      </c>
      <c r="G123" s="5">
        <f>IFERROR(__xludf.DUMMYFUNCTION("""COMPUTED_VALUE"""),300.0)</f>
        <v>300</v>
      </c>
      <c r="H123" s="5">
        <f t="shared" si="4"/>
        <v>250</v>
      </c>
      <c r="I123" s="5" t="s">
        <v>372</v>
      </c>
      <c r="J123" s="5" t="str">
        <f t="shared" si="2"/>
        <v>新竹縣</v>
      </c>
      <c r="K123" s="4" t="s">
        <v>45</v>
      </c>
      <c r="L123" s="5">
        <v>8.0</v>
      </c>
      <c r="M123" s="5" t="s">
        <v>66</v>
      </c>
      <c r="N123" s="5" t="str">
        <f>IFERROR(__xludf.DUMMYFUNCTION("PROPER(GOOGLETRANSLATE(M123, ""auto"", ""en""))"),"Taiwan Coffee Laboratory")</f>
        <v>Taiwan Coffee Laboratory</v>
      </c>
      <c r="O123" s="5" t="s">
        <v>47</v>
      </c>
      <c r="P123" s="5" t="str">
        <f t="shared" si="3"/>
        <v>2021</v>
      </c>
      <c r="Q123" s="5" t="s">
        <v>243</v>
      </c>
      <c r="R123" s="6" t="str">
        <f>IFERROR(__xludf.DUMMYFUNCTION("TEXT(DATEVALUE(REGEXREPLACE(Q123,""(\d+)(st|nd|rd|th)"",""$1"")),""yyyy-mm-dd"")"),"2023-01-06")</f>
        <v>2023-01-06</v>
      </c>
      <c r="S123" s="7" t="s">
        <v>216</v>
      </c>
      <c r="T123" s="5" t="s">
        <v>50</v>
      </c>
      <c r="U123" s="5" t="s">
        <v>180</v>
      </c>
      <c r="V123" s="4" t="s">
        <v>250</v>
      </c>
      <c r="W123" s="4" t="s">
        <v>167</v>
      </c>
      <c r="X123" s="4" t="s">
        <v>439</v>
      </c>
      <c r="Y123" s="4" t="s">
        <v>154</v>
      </c>
      <c r="Z123" s="4" t="s">
        <v>439</v>
      </c>
      <c r="AA123" s="4" t="s">
        <v>250</v>
      </c>
      <c r="AB123" s="4" t="s">
        <v>56</v>
      </c>
      <c r="AC123" s="4" t="s">
        <v>56</v>
      </c>
      <c r="AD123" s="4" t="s">
        <v>56</v>
      </c>
      <c r="AE123" s="4" t="s">
        <v>154</v>
      </c>
      <c r="AF123" s="4" t="s">
        <v>40</v>
      </c>
      <c r="AG123" s="4" t="s">
        <v>703</v>
      </c>
      <c r="AH123" s="4" t="s">
        <v>378</v>
      </c>
      <c r="AI123" s="4" t="s">
        <v>40</v>
      </c>
      <c r="AJ123" s="4" t="s">
        <v>40</v>
      </c>
      <c r="AK123" s="5" t="s">
        <v>59</v>
      </c>
      <c r="AL123" s="4" t="s">
        <v>40</v>
      </c>
      <c r="AM123" s="5" t="s">
        <v>245</v>
      </c>
      <c r="AN123" s="6" t="str">
        <f>IFERROR(__xludf.DUMMYFUNCTION("TEXT(DATEVALUE(REGEXREPLACE(AM123,""(\d+)(st|nd|rd|th)"",""$1"")),""yyyy-mm-dd"")"),"2024-01-06")</f>
        <v>2024-01-06</v>
      </c>
    </row>
    <row r="124">
      <c r="A124" s="4" t="s">
        <v>707</v>
      </c>
      <c r="B124" s="5" t="s">
        <v>108</v>
      </c>
      <c r="C124" s="4" t="s">
        <v>45</v>
      </c>
      <c r="D124" s="6" t="str">
        <f>IFERROR(__xludf.DUMMYFUNCTION("GOOGLETRANSLATE(C124,""auto"",""en"")"),"1")</f>
        <v>1</v>
      </c>
      <c r="E124" s="5" t="s">
        <v>708</v>
      </c>
      <c r="F124" s="5">
        <f>IFERROR(__xludf.DUMMYFUNCTION("SPLIT(E124,""-"")
"),1280.0)</f>
        <v>1280</v>
      </c>
      <c r="G124" s="5">
        <f>IFERROR(__xludf.DUMMYFUNCTION("""COMPUTED_VALUE"""),1325.0)</f>
        <v>1325</v>
      </c>
      <c r="H124" s="5">
        <f t="shared" si="4"/>
        <v>1302.5</v>
      </c>
      <c r="I124" s="5" t="s">
        <v>709</v>
      </c>
      <c r="J124" s="5" t="str">
        <f t="shared" si="2"/>
        <v>New Oriente &amp; Huehuetenango</v>
      </c>
      <c r="K124" s="4" t="s">
        <v>134</v>
      </c>
      <c r="L124" s="5">
        <v>60.0</v>
      </c>
      <c r="M124" s="5" t="s">
        <v>66</v>
      </c>
      <c r="N124" s="5" t="str">
        <f>IFERROR(__xludf.DUMMYFUNCTION("PROPER(GOOGLETRANSLATE(M124, ""auto"", ""en""))"),"Taiwan Coffee Laboratory")</f>
        <v>Taiwan Coffee Laboratory</v>
      </c>
      <c r="O124" s="4" t="s">
        <v>153</v>
      </c>
      <c r="P124" s="5" t="str">
        <f t="shared" si="3"/>
        <v>2021</v>
      </c>
      <c r="Q124" s="5" t="s">
        <v>322</v>
      </c>
      <c r="R124" s="6" t="str">
        <f>IFERROR(__xludf.DUMMYFUNCTION("TEXT(DATEVALUE(REGEXREPLACE(Q124,""(\d+)(st|nd|rd|th)"",""$1"")),""yyyy-mm-dd"")"),"2022-12-30")</f>
        <v>2022-12-30</v>
      </c>
      <c r="S124" s="7" t="s">
        <v>710</v>
      </c>
      <c r="T124" s="5" t="s">
        <v>50</v>
      </c>
      <c r="U124" s="5" t="s">
        <v>69</v>
      </c>
      <c r="V124" s="4" t="s">
        <v>439</v>
      </c>
      <c r="W124" s="4" t="s">
        <v>154</v>
      </c>
      <c r="X124" s="4" t="s">
        <v>250</v>
      </c>
      <c r="Y124" s="4" t="s">
        <v>154</v>
      </c>
      <c r="Z124" s="4" t="s">
        <v>167</v>
      </c>
      <c r="AA124" s="4" t="s">
        <v>250</v>
      </c>
      <c r="AB124" s="4" t="s">
        <v>56</v>
      </c>
      <c r="AC124" s="4" t="s">
        <v>56</v>
      </c>
      <c r="AD124" s="4" t="s">
        <v>56</v>
      </c>
      <c r="AE124" s="4" t="s">
        <v>439</v>
      </c>
      <c r="AF124" s="4" t="s">
        <v>40</v>
      </c>
      <c r="AG124" s="4" t="s">
        <v>703</v>
      </c>
      <c r="AH124" s="4" t="s">
        <v>266</v>
      </c>
      <c r="AI124" s="4" t="s">
        <v>40</v>
      </c>
      <c r="AJ124" s="4" t="s">
        <v>40</v>
      </c>
      <c r="AK124" s="5" t="s">
        <v>59</v>
      </c>
      <c r="AL124" s="4" t="s">
        <v>40</v>
      </c>
      <c r="AM124" s="5" t="s">
        <v>323</v>
      </c>
      <c r="AN124" s="6" t="str">
        <f>IFERROR(__xludf.DUMMYFUNCTION("TEXT(DATEVALUE(REGEXREPLACE(AM124,""(\d+)(st|nd|rd|th)"",""$1"")),""yyyy-mm-dd"")"),"2023-12-30")</f>
        <v>2023-12-30</v>
      </c>
    </row>
    <row r="125">
      <c r="A125" s="4" t="s">
        <v>711</v>
      </c>
      <c r="B125" s="5" t="s">
        <v>62</v>
      </c>
      <c r="C125" s="5" t="s">
        <v>712</v>
      </c>
      <c r="D125" s="6" t="str">
        <f>IFERROR(__xludf.DUMMYFUNCTION("GOOGLETRANSLATE(C125,""auto"",""en"")"),"A21-Northern Taiwan Specialty Coffee Evaluation")</f>
        <v>A21-Northern Taiwan Specialty Coffee Evaluation</v>
      </c>
      <c r="E125" s="4" t="s">
        <v>305</v>
      </c>
      <c r="F125" s="5">
        <f>IFERROR(__xludf.DUMMYFUNCTION("SPLIT(E125,""-"")
"),300.0)</f>
        <v>300</v>
      </c>
      <c r="G125" s="5"/>
      <c r="H125" s="5">
        <f t="shared" si="4"/>
        <v>300</v>
      </c>
      <c r="I125" s="5" t="s">
        <v>713</v>
      </c>
      <c r="J125" s="5" t="str">
        <f t="shared" si="2"/>
        <v>桃園市</v>
      </c>
      <c r="K125" s="4" t="s">
        <v>45</v>
      </c>
      <c r="L125" s="5">
        <v>80.0</v>
      </c>
      <c r="M125" s="5" t="s">
        <v>66</v>
      </c>
      <c r="N125" s="5" t="str">
        <f>IFERROR(__xludf.DUMMYFUNCTION("PROPER(GOOGLETRANSLATE(M125, ""auto"", ""en""))"),"Taiwan Coffee Laboratory")</f>
        <v>Taiwan Coffee Laboratory</v>
      </c>
      <c r="O125" s="5" t="s">
        <v>47</v>
      </c>
      <c r="P125" s="5" t="str">
        <f t="shared" si="3"/>
        <v>2021</v>
      </c>
      <c r="Q125" s="5" t="s">
        <v>243</v>
      </c>
      <c r="R125" s="6" t="str">
        <f>IFERROR(__xludf.DUMMYFUNCTION("TEXT(DATEVALUE(REGEXREPLACE(Q125,""(\d+)(st|nd|rd|th)"",""$1"")),""yyyy-mm-dd"")"),"2023-01-06")</f>
        <v>2023-01-06</v>
      </c>
      <c r="S125" s="7" t="s">
        <v>216</v>
      </c>
      <c r="T125" s="5" t="s">
        <v>50</v>
      </c>
      <c r="U125" s="5" t="s">
        <v>69</v>
      </c>
      <c r="V125" s="4" t="s">
        <v>250</v>
      </c>
      <c r="W125" s="4" t="s">
        <v>167</v>
      </c>
      <c r="X125" s="4" t="s">
        <v>250</v>
      </c>
      <c r="Y125" s="4" t="s">
        <v>154</v>
      </c>
      <c r="Z125" s="4" t="s">
        <v>611</v>
      </c>
      <c r="AA125" s="4" t="s">
        <v>250</v>
      </c>
      <c r="AB125" s="4" t="s">
        <v>56</v>
      </c>
      <c r="AC125" s="4" t="s">
        <v>56</v>
      </c>
      <c r="AD125" s="4" t="s">
        <v>56</v>
      </c>
      <c r="AE125" s="4" t="s">
        <v>154</v>
      </c>
      <c r="AF125" s="4" t="s">
        <v>40</v>
      </c>
      <c r="AG125" s="4" t="s">
        <v>703</v>
      </c>
      <c r="AH125" s="4" t="s">
        <v>445</v>
      </c>
      <c r="AI125" s="4" t="s">
        <v>40</v>
      </c>
      <c r="AJ125" s="4" t="s">
        <v>40</v>
      </c>
      <c r="AK125" s="5" t="s">
        <v>59</v>
      </c>
      <c r="AL125" s="4" t="s">
        <v>45</v>
      </c>
      <c r="AM125" s="5" t="s">
        <v>245</v>
      </c>
      <c r="AN125" s="6" t="str">
        <f>IFERROR(__xludf.DUMMYFUNCTION("TEXT(DATEVALUE(REGEXREPLACE(AM125,""(\d+)(st|nd|rd|th)"",""$1"")),""yyyy-mm-dd"")"),"2024-01-06")</f>
        <v>2024-01-06</v>
      </c>
    </row>
    <row r="126">
      <c r="A126" s="4" t="s">
        <v>714</v>
      </c>
      <c r="B126" s="5" t="s">
        <v>41</v>
      </c>
      <c r="C126" s="4" t="s">
        <v>45</v>
      </c>
      <c r="D126" s="6" t="str">
        <f>IFERROR(__xludf.DUMMYFUNCTION("GOOGLETRANSLATE(C126,""auto"",""en"")"),"1")</f>
        <v>1</v>
      </c>
      <c r="E126" s="4" t="s">
        <v>179</v>
      </c>
      <c r="F126" s="5">
        <f>IFERROR(__xludf.DUMMYFUNCTION("SPLIT(E126,""-"")
"),1100.0)</f>
        <v>1100</v>
      </c>
      <c r="G126" s="5"/>
      <c r="H126" s="5">
        <f t="shared" si="4"/>
        <v>1100</v>
      </c>
      <c r="I126" s="5" t="s">
        <v>512</v>
      </c>
      <c r="J126" s="5" t="str">
        <f t="shared" si="2"/>
        <v>Sierra Nevada De Santa Marta</v>
      </c>
      <c r="K126" s="4" t="s">
        <v>76</v>
      </c>
      <c r="L126" s="5">
        <v>1.0</v>
      </c>
      <c r="M126" s="5" t="s">
        <v>223</v>
      </c>
      <c r="N126" s="5" t="str">
        <f>IFERROR(__xludf.DUMMYFUNCTION("PROPER(GOOGLETRANSLATE(M126, ""auto"", ""en""))"),"Fabb Academy Of Coffee")</f>
        <v>Fabb Academy Of Coffee</v>
      </c>
      <c r="O126" s="5" t="s">
        <v>47</v>
      </c>
      <c r="P126" s="5" t="str">
        <f t="shared" si="3"/>
        <v>2021</v>
      </c>
      <c r="Q126" s="5" t="s">
        <v>287</v>
      </c>
      <c r="R126" s="6" t="str">
        <f>IFERROR(__xludf.DUMMYFUNCTION("TEXT(DATEVALUE(REGEXREPLACE(Q126,""(\d+)(st|nd|rd|th)"",""$1"")),""yyyy-mm-dd"")"),"2022-09-30")</f>
        <v>2022-09-30</v>
      </c>
      <c r="S126" s="7" t="s">
        <v>175</v>
      </c>
      <c r="T126" s="5" t="s">
        <v>50</v>
      </c>
      <c r="U126" s="5" t="s">
        <v>69</v>
      </c>
      <c r="V126" s="4" t="s">
        <v>167</v>
      </c>
      <c r="W126" s="4" t="s">
        <v>167</v>
      </c>
      <c r="X126" s="4" t="s">
        <v>611</v>
      </c>
      <c r="Y126" s="4" t="s">
        <v>154</v>
      </c>
      <c r="Z126" s="4" t="s">
        <v>439</v>
      </c>
      <c r="AA126" s="4" t="s">
        <v>154</v>
      </c>
      <c r="AB126" s="4" t="s">
        <v>56</v>
      </c>
      <c r="AC126" s="4" t="s">
        <v>56</v>
      </c>
      <c r="AD126" s="4" t="s">
        <v>56</v>
      </c>
      <c r="AE126" s="4" t="s">
        <v>250</v>
      </c>
      <c r="AF126" s="4" t="s">
        <v>40</v>
      </c>
      <c r="AG126" s="4" t="s">
        <v>703</v>
      </c>
      <c r="AH126" s="4" t="s">
        <v>715</v>
      </c>
      <c r="AI126" s="4" t="s">
        <v>40</v>
      </c>
      <c r="AJ126" s="4" t="s">
        <v>40</v>
      </c>
      <c r="AK126" s="5" t="s">
        <v>59</v>
      </c>
      <c r="AL126" s="4" t="s">
        <v>40</v>
      </c>
      <c r="AM126" s="5" t="s">
        <v>289</v>
      </c>
      <c r="AN126" s="6" t="str">
        <f>IFERROR(__xludf.DUMMYFUNCTION("TEXT(DATEVALUE(REGEXREPLACE(AM126,""(\d+)(st|nd|rd|th)"",""$1"")),""yyyy-mm-dd"")"),"2023-09-30")</f>
        <v>2023-09-30</v>
      </c>
    </row>
    <row r="127">
      <c r="A127" s="4" t="s">
        <v>716</v>
      </c>
      <c r="B127" s="5" t="s">
        <v>90</v>
      </c>
      <c r="C127" s="4" t="s">
        <v>717</v>
      </c>
      <c r="D127" s="6" t="str">
        <f>IFERROR(__xludf.DUMMYFUNCTION("GOOGLETRANSLATE(C127,""auto"",""en"")"),"12074")</f>
        <v>12074</v>
      </c>
      <c r="E127" s="4" t="s">
        <v>172</v>
      </c>
      <c r="F127" s="5">
        <f>IFERROR(__xludf.DUMMYFUNCTION("SPLIT(E127,""-"")
"),1850.0)</f>
        <v>1850</v>
      </c>
      <c r="G127" s="5"/>
      <c r="H127" s="5">
        <f t="shared" si="4"/>
        <v>1850</v>
      </c>
      <c r="I127" s="5" t="s">
        <v>436</v>
      </c>
      <c r="J127" s="5" t="str">
        <f t="shared" si="2"/>
        <v>Tarrazu</v>
      </c>
      <c r="K127" s="4" t="s">
        <v>134</v>
      </c>
      <c r="L127" s="5">
        <v>69.0</v>
      </c>
      <c r="M127" s="5" t="s">
        <v>416</v>
      </c>
      <c r="N127" s="5" t="str">
        <f>IFERROR(__xludf.DUMMYFUNCTION("PROPER(GOOGLETRANSLATE(M127, ""auto"", ""en""))"),"Specialty Coffee Association Of Costa Rica")</f>
        <v>Specialty Coffee Association Of Costa Rica</v>
      </c>
      <c r="O127" s="5" t="s">
        <v>136</v>
      </c>
      <c r="P127" s="5" t="str">
        <f t="shared" si="3"/>
        <v>2022</v>
      </c>
      <c r="Q127" s="5" t="s">
        <v>438</v>
      </c>
      <c r="R127" s="6" t="str">
        <f>IFERROR(__xludf.DUMMYFUNCTION("TEXT(DATEVALUE(REGEXREPLACE(Q127,""(\d+)(st|nd|rd|th)"",""$1"")),""yyyy-mm-dd"")"),"2023-04-19")</f>
        <v>2023-04-19</v>
      </c>
      <c r="S127" s="7" t="s">
        <v>175</v>
      </c>
      <c r="T127" s="5" t="s">
        <v>50</v>
      </c>
      <c r="U127" s="5" t="s">
        <v>69</v>
      </c>
      <c r="V127" s="4" t="s">
        <v>250</v>
      </c>
      <c r="W127" s="4" t="s">
        <v>154</v>
      </c>
      <c r="X127" s="4" t="s">
        <v>611</v>
      </c>
      <c r="Y127" s="4" t="s">
        <v>167</v>
      </c>
      <c r="Z127" s="4" t="s">
        <v>439</v>
      </c>
      <c r="AA127" s="4" t="s">
        <v>154</v>
      </c>
      <c r="AB127" s="4" t="s">
        <v>56</v>
      </c>
      <c r="AC127" s="4" t="s">
        <v>56</v>
      </c>
      <c r="AD127" s="4" t="s">
        <v>56</v>
      </c>
      <c r="AE127" s="4" t="s">
        <v>167</v>
      </c>
      <c r="AF127" s="4" t="s">
        <v>40</v>
      </c>
      <c r="AG127" s="4" t="s">
        <v>703</v>
      </c>
      <c r="AH127" s="4" t="s">
        <v>40</v>
      </c>
      <c r="AI127" s="4" t="s">
        <v>40</v>
      </c>
      <c r="AJ127" s="4" t="s">
        <v>40</v>
      </c>
      <c r="AK127" s="5" t="s">
        <v>59</v>
      </c>
      <c r="AL127" s="4" t="s">
        <v>60</v>
      </c>
      <c r="AM127" s="5" t="s">
        <v>440</v>
      </c>
      <c r="AN127" s="6" t="str">
        <f>IFERROR(__xludf.DUMMYFUNCTION("TEXT(DATEVALUE(REGEXREPLACE(AM127,""(\d+)(st|nd|rd|th)"",""$1"")),""yyyy-mm-dd"")"),"2024-04-18")</f>
        <v>2024-04-18</v>
      </c>
    </row>
    <row r="128">
      <c r="A128" s="4" t="s">
        <v>718</v>
      </c>
      <c r="B128" s="5" t="s">
        <v>62</v>
      </c>
      <c r="C128" s="5" t="s">
        <v>719</v>
      </c>
      <c r="D128" s="6" t="str">
        <f>IFERROR(__xludf.DUMMYFUNCTION("GOOGLETRANSLATE(C128,""auto"",""en"")"),"The 2022 Pacific Rim Coffee Summit,T019")</f>
        <v>The 2022 Pacific Rim Coffee Summit,T019</v>
      </c>
      <c r="E128" s="4" t="s">
        <v>720</v>
      </c>
      <c r="F128" s="5">
        <f>IFERROR(__xludf.DUMMYFUNCTION("SPLIT(E128,""-"")
"),750.0)</f>
        <v>750</v>
      </c>
      <c r="G128" s="5"/>
      <c r="H128" s="5">
        <f t="shared" si="4"/>
        <v>750</v>
      </c>
      <c r="I128" s="5" t="s">
        <v>159</v>
      </c>
      <c r="J128" s="5" t="str">
        <f t="shared" si="2"/>
        <v>Yunlin</v>
      </c>
      <c r="K128" s="4" t="s">
        <v>45</v>
      </c>
      <c r="L128" s="5">
        <v>100.0</v>
      </c>
      <c r="M128" s="5" t="s">
        <v>66</v>
      </c>
      <c r="N128" s="5" t="str">
        <f>IFERROR(__xludf.DUMMYFUNCTION("PROPER(GOOGLETRANSLATE(M128, ""auto"", ""en""))"),"Taiwan Coffee Laboratory")</f>
        <v>Taiwan Coffee Laboratory</v>
      </c>
      <c r="O128" s="5" t="s">
        <v>47</v>
      </c>
      <c r="P128" s="5" t="str">
        <f t="shared" si="3"/>
        <v>2021</v>
      </c>
      <c r="Q128" s="5" t="s">
        <v>67</v>
      </c>
      <c r="R128" s="6" t="str">
        <f>IFERROR(__xludf.DUMMYFUNCTION("TEXT(DATEVALUE(REGEXREPLACE(Q128,""(\d+)(st|nd|rd|th)"",""$1"")),""yyyy-mm-dd"")"),"2022-11-15")</f>
        <v>2022-11-15</v>
      </c>
      <c r="S128" s="7" t="s">
        <v>126</v>
      </c>
      <c r="T128" s="5" t="s">
        <v>50</v>
      </c>
      <c r="U128" s="5" t="s">
        <v>69</v>
      </c>
      <c r="V128" s="4" t="s">
        <v>154</v>
      </c>
      <c r="W128" s="4" t="s">
        <v>112</v>
      </c>
      <c r="X128" s="4" t="s">
        <v>250</v>
      </c>
      <c r="Y128" s="4" t="s">
        <v>250</v>
      </c>
      <c r="Z128" s="4" t="s">
        <v>250</v>
      </c>
      <c r="AA128" s="4" t="s">
        <v>439</v>
      </c>
      <c r="AB128" s="4" t="s">
        <v>56</v>
      </c>
      <c r="AC128" s="4" t="s">
        <v>56</v>
      </c>
      <c r="AD128" s="4" t="s">
        <v>56</v>
      </c>
      <c r="AE128" s="4" t="s">
        <v>439</v>
      </c>
      <c r="AF128" s="4" t="s">
        <v>40</v>
      </c>
      <c r="AG128" s="4" t="s">
        <v>703</v>
      </c>
      <c r="AH128" s="4" t="s">
        <v>114</v>
      </c>
      <c r="AI128" s="4" t="s">
        <v>40</v>
      </c>
      <c r="AJ128" s="4" t="s">
        <v>40</v>
      </c>
      <c r="AK128" s="5" t="s">
        <v>74</v>
      </c>
      <c r="AL128" s="4" t="s">
        <v>45</v>
      </c>
      <c r="AM128" s="5" t="s">
        <v>75</v>
      </c>
      <c r="AN128" s="6" t="str">
        <f>IFERROR(__xludf.DUMMYFUNCTION("TEXT(DATEVALUE(REGEXREPLACE(AM128,""(\d+)(st|nd|rd|th)"",""$1"")),""yyyy-mm-dd"")"),"2023-11-15")</f>
        <v>2023-11-15</v>
      </c>
    </row>
    <row r="129">
      <c r="A129" s="4" t="s">
        <v>721</v>
      </c>
      <c r="B129" s="5" t="s">
        <v>220</v>
      </c>
      <c r="C129" s="5" t="s">
        <v>722</v>
      </c>
      <c r="D129" s="6" t="str">
        <f>IFERROR(__xludf.DUMMYFUNCTION("GOOGLETRANSLATE(C129,""auto"",""en"")"),"TYPICA 21/22 (Coffea Arabica)")</f>
        <v>TYPICA 21/22 (Coffea Arabica)</v>
      </c>
      <c r="E129" s="5" t="s">
        <v>723</v>
      </c>
      <c r="F129" s="5">
        <f>IFERROR(__xludf.DUMMYFUNCTION("SPLIT(E129,""-"")
"),1300.0)</f>
        <v>1300</v>
      </c>
      <c r="G129" s="5">
        <f>IFERROR(__xludf.DUMMYFUNCTION("""COMPUTED_VALUE"""),1500.0)</f>
        <v>1500</v>
      </c>
      <c r="H129" s="5">
        <f t="shared" si="4"/>
        <v>1400</v>
      </c>
      <c r="I129" s="5" t="s">
        <v>677</v>
      </c>
      <c r="J129" s="5" t="str">
        <f t="shared" si="2"/>
        <v>North Of Thailand</v>
      </c>
      <c r="K129" s="4" t="s">
        <v>76</v>
      </c>
      <c r="L129" s="5">
        <v>1.0</v>
      </c>
      <c r="M129" s="5" t="s">
        <v>223</v>
      </c>
      <c r="N129" s="5" t="str">
        <f>IFERROR(__xludf.DUMMYFUNCTION("PROPER(GOOGLETRANSLATE(M129, ""auto"", ""en""))"),"Fabb Academy Of Coffee")</f>
        <v>Fabb Academy Of Coffee</v>
      </c>
      <c r="O129" s="4" t="s">
        <v>94</v>
      </c>
      <c r="P129" s="5" t="str">
        <f t="shared" si="3"/>
        <v>2022</v>
      </c>
      <c r="Q129" s="5" t="s">
        <v>678</v>
      </c>
      <c r="R129" s="6" t="str">
        <f>IFERROR(__xludf.DUMMYFUNCTION("TEXT(DATEVALUE(REGEXREPLACE(Q129,""(\d+)(st|nd|rd|th)"",""$1"")),""yyyy-mm-dd"")"),"2022-07-14")</f>
        <v>2022-07-14</v>
      </c>
      <c r="S129" s="7" t="s">
        <v>216</v>
      </c>
      <c r="T129" s="5" t="s">
        <v>50</v>
      </c>
      <c r="U129" s="5" t="s">
        <v>69</v>
      </c>
      <c r="V129" s="4" t="s">
        <v>70</v>
      </c>
      <c r="W129" s="4" t="s">
        <v>70</v>
      </c>
      <c r="X129" s="4" t="s">
        <v>154</v>
      </c>
      <c r="Y129" s="4" t="s">
        <v>724</v>
      </c>
      <c r="Z129" s="4" t="s">
        <v>250</v>
      </c>
      <c r="AA129" s="4" t="s">
        <v>439</v>
      </c>
      <c r="AB129" s="4" t="s">
        <v>56</v>
      </c>
      <c r="AC129" s="4" t="s">
        <v>56</v>
      </c>
      <c r="AD129" s="4" t="s">
        <v>56</v>
      </c>
      <c r="AE129" s="4" t="s">
        <v>724</v>
      </c>
      <c r="AF129" s="4" t="s">
        <v>40</v>
      </c>
      <c r="AG129" s="4" t="s">
        <v>703</v>
      </c>
      <c r="AH129" s="4" t="s">
        <v>288</v>
      </c>
      <c r="AI129" s="4" t="s">
        <v>40</v>
      </c>
      <c r="AJ129" s="4" t="s">
        <v>40</v>
      </c>
      <c r="AK129" s="5" t="s">
        <v>105</v>
      </c>
      <c r="AL129" s="4" t="s">
        <v>183</v>
      </c>
      <c r="AM129" s="5" t="s">
        <v>680</v>
      </c>
      <c r="AN129" s="6" t="str">
        <f>IFERROR(__xludf.DUMMYFUNCTION("TEXT(DATEVALUE(REGEXREPLACE(AM129,""(\d+)(st|nd|rd|th)"",""$1"")),""yyyy-mm-dd"")"),"2023-07-14")</f>
        <v>2023-07-14</v>
      </c>
    </row>
    <row r="130">
      <c r="A130" s="4" t="s">
        <v>725</v>
      </c>
      <c r="B130" s="5" t="s">
        <v>130</v>
      </c>
      <c r="C130" s="5" t="s">
        <v>726</v>
      </c>
      <c r="D130" s="6" t="str">
        <f>IFERROR(__xludf.DUMMYFUNCTION("GOOGLETRANSLATE(C130,""auto"",""en"")"),"CN 4127220163/4189220459")</f>
        <v>CN 4127220163/4189220459</v>
      </c>
      <c r="E130" s="5" t="s">
        <v>132</v>
      </c>
      <c r="F130" s="5">
        <f>IFERROR(__xludf.DUMMYFUNCTION("SPLIT(E130,""-"")
"),1400.0)</f>
        <v>1400</v>
      </c>
      <c r="G130" s="5">
        <f>IFERROR(__xludf.DUMMYFUNCTION("""COMPUTED_VALUE"""),1700.0)</f>
        <v>1700</v>
      </c>
      <c r="H130" s="5">
        <f t="shared" si="4"/>
        <v>1550</v>
      </c>
      <c r="I130" s="5" t="s">
        <v>133</v>
      </c>
      <c r="J130" s="5" t="str">
        <f t="shared" si="2"/>
        <v>Kilimanjaro</v>
      </c>
      <c r="K130" s="4" t="s">
        <v>134</v>
      </c>
      <c r="L130" s="5">
        <v>60.0</v>
      </c>
      <c r="M130" s="5" t="s">
        <v>135</v>
      </c>
      <c r="N130" s="5" t="str">
        <f>IFERROR(__xludf.DUMMYFUNCTION("PROPER(GOOGLETRANSLATE(M130, ""auto"", ""en""))"),"Kenya Coffee Traders Association")</f>
        <v>Kenya Coffee Traders Association</v>
      </c>
      <c r="O130" s="5" t="s">
        <v>136</v>
      </c>
      <c r="P130" s="5" t="str">
        <f t="shared" si="3"/>
        <v>2022</v>
      </c>
      <c r="Q130" s="5" t="s">
        <v>557</v>
      </c>
      <c r="R130" s="6" t="str">
        <f>IFERROR(__xludf.DUMMYFUNCTION("TEXT(DATEVALUE(REGEXREPLACE(Q130,""(\d+)(st|nd|rd|th)"",""$1"")),""yyyy-mm-dd"")"),"2023-01-03")</f>
        <v>2023-01-03</v>
      </c>
      <c r="S130" s="7" t="s">
        <v>138</v>
      </c>
      <c r="T130" s="5" t="s">
        <v>50</v>
      </c>
      <c r="U130" s="5" t="s">
        <v>69</v>
      </c>
      <c r="V130" s="4" t="s">
        <v>70</v>
      </c>
      <c r="W130" s="4" t="s">
        <v>167</v>
      </c>
      <c r="X130" s="4" t="s">
        <v>611</v>
      </c>
      <c r="Y130" s="4" t="s">
        <v>439</v>
      </c>
      <c r="Z130" s="4" t="s">
        <v>167</v>
      </c>
      <c r="AA130" s="4" t="s">
        <v>250</v>
      </c>
      <c r="AB130" s="4" t="s">
        <v>56</v>
      </c>
      <c r="AC130" s="4" t="s">
        <v>56</v>
      </c>
      <c r="AD130" s="4" t="s">
        <v>56</v>
      </c>
      <c r="AE130" s="4" t="s">
        <v>439</v>
      </c>
      <c r="AF130" s="4" t="s">
        <v>40</v>
      </c>
      <c r="AG130" s="4" t="s">
        <v>727</v>
      </c>
      <c r="AH130" s="4" t="s">
        <v>88</v>
      </c>
      <c r="AI130" s="4" t="s">
        <v>40</v>
      </c>
      <c r="AJ130" s="4" t="s">
        <v>40</v>
      </c>
      <c r="AK130" s="5" t="s">
        <v>59</v>
      </c>
      <c r="AL130" s="4" t="s">
        <v>71</v>
      </c>
      <c r="AM130" s="5" t="s">
        <v>558</v>
      </c>
      <c r="AN130" s="6" t="str">
        <f>IFERROR(__xludf.DUMMYFUNCTION("TEXT(DATEVALUE(REGEXREPLACE(AM130,""(\d+)(st|nd|rd|th)"",""$1"")),""yyyy-mm-dd"")"),"2024-01-03")</f>
        <v>2024-01-03</v>
      </c>
    </row>
    <row r="131">
      <c r="A131" s="4" t="s">
        <v>728</v>
      </c>
      <c r="B131" s="5" t="s">
        <v>239</v>
      </c>
      <c r="C131" s="5" t="s">
        <v>729</v>
      </c>
      <c r="D131" s="6" t="str">
        <f>IFERROR(__xludf.DUMMYFUNCTION("GOOGLETRANSLATE(C131,""auto"",""en"")"),"004/22")</f>
        <v>004/22</v>
      </c>
      <c r="E131" s="4" t="s">
        <v>730</v>
      </c>
      <c r="F131" s="5">
        <f>IFERROR(__xludf.DUMMYFUNCTION("SPLIT(E131,""-"")
"),950.0)</f>
        <v>950</v>
      </c>
      <c r="G131" s="5"/>
      <c r="H131" s="5">
        <f t="shared" si="4"/>
        <v>950</v>
      </c>
      <c r="I131" s="5" t="s">
        <v>731</v>
      </c>
      <c r="J131" s="5" t="str">
        <f t="shared" si="2"/>
        <v>Sul De Minas</v>
      </c>
      <c r="K131" s="4" t="s">
        <v>732</v>
      </c>
      <c r="L131" s="5">
        <v>60.0</v>
      </c>
      <c r="M131" s="5" t="s">
        <v>242</v>
      </c>
      <c r="N131" s="5" t="str">
        <f>IFERROR(__xludf.DUMMYFUNCTION("PROPER(GOOGLETRANSLATE(M131, ""auto"", ""en""))"),"Brazil Specialty Coffee Association")</f>
        <v>Brazil Specialty Coffee Association</v>
      </c>
      <c r="O131" s="5" t="s">
        <v>136</v>
      </c>
      <c r="P131" s="5" t="str">
        <f t="shared" si="3"/>
        <v>2022</v>
      </c>
      <c r="Q131" s="5" t="s">
        <v>409</v>
      </c>
      <c r="R131" s="6" t="str">
        <f>IFERROR(__xludf.DUMMYFUNCTION("TEXT(DATEVALUE(REGEXREPLACE(Q131,""(\d+)(st|nd|rd|th)"",""$1"")),""yyyy-mm-dd"")"),"2023-02-13")</f>
        <v>2023-02-13</v>
      </c>
      <c r="S131" s="7" t="s">
        <v>733</v>
      </c>
      <c r="T131" s="5" t="s">
        <v>50</v>
      </c>
      <c r="U131" s="5" t="s">
        <v>123</v>
      </c>
      <c r="V131" s="4" t="s">
        <v>250</v>
      </c>
      <c r="W131" s="4" t="s">
        <v>439</v>
      </c>
      <c r="X131" s="4" t="s">
        <v>439</v>
      </c>
      <c r="Y131" s="4" t="s">
        <v>112</v>
      </c>
      <c r="Z131" s="4" t="s">
        <v>167</v>
      </c>
      <c r="AA131" s="4" t="s">
        <v>439</v>
      </c>
      <c r="AB131" s="4" t="s">
        <v>56</v>
      </c>
      <c r="AC131" s="4" t="s">
        <v>56</v>
      </c>
      <c r="AD131" s="4" t="s">
        <v>56</v>
      </c>
      <c r="AE131" s="4" t="s">
        <v>167</v>
      </c>
      <c r="AF131" s="4" t="s">
        <v>40</v>
      </c>
      <c r="AG131" s="4" t="s">
        <v>727</v>
      </c>
      <c r="AH131" s="4" t="s">
        <v>104</v>
      </c>
      <c r="AI131" s="4" t="s">
        <v>40</v>
      </c>
      <c r="AJ131" s="4" t="s">
        <v>40</v>
      </c>
      <c r="AK131" s="5" t="s">
        <v>59</v>
      </c>
      <c r="AL131" s="4" t="s">
        <v>96</v>
      </c>
      <c r="AM131" s="5" t="s">
        <v>411</v>
      </c>
      <c r="AN131" s="6" t="str">
        <f>IFERROR(__xludf.DUMMYFUNCTION("TEXT(DATEVALUE(REGEXREPLACE(AM131,""(\d+)(st|nd|rd|th)"",""$1"")),""yyyy-mm-dd"")"),"2024-02-13")</f>
        <v>2024-02-13</v>
      </c>
    </row>
    <row r="132">
      <c r="A132" s="4" t="s">
        <v>734</v>
      </c>
      <c r="B132" s="5" t="s">
        <v>62</v>
      </c>
      <c r="C132" s="5" t="s">
        <v>735</v>
      </c>
      <c r="D132" s="6" t="str">
        <f>IFERROR(__xludf.DUMMYFUNCTION("GOOGLETRANSLATE(C132,""auto"",""en"")"),"A41-Northern Taiwan Specialty Coffee Evaluation")</f>
        <v>A41-Northern Taiwan Specialty Coffee Evaluation</v>
      </c>
      <c r="E132" s="5" t="s">
        <v>736</v>
      </c>
      <c r="F132" s="5">
        <f>IFERROR(__xludf.DUMMYFUNCTION("SPLIT(E132,""-"")
"),1100.0)</f>
        <v>1100</v>
      </c>
      <c r="G132" s="5">
        <f>IFERROR(__xludf.DUMMYFUNCTION("""COMPUTED_VALUE"""),1200.0)</f>
        <v>1200</v>
      </c>
      <c r="H132" s="5">
        <f t="shared" si="4"/>
        <v>1150</v>
      </c>
      <c r="I132" s="5" t="s">
        <v>327</v>
      </c>
      <c r="J132" s="5" t="str">
        <f t="shared" si="2"/>
        <v>苗栗縣</v>
      </c>
      <c r="K132" s="4" t="s">
        <v>45</v>
      </c>
      <c r="L132" s="5">
        <v>320.0</v>
      </c>
      <c r="M132" s="5" t="s">
        <v>66</v>
      </c>
      <c r="N132" s="5" t="str">
        <f>IFERROR(__xludf.DUMMYFUNCTION("PROPER(GOOGLETRANSLATE(M132, ""auto"", ""en""))"),"Taiwan Coffee Laboratory")</f>
        <v>Taiwan Coffee Laboratory</v>
      </c>
      <c r="O132" s="5" t="s">
        <v>47</v>
      </c>
      <c r="P132" s="5" t="str">
        <f t="shared" si="3"/>
        <v>2021</v>
      </c>
      <c r="Q132" s="5" t="s">
        <v>243</v>
      </c>
      <c r="R132" s="6" t="str">
        <f>IFERROR(__xludf.DUMMYFUNCTION("TEXT(DATEVALUE(REGEXREPLACE(Q132,""(\d+)(st|nd|rd|th)"",""$1"")),""yyyy-mm-dd"")"),"2023-01-06")</f>
        <v>2023-01-06</v>
      </c>
      <c r="S132" s="7" t="s">
        <v>234</v>
      </c>
      <c r="T132" s="5" t="s">
        <v>50</v>
      </c>
      <c r="U132" s="5" t="s">
        <v>69</v>
      </c>
      <c r="V132" s="4" t="s">
        <v>154</v>
      </c>
      <c r="W132" s="4" t="s">
        <v>154</v>
      </c>
      <c r="X132" s="4" t="s">
        <v>250</v>
      </c>
      <c r="Y132" s="4" t="s">
        <v>167</v>
      </c>
      <c r="Z132" s="4" t="s">
        <v>611</v>
      </c>
      <c r="AA132" s="4" t="s">
        <v>439</v>
      </c>
      <c r="AB132" s="4" t="s">
        <v>56</v>
      </c>
      <c r="AC132" s="4" t="s">
        <v>56</v>
      </c>
      <c r="AD132" s="4" t="s">
        <v>56</v>
      </c>
      <c r="AE132" s="4" t="s">
        <v>250</v>
      </c>
      <c r="AF132" s="4" t="s">
        <v>40</v>
      </c>
      <c r="AG132" s="4" t="s">
        <v>727</v>
      </c>
      <c r="AH132" s="4" t="s">
        <v>445</v>
      </c>
      <c r="AI132" s="4" t="s">
        <v>40</v>
      </c>
      <c r="AJ132" s="4" t="s">
        <v>40</v>
      </c>
      <c r="AK132" s="5" t="s">
        <v>59</v>
      </c>
      <c r="AL132" s="4" t="s">
        <v>45</v>
      </c>
      <c r="AM132" s="5" t="s">
        <v>245</v>
      </c>
      <c r="AN132" s="6" t="str">
        <f>IFERROR(__xludf.DUMMYFUNCTION("TEXT(DATEVALUE(REGEXREPLACE(AM132,""(\d+)(st|nd|rd|th)"",""$1"")),""yyyy-mm-dd"")"),"2024-01-06")</f>
        <v>2024-01-06</v>
      </c>
    </row>
    <row r="133">
      <c r="A133" s="4" t="s">
        <v>737</v>
      </c>
      <c r="B133" s="5" t="s">
        <v>41</v>
      </c>
      <c r="C133" s="5" t="s">
        <v>738</v>
      </c>
      <c r="D133" s="6" t="str">
        <f>IFERROR(__xludf.DUMMYFUNCTION("GOOGLETRANSLATE(C133,""auto"",""en"")"),"CQU2023003")</f>
        <v>CQU2023003</v>
      </c>
      <c r="E133" s="4" t="s">
        <v>739</v>
      </c>
      <c r="F133" s="5">
        <f>IFERROR(__xludf.DUMMYFUNCTION("SPLIT(E133,""-"")
"),1390.0)</f>
        <v>1390</v>
      </c>
      <c r="G133" s="5"/>
      <c r="H133" s="5">
        <f t="shared" si="4"/>
        <v>1390</v>
      </c>
      <c r="I133" s="5" t="s">
        <v>232</v>
      </c>
      <c r="J133" s="5" t="str">
        <f t="shared" si="2"/>
        <v>Quindio</v>
      </c>
      <c r="K133" s="4" t="s">
        <v>76</v>
      </c>
      <c r="L133" s="5">
        <v>12.0</v>
      </c>
      <c r="M133" s="5" t="s">
        <v>46</v>
      </c>
      <c r="N133" s="5" t="str">
        <f>IFERROR(__xludf.DUMMYFUNCTION("PROPER(GOOGLETRANSLATE(M133, ""auto"", ""en""))"),"Japan Coffee Exchange")</f>
        <v>Japan Coffee Exchange</v>
      </c>
      <c r="O133" s="4" t="s">
        <v>94</v>
      </c>
      <c r="P133" s="5" t="str">
        <f t="shared" si="3"/>
        <v>2022</v>
      </c>
      <c r="Q133" s="5" t="s">
        <v>187</v>
      </c>
      <c r="R133" s="6" t="str">
        <f>IFERROR(__xludf.DUMMYFUNCTION("TEXT(DATEVALUE(REGEXREPLACE(Q133,""(\d+)(st|nd|rd|th)"",""$1"")),""yyyy-mm-dd"")"),"2023-04-07")</f>
        <v>2023-04-07</v>
      </c>
      <c r="S133" s="7" t="s">
        <v>740</v>
      </c>
      <c r="T133" s="5" t="s">
        <v>50</v>
      </c>
      <c r="U133" s="5" t="s">
        <v>741</v>
      </c>
      <c r="V133" s="4" t="s">
        <v>167</v>
      </c>
      <c r="W133" s="4" t="s">
        <v>167</v>
      </c>
      <c r="X133" s="4" t="s">
        <v>250</v>
      </c>
      <c r="Y133" s="4" t="s">
        <v>167</v>
      </c>
      <c r="Z133" s="4" t="s">
        <v>250</v>
      </c>
      <c r="AA133" s="4" t="s">
        <v>250</v>
      </c>
      <c r="AB133" s="4" t="s">
        <v>56</v>
      </c>
      <c r="AC133" s="4" t="s">
        <v>56</v>
      </c>
      <c r="AD133" s="4" t="s">
        <v>56</v>
      </c>
      <c r="AE133" s="4" t="s">
        <v>439</v>
      </c>
      <c r="AF133" s="4" t="s">
        <v>40</v>
      </c>
      <c r="AG133" s="4" t="s">
        <v>727</v>
      </c>
      <c r="AH133" s="4" t="s">
        <v>342</v>
      </c>
      <c r="AI133" s="4" t="s">
        <v>40</v>
      </c>
      <c r="AJ133" s="4" t="s">
        <v>40</v>
      </c>
      <c r="AK133" s="5" t="s">
        <v>156</v>
      </c>
      <c r="AL133" s="4" t="s">
        <v>76</v>
      </c>
      <c r="AM133" s="5" t="s">
        <v>190</v>
      </c>
      <c r="AN133" s="6" t="str">
        <f>IFERROR(__xludf.DUMMYFUNCTION("TEXT(DATEVALUE(REGEXREPLACE(AM133,""(\d+)(st|nd|rd|th)"",""$1"")),""yyyy-mm-dd"")"),"2024-04-06")</f>
        <v>2024-04-06</v>
      </c>
    </row>
    <row r="134">
      <c r="A134" s="4" t="s">
        <v>742</v>
      </c>
      <c r="B134" s="5" t="s">
        <v>472</v>
      </c>
      <c r="C134" s="5" t="s">
        <v>743</v>
      </c>
      <c r="D134" s="6" t="str">
        <f>IFERROR(__xludf.DUMMYFUNCTION("GOOGLETRANSLATE(C134,""auto"",""en"")"),"The 2022 Pacific Rim Coffee Summit,HN03")</f>
        <v>The 2022 Pacific Rim Coffee Summit,HN03</v>
      </c>
      <c r="E134" s="4" t="s">
        <v>348</v>
      </c>
      <c r="F134" s="5">
        <f>IFERROR(__xludf.DUMMYFUNCTION("SPLIT(E134,""-"")
"),1600.0)</f>
        <v>1600</v>
      </c>
      <c r="G134" s="5"/>
      <c r="H134" s="5">
        <f t="shared" si="4"/>
        <v>1600</v>
      </c>
      <c r="I134" s="5" t="s">
        <v>744</v>
      </c>
      <c r="J134" s="5" t="str">
        <f t="shared" si="2"/>
        <v>Marcala, La Paz</v>
      </c>
      <c r="K134" s="4" t="s">
        <v>129</v>
      </c>
      <c r="L134" s="5">
        <v>15.0</v>
      </c>
      <c r="M134" s="5" t="s">
        <v>66</v>
      </c>
      <c r="N134" s="5" t="str">
        <f>IFERROR(__xludf.DUMMYFUNCTION("PROPER(GOOGLETRANSLATE(M134, ""auto"", ""en""))"),"Taiwan Coffee Laboratory")</f>
        <v>Taiwan Coffee Laboratory</v>
      </c>
      <c r="O134" s="4" t="s">
        <v>153</v>
      </c>
      <c r="P134" s="5" t="str">
        <f t="shared" si="3"/>
        <v>2021</v>
      </c>
      <c r="Q134" s="5" t="s">
        <v>67</v>
      </c>
      <c r="R134" s="6" t="str">
        <f>IFERROR(__xludf.DUMMYFUNCTION("TEXT(DATEVALUE(REGEXREPLACE(Q134,""(\d+)(st|nd|rd|th)"",""$1"")),""yyyy-mm-dd"")"),"2022-11-15")</f>
        <v>2022-11-15</v>
      </c>
      <c r="S134" s="7" t="s">
        <v>745</v>
      </c>
      <c r="T134" s="5" t="s">
        <v>50</v>
      </c>
      <c r="U134" s="5" t="s">
        <v>69</v>
      </c>
      <c r="V134" s="4" t="s">
        <v>167</v>
      </c>
      <c r="W134" s="4" t="s">
        <v>154</v>
      </c>
      <c r="X134" s="4" t="s">
        <v>167</v>
      </c>
      <c r="Y134" s="4" t="s">
        <v>250</v>
      </c>
      <c r="Z134" s="4" t="s">
        <v>439</v>
      </c>
      <c r="AA134" s="4" t="s">
        <v>250</v>
      </c>
      <c r="AB134" s="4" t="s">
        <v>56</v>
      </c>
      <c r="AC134" s="4" t="s">
        <v>56</v>
      </c>
      <c r="AD134" s="4" t="s">
        <v>56</v>
      </c>
      <c r="AE134" s="4" t="s">
        <v>439</v>
      </c>
      <c r="AF134" s="4" t="s">
        <v>40</v>
      </c>
      <c r="AG134" s="4" t="s">
        <v>727</v>
      </c>
      <c r="AH134" s="4" t="s">
        <v>73</v>
      </c>
      <c r="AI134" s="4" t="s">
        <v>40</v>
      </c>
      <c r="AJ134" s="4" t="s">
        <v>40</v>
      </c>
      <c r="AK134" s="5" t="s">
        <v>74</v>
      </c>
      <c r="AL134" s="4" t="s">
        <v>60</v>
      </c>
      <c r="AM134" s="5" t="s">
        <v>75</v>
      </c>
      <c r="AN134" s="6" t="str">
        <f>IFERROR(__xludf.DUMMYFUNCTION("TEXT(DATEVALUE(REGEXREPLACE(AM134,""(\d+)(st|nd|rd|th)"",""$1"")),""yyyy-mm-dd"")"),"2023-11-15")</f>
        <v>2023-11-15</v>
      </c>
    </row>
    <row r="135">
      <c r="A135" s="4" t="s">
        <v>746</v>
      </c>
      <c r="B135" s="5" t="s">
        <v>472</v>
      </c>
      <c r="C135" s="5" t="s">
        <v>747</v>
      </c>
      <c r="D135" s="6" t="str">
        <f>IFERROR(__xludf.DUMMYFUNCTION("GOOGLETRANSLATE(C135,""auto"",""en"")"),"SECURITY-22-6011-2")</f>
        <v>SECURITY-22-6011-2</v>
      </c>
      <c r="E135" s="4" t="s">
        <v>403</v>
      </c>
      <c r="F135" s="5">
        <f>IFERROR(__xludf.DUMMYFUNCTION("SPLIT(E135,""-"")
"),1400.0)</f>
        <v>1400</v>
      </c>
      <c r="G135" s="5"/>
      <c r="H135" s="5">
        <f t="shared" si="4"/>
        <v>1400</v>
      </c>
      <c r="I135" s="5" t="s">
        <v>663</v>
      </c>
      <c r="J135" s="5" t="str">
        <f t="shared" si="2"/>
        <v>Marcala</v>
      </c>
      <c r="K135" s="4" t="s">
        <v>437</v>
      </c>
      <c r="L135" s="5">
        <v>69.0</v>
      </c>
      <c r="M135" s="5" t="s">
        <v>476</v>
      </c>
      <c r="N135" s="5" t="str">
        <f>IFERROR(__xludf.DUMMYFUNCTION("PROPER(GOOGLETRANSLATE(M135, ""auto"", ""en""))"),"Honduran Coffee Institute")</f>
        <v>Honduran Coffee Institute</v>
      </c>
      <c r="O135" s="5" t="s">
        <v>47</v>
      </c>
      <c r="P135" s="5" t="str">
        <f t="shared" si="3"/>
        <v>2021</v>
      </c>
      <c r="Q135" s="5" t="s">
        <v>664</v>
      </c>
      <c r="R135" s="6" t="str">
        <f>IFERROR(__xludf.DUMMYFUNCTION("TEXT(DATEVALUE(REGEXREPLACE(Q135,""(\d+)(st|nd|rd|th)"",""$1"")),""yyyy-mm-dd"")"),"2022-08-17")</f>
        <v>2022-08-17</v>
      </c>
      <c r="S135" s="7" t="s">
        <v>359</v>
      </c>
      <c r="T135" s="5" t="s">
        <v>50</v>
      </c>
      <c r="U135" s="5" t="s">
        <v>69</v>
      </c>
      <c r="V135" s="4" t="s">
        <v>154</v>
      </c>
      <c r="W135" s="4" t="s">
        <v>250</v>
      </c>
      <c r="X135" s="4" t="s">
        <v>250</v>
      </c>
      <c r="Y135" s="4" t="s">
        <v>250</v>
      </c>
      <c r="Z135" s="4" t="s">
        <v>439</v>
      </c>
      <c r="AA135" s="4" t="s">
        <v>250</v>
      </c>
      <c r="AB135" s="4" t="s">
        <v>56</v>
      </c>
      <c r="AC135" s="4" t="s">
        <v>56</v>
      </c>
      <c r="AD135" s="4" t="s">
        <v>56</v>
      </c>
      <c r="AE135" s="4" t="s">
        <v>167</v>
      </c>
      <c r="AF135" s="4" t="s">
        <v>40</v>
      </c>
      <c r="AG135" s="4" t="s">
        <v>727</v>
      </c>
      <c r="AH135" s="4" t="s">
        <v>189</v>
      </c>
      <c r="AI135" s="4" t="s">
        <v>40</v>
      </c>
      <c r="AJ135" s="4" t="s">
        <v>45</v>
      </c>
      <c r="AK135" s="5" t="s">
        <v>59</v>
      </c>
      <c r="AL135" s="4" t="s">
        <v>107</v>
      </c>
      <c r="AM135" s="5" t="s">
        <v>667</v>
      </c>
      <c r="AN135" s="6" t="str">
        <f>IFERROR(__xludf.DUMMYFUNCTION("TEXT(DATEVALUE(REGEXREPLACE(AM135,""(\d+)(st|nd|rd|th)"",""$1"")),""yyyy-mm-dd"")"),"2023-08-17")</f>
        <v>2023-08-17</v>
      </c>
    </row>
    <row r="136">
      <c r="A136" s="4" t="s">
        <v>748</v>
      </c>
      <c r="B136" s="5" t="s">
        <v>62</v>
      </c>
      <c r="C136" s="5" t="s">
        <v>749</v>
      </c>
      <c r="D136" s="6" t="str">
        <f>IFERROR(__xludf.DUMMYFUNCTION("GOOGLETRANSLATE(C136,""auto"",""en"")"),"A35-Northern Taiwan Specialty Coffee Evaluation")</f>
        <v>A35-Northern Taiwan Specialty Coffee Evaluation</v>
      </c>
      <c r="E136" s="5" t="s">
        <v>443</v>
      </c>
      <c r="F136" s="5">
        <f>IFERROR(__xludf.DUMMYFUNCTION("SPLIT(E136,""-"")
"),200.0)</f>
        <v>200</v>
      </c>
      <c r="G136" s="5">
        <f>IFERROR(__xludf.DUMMYFUNCTION("""COMPUTED_VALUE"""),300.0)</f>
        <v>300</v>
      </c>
      <c r="H136" s="5">
        <f t="shared" si="4"/>
        <v>250</v>
      </c>
      <c r="I136" s="5" t="s">
        <v>372</v>
      </c>
      <c r="J136" s="5" t="str">
        <f t="shared" si="2"/>
        <v>新竹縣</v>
      </c>
      <c r="K136" s="4" t="s">
        <v>45</v>
      </c>
      <c r="L136" s="5">
        <v>16.0</v>
      </c>
      <c r="M136" s="5" t="s">
        <v>66</v>
      </c>
      <c r="N136" s="5" t="str">
        <f>IFERROR(__xludf.DUMMYFUNCTION("PROPER(GOOGLETRANSLATE(M136, ""auto"", ""en""))"),"Taiwan Coffee Laboratory")</f>
        <v>Taiwan Coffee Laboratory</v>
      </c>
      <c r="O136" s="5" t="s">
        <v>47</v>
      </c>
      <c r="P136" s="5" t="str">
        <f t="shared" si="3"/>
        <v>2021</v>
      </c>
      <c r="Q136" s="5" t="s">
        <v>243</v>
      </c>
      <c r="R136" s="6" t="str">
        <f>IFERROR(__xludf.DUMMYFUNCTION("TEXT(DATEVALUE(REGEXREPLACE(Q136,""(\d+)(st|nd|rd|th)"",""$1"")),""yyyy-mm-dd"")"),"2023-01-06")</f>
        <v>2023-01-06</v>
      </c>
      <c r="S136" s="7" t="s">
        <v>216</v>
      </c>
      <c r="T136" s="5" t="s">
        <v>50</v>
      </c>
      <c r="U136" s="5" t="s">
        <v>123</v>
      </c>
      <c r="V136" s="4" t="s">
        <v>154</v>
      </c>
      <c r="W136" s="4" t="s">
        <v>154</v>
      </c>
      <c r="X136" s="4" t="s">
        <v>439</v>
      </c>
      <c r="Y136" s="4" t="s">
        <v>154</v>
      </c>
      <c r="Z136" s="4" t="s">
        <v>439</v>
      </c>
      <c r="AA136" s="4" t="s">
        <v>611</v>
      </c>
      <c r="AB136" s="4" t="s">
        <v>56</v>
      </c>
      <c r="AC136" s="4" t="s">
        <v>56</v>
      </c>
      <c r="AD136" s="4" t="s">
        <v>56</v>
      </c>
      <c r="AE136" s="4" t="s">
        <v>439</v>
      </c>
      <c r="AF136" s="4" t="s">
        <v>40</v>
      </c>
      <c r="AG136" s="4" t="s">
        <v>750</v>
      </c>
      <c r="AH136" s="4" t="s">
        <v>378</v>
      </c>
      <c r="AI136" s="4" t="s">
        <v>40</v>
      </c>
      <c r="AJ136" s="4" t="s">
        <v>40</v>
      </c>
      <c r="AK136" s="5" t="s">
        <v>59</v>
      </c>
      <c r="AL136" s="4" t="s">
        <v>76</v>
      </c>
      <c r="AM136" s="5" t="s">
        <v>245</v>
      </c>
      <c r="AN136" s="6" t="str">
        <f>IFERROR(__xludf.DUMMYFUNCTION("TEXT(DATEVALUE(REGEXREPLACE(AM136,""(\d+)(st|nd|rd|th)"",""$1"")),""yyyy-mm-dd"")"),"2024-01-06")</f>
        <v>2024-01-06</v>
      </c>
    </row>
    <row r="137">
      <c r="A137" s="4" t="s">
        <v>751</v>
      </c>
      <c r="B137" s="5" t="s">
        <v>62</v>
      </c>
      <c r="C137" s="5" t="s">
        <v>752</v>
      </c>
      <c r="D137" s="6" t="str">
        <f>IFERROR(__xludf.DUMMYFUNCTION("GOOGLETRANSLATE(C137,""auto"",""en"")"),"A20-Northern Taiwan Specialty Coffee Evaluation")</f>
        <v>A20-Northern Taiwan Specialty Coffee Evaluation</v>
      </c>
      <c r="E137" s="4" t="s">
        <v>475</v>
      </c>
      <c r="F137" s="5">
        <f>IFERROR(__xludf.DUMMYFUNCTION("SPLIT(E137,""-"")
"),340.0)</f>
        <v>340</v>
      </c>
      <c r="G137" s="5"/>
      <c r="H137" s="5">
        <f t="shared" si="4"/>
        <v>340</v>
      </c>
      <c r="I137" s="5" t="s">
        <v>327</v>
      </c>
      <c r="J137" s="5" t="str">
        <f t="shared" si="2"/>
        <v>苗栗縣</v>
      </c>
      <c r="K137" s="4" t="s">
        <v>45</v>
      </c>
      <c r="L137" s="5">
        <v>100.0</v>
      </c>
      <c r="M137" s="5" t="s">
        <v>66</v>
      </c>
      <c r="N137" s="5" t="str">
        <f>IFERROR(__xludf.DUMMYFUNCTION("PROPER(GOOGLETRANSLATE(M137, ""auto"", ""en""))"),"Taiwan Coffee Laboratory")</f>
        <v>Taiwan Coffee Laboratory</v>
      </c>
      <c r="O137" s="5" t="s">
        <v>47</v>
      </c>
      <c r="P137" s="5" t="str">
        <f t="shared" si="3"/>
        <v>2021</v>
      </c>
      <c r="Q137" s="5" t="s">
        <v>243</v>
      </c>
      <c r="R137" s="6" t="str">
        <f>IFERROR(__xludf.DUMMYFUNCTION("TEXT(DATEVALUE(REGEXREPLACE(Q137,""(\d+)(st|nd|rd|th)"",""$1"")),""yyyy-mm-dd"")"),"2023-01-06")</f>
        <v>2023-01-06</v>
      </c>
      <c r="S137" s="7" t="s">
        <v>234</v>
      </c>
      <c r="T137" s="5" t="s">
        <v>50</v>
      </c>
      <c r="U137" s="5" t="s">
        <v>69</v>
      </c>
      <c r="V137" s="4" t="s">
        <v>167</v>
      </c>
      <c r="W137" s="4" t="s">
        <v>167</v>
      </c>
      <c r="X137" s="4" t="s">
        <v>439</v>
      </c>
      <c r="Y137" s="4" t="s">
        <v>250</v>
      </c>
      <c r="Z137" s="4" t="s">
        <v>250</v>
      </c>
      <c r="AA137" s="4" t="s">
        <v>439</v>
      </c>
      <c r="AB137" s="4" t="s">
        <v>56</v>
      </c>
      <c r="AC137" s="4" t="s">
        <v>56</v>
      </c>
      <c r="AD137" s="4" t="s">
        <v>56</v>
      </c>
      <c r="AE137" s="4" t="s">
        <v>167</v>
      </c>
      <c r="AF137" s="4" t="s">
        <v>40</v>
      </c>
      <c r="AG137" s="4" t="s">
        <v>750</v>
      </c>
      <c r="AH137" s="4" t="s">
        <v>58</v>
      </c>
      <c r="AI137" s="4" t="s">
        <v>40</v>
      </c>
      <c r="AJ137" s="4" t="s">
        <v>40</v>
      </c>
      <c r="AK137" s="5" t="s">
        <v>74</v>
      </c>
      <c r="AL137" s="4" t="s">
        <v>40</v>
      </c>
      <c r="AM137" s="5" t="s">
        <v>245</v>
      </c>
      <c r="AN137" s="6" t="str">
        <f>IFERROR(__xludf.DUMMYFUNCTION("TEXT(DATEVALUE(REGEXREPLACE(AM137,""(\d+)(st|nd|rd|th)"",""$1"")),""yyyy-mm-dd"")"),"2024-01-06")</f>
        <v>2024-01-06</v>
      </c>
    </row>
    <row r="138">
      <c r="A138" s="4" t="s">
        <v>753</v>
      </c>
      <c r="B138" s="5" t="s">
        <v>77</v>
      </c>
      <c r="C138" s="5" t="s">
        <v>754</v>
      </c>
      <c r="D138" s="6" t="str">
        <f>IFERROR(__xludf.DUMMYFUNCTION("GOOGLETRANSLATE(C138,""auto"",""en"")"),"DCN03.11.2022")</f>
        <v>DCN03.11.2022</v>
      </c>
      <c r="E138" s="5" t="s">
        <v>755</v>
      </c>
      <c r="F138" s="5">
        <f>IFERROR(__xludf.DUMMYFUNCTION("SPLIT(E138,""-"")
"),1200.0)</f>
        <v>1200</v>
      </c>
      <c r="G138" s="5">
        <f>IFERROR(__xludf.DUMMYFUNCTION("""COMPUTED_VALUE"""),1300.0)</f>
        <v>1300</v>
      </c>
      <c r="H138" s="5">
        <f t="shared" si="4"/>
        <v>1250</v>
      </c>
      <c r="I138" s="5" t="s">
        <v>756</v>
      </c>
      <c r="J138" s="5" t="str">
        <f t="shared" si="2"/>
        <v>Nongluang Bolaven Plateau, Champasack, Lao Pdr</v>
      </c>
      <c r="K138" s="4" t="s">
        <v>246</v>
      </c>
      <c r="L138" s="5">
        <v>60.0</v>
      </c>
      <c r="M138" s="5" t="s">
        <v>757</v>
      </c>
      <c r="N138" s="5" t="str">
        <f>IFERROR(__xludf.DUMMYFUNCTION("PROPER(GOOGLETRANSLATE(M138, ""auto"", ""en""))"),"Specialty Coffee Association Of Indonesia")</f>
        <v>Specialty Coffee Association Of Indonesia</v>
      </c>
      <c r="O138" s="4" t="s">
        <v>94</v>
      </c>
      <c r="P138" s="5" t="str">
        <f t="shared" si="3"/>
        <v>2022</v>
      </c>
      <c r="Q138" s="5" t="s">
        <v>322</v>
      </c>
      <c r="R138" s="6" t="str">
        <f>IFERROR(__xludf.DUMMYFUNCTION("TEXT(DATEVALUE(REGEXREPLACE(Q138,""(\d+)(st|nd|rd|th)"",""$1"")),""yyyy-mm-dd"")"),"2022-12-30")</f>
        <v>2022-12-30</v>
      </c>
      <c r="S138" s="7" t="s">
        <v>225</v>
      </c>
      <c r="T138" s="5" t="s">
        <v>50</v>
      </c>
      <c r="U138" s="5" t="s">
        <v>123</v>
      </c>
      <c r="V138" s="4" t="s">
        <v>167</v>
      </c>
      <c r="W138" s="4" t="s">
        <v>154</v>
      </c>
      <c r="X138" s="4" t="s">
        <v>724</v>
      </c>
      <c r="Y138" s="4" t="s">
        <v>167</v>
      </c>
      <c r="Z138" s="4" t="s">
        <v>250</v>
      </c>
      <c r="AA138" s="4" t="s">
        <v>439</v>
      </c>
      <c r="AB138" s="4" t="s">
        <v>56</v>
      </c>
      <c r="AC138" s="4" t="s">
        <v>56</v>
      </c>
      <c r="AD138" s="4" t="s">
        <v>56</v>
      </c>
      <c r="AE138" s="4" t="s">
        <v>250</v>
      </c>
      <c r="AF138" s="4" t="s">
        <v>40</v>
      </c>
      <c r="AG138" s="4" t="s">
        <v>758</v>
      </c>
      <c r="AH138" s="4" t="s">
        <v>58</v>
      </c>
      <c r="AI138" s="4" t="s">
        <v>40</v>
      </c>
      <c r="AJ138" s="4" t="s">
        <v>40</v>
      </c>
      <c r="AK138" s="5" t="s">
        <v>156</v>
      </c>
      <c r="AL138" s="4" t="s">
        <v>120</v>
      </c>
      <c r="AM138" s="5" t="s">
        <v>323</v>
      </c>
      <c r="AN138" s="6" t="str">
        <f>IFERROR(__xludf.DUMMYFUNCTION("TEXT(DATEVALUE(REGEXREPLACE(AM138,""(\d+)(st|nd|rd|th)"",""$1"")),""yyyy-mm-dd"")"),"2023-12-30")</f>
        <v>2023-12-30</v>
      </c>
    </row>
    <row r="139">
      <c r="A139" s="4" t="s">
        <v>759</v>
      </c>
      <c r="B139" s="5" t="s">
        <v>472</v>
      </c>
      <c r="C139" s="4" t="s">
        <v>760</v>
      </c>
      <c r="D139" s="6" t="str">
        <f>IFERROR(__xludf.DUMMYFUNCTION("GOOGLETRANSLATE(C139,""auto"",""en"")"),"187")</f>
        <v>187</v>
      </c>
      <c r="E139" s="4" t="s">
        <v>473</v>
      </c>
      <c r="F139" s="5">
        <f>IFERROR(__xludf.DUMMYFUNCTION("SPLIT(E139,""-"")
"),1368.0)</f>
        <v>1368</v>
      </c>
      <c r="G139" s="5"/>
      <c r="H139" s="5">
        <f t="shared" si="4"/>
        <v>1368</v>
      </c>
      <c r="I139" s="5" t="s">
        <v>761</v>
      </c>
      <c r="J139" s="5" t="str">
        <f t="shared" si="2"/>
        <v>Centro, Lagunetillas - Ajuterique, Comayagua</v>
      </c>
      <c r="K139" s="4" t="s">
        <v>577</v>
      </c>
      <c r="L139" s="5">
        <v>69.0</v>
      </c>
      <c r="M139" s="5" t="s">
        <v>476</v>
      </c>
      <c r="N139" s="5" t="str">
        <f>IFERROR(__xludf.DUMMYFUNCTION("PROPER(GOOGLETRANSLATE(M139, ""auto"", ""en""))"),"Honduran Coffee Institute")</f>
        <v>Honduran Coffee Institute</v>
      </c>
      <c r="O139" s="5" t="s">
        <v>47</v>
      </c>
      <c r="P139" s="5" t="str">
        <f t="shared" si="3"/>
        <v>2021</v>
      </c>
      <c r="Q139" s="5" t="s">
        <v>762</v>
      </c>
      <c r="R139" s="6" t="str">
        <f>IFERROR(__xludf.DUMMYFUNCTION("TEXT(DATEVALUE(REGEXREPLACE(Q139,""(\d+)(st|nd|rd|th)"",""$1"")),""yyyy-mm-dd"")"),"2022-05-23")</f>
        <v>2022-05-23</v>
      </c>
      <c r="S139" s="7" t="s">
        <v>359</v>
      </c>
      <c r="T139" s="5" t="s">
        <v>50</v>
      </c>
      <c r="U139" s="5" t="s">
        <v>69</v>
      </c>
      <c r="V139" s="4" t="s">
        <v>167</v>
      </c>
      <c r="W139" s="4" t="s">
        <v>167</v>
      </c>
      <c r="X139" s="4" t="s">
        <v>439</v>
      </c>
      <c r="Y139" s="4" t="s">
        <v>250</v>
      </c>
      <c r="Z139" s="4" t="s">
        <v>250</v>
      </c>
      <c r="AA139" s="4" t="s">
        <v>439</v>
      </c>
      <c r="AB139" s="4" t="s">
        <v>56</v>
      </c>
      <c r="AC139" s="4" t="s">
        <v>56</v>
      </c>
      <c r="AD139" s="4" t="s">
        <v>56</v>
      </c>
      <c r="AE139" s="4" t="s">
        <v>250</v>
      </c>
      <c r="AF139" s="4" t="s">
        <v>40</v>
      </c>
      <c r="AG139" s="4" t="s">
        <v>758</v>
      </c>
      <c r="AH139" s="4" t="s">
        <v>176</v>
      </c>
      <c r="AI139" s="4" t="s">
        <v>40</v>
      </c>
      <c r="AJ139" s="4" t="s">
        <v>76</v>
      </c>
      <c r="AK139" s="5" t="s">
        <v>59</v>
      </c>
      <c r="AL139" s="4" t="s">
        <v>120</v>
      </c>
      <c r="AM139" s="5" t="s">
        <v>763</v>
      </c>
      <c r="AN139" s="6" t="str">
        <f>IFERROR(__xludf.DUMMYFUNCTION("TEXT(DATEVALUE(REGEXREPLACE(AM139,""(\d+)(st|nd|rd|th)"",""$1"")),""yyyy-mm-dd"")"),"2023-05-23")</f>
        <v>2023-05-23</v>
      </c>
    </row>
    <row r="140">
      <c r="A140" s="4" t="s">
        <v>764</v>
      </c>
      <c r="B140" s="5" t="s">
        <v>472</v>
      </c>
      <c r="C140" s="4" t="s">
        <v>765</v>
      </c>
      <c r="D140" s="6" t="str">
        <f>IFERROR(__xludf.DUMMYFUNCTION("GOOGLETRANSLATE(C140,""auto"",""en"")"),"198")</f>
        <v>198</v>
      </c>
      <c r="E140" s="4" t="s">
        <v>459</v>
      </c>
      <c r="F140" s="5">
        <f>IFERROR(__xludf.DUMMYFUNCTION("SPLIT(E140,""-"")
"),1450.0)</f>
        <v>1450</v>
      </c>
      <c r="G140" s="5"/>
      <c r="H140" s="5">
        <f t="shared" si="4"/>
        <v>1450</v>
      </c>
      <c r="I140" s="5" t="s">
        <v>766</v>
      </c>
      <c r="J140" s="5" t="str">
        <f t="shared" si="2"/>
        <v>Los Planes De Santa Maria, La Paz</v>
      </c>
      <c r="K140" s="4" t="s">
        <v>767</v>
      </c>
      <c r="L140" s="5">
        <v>69.0</v>
      </c>
      <c r="M140" s="5" t="s">
        <v>476</v>
      </c>
      <c r="N140" s="5" t="str">
        <f>IFERROR(__xludf.DUMMYFUNCTION("PROPER(GOOGLETRANSLATE(M140, ""auto"", ""en""))"),"Honduran Coffee Institute")</f>
        <v>Honduran Coffee Institute</v>
      </c>
      <c r="O140" s="5" t="s">
        <v>136</v>
      </c>
      <c r="P140" s="5" t="str">
        <f t="shared" si="3"/>
        <v>2022</v>
      </c>
      <c r="Q140" s="5" t="s">
        <v>477</v>
      </c>
      <c r="R140" s="6" t="str">
        <f>IFERROR(__xludf.DUMMYFUNCTION("TEXT(DATEVALUE(REGEXREPLACE(Q140,""(\d+)(st|nd|rd|th)"",""$1"")),""yyyy-mm-dd"")"),"2023-04-25")</f>
        <v>2023-04-25</v>
      </c>
      <c r="S140" s="7" t="s">
        <v>359</v>
      </c>
      <c r="T140" s="5" t="s">
        <v>50</v>
      </c>
      <c r="U140" s="5" t="s">
        <v>69</v>
      </c>
      <c r="V140" s="4" t="s">
        <v>154</v>
      </c>
      <c r="W140" s="4" t="s">
        <v>250</v>
      </c>
      <c r="X140" s="4" t="s">
        <v>250</v>
      </c>
      <c r="Y140" s="4" t="s">
        <v>250</v>
      </c>
      <c r="Z140" s="4" t="s">
        <v>250</v>
      </c>
      <c r="AA140" s="4" t="s">
        <v>439</v>
      </c>
      <c r="AB140" s="4" t="s">
        <v>56</v>
      </c>
      <c r="AC140" s="4" t="s">
        <v>56</v>
      </c>
      <c r="AD140" s="4" t="s">
        <v>56</v>
      </c>
      <c r="AE140" s="4" t="s">
        <v>439</v>
      </c>
      <c r="AF140" s="4" t="s">
        <v>40</v>
      </c>
      <c r="AG140" s="4" t="s">
        <v>758</v>
      </c>
      <c r="AH140" s="4" t="s">
        <v>445</v>
      </c>
      <c r="AI140" s="4" t="s">
        <v>40</v>
      </c>
      <c r="AJ140" s="4" t="s">
        <v>40</v>
      </c>
      <c r="AK140" s="5" t="s">
        <v>59</v>
      </c>
      <c r="AL140" s="4" t="s">
        <v>76</v>
      </c>
      <c r="AM140" s="5" t="s">
        <v>478</v>
      </c>
      <c r="AN140" s="6" t="str">
        <f>IFERROR(__xludf.DUMMYFUNCTION("TEXT(DATEVALUE(REGEXREPLACE(AM140,""(\d+)(st|nd|rd|th)"",""$1"")),""yyyy-mm-dd"")"),"2024-04-24")</f>
        <v>2024-04-24</v>
      </c>
    </row>
    <row r="141">
      <c r="A141" s="4" t="s">
        <v>768</v>
      </c>
      <c r="B141" s="5" t="s">
        <v>41</v>
      </c>
      <c r="C141" s="5" t="s">
        <v>769</v>
      </c>
      <c r="D141" s="6" t="str">
        <f>IFERROR(__xludf.DUMMYFUNCTION("GOOGLETRANSLATE(C141,""auto"",""en"")"),"3-59-0654")</f>
        <v>3-59-0654</v>
      </c>
      <c r="E141" s="4" t="s">
        <v>770</v>
      </c>
      <c r="F141" s="5">
        <f>IFERROR(__xludf.DUMMYFUNCTION("SPLIT(E141,""-"")
"),1650.0)</f>
        <v>1650</v>
      </c>
      <c r="G141" s="5"/>
      <c r="H141" s="5">
        <f t="shared" si="4"/>
        <v>1650</v>
      </c>
      <c r="I141" s="5" t="s">
        <v>771</v>
      </c>
      <c r="J141" s="5" t="str">
        <f t="shared" si="2"/>
        <v>Huila</v>
      </c>
      <c r="K141" s="4" t="s">
        <v>257</v>
      </c>
      <c r="L141" s="5">
        <v>30.0</v>
      </c>
      <c r="M141" s="5" t="s">
        <v>513</v>
      </c>
      <c r="N141" s="5" t="str">
        <f>IFERROR(__xludf.DUMMYFUNCTION("PROPER(GOOGLETRANSLATE(M141, ""auto"", ""en""))"),"Colombian Association For Coffee Excellence")</f>
        <v>Colombian Association For Coffee Excellence</v>
      </c>
      <c r="O141" s="5" t="s">
        <v>136</v>
      </c>
      <c r="P141" s="5" t="str">
        <f t="shared" si="3"/>
        <v>2022</v>
      </c>
      <c r="Q141" s="5" t="s">
        <v>772</v>
      </c>
      <c r="R141" s="6" t="str">
        <f>IFERROR(__xludf.DUMMYFUNCTION("TEXT(DATEVALUE(REGEXREPLACE(Q141,""(\d+)(st|nd|rd|th)"",""$1"")),""yyyy-mm-dd"")"),"2023-01-13")</f>
        <v>2023-01-13</v>
      </c>
      <c r="S141" s="7" t="s">
        <v>175</v>
      </c>
      <c r="T141" s="5" t="s">
        <v>50</v>
      </c>
      <c r="U141" s="5" t="s">
        <v>69</v>
      </c>
      <c r="V141" s="4" t="s">
        <v>71</v>
      </c>
      <c r="W141" s="4" t="s">
        <v>167</v>
      </c>
      <c r="X141" s="4" t="s">
        <v>611</v>
      </c>
      <c r="Y141" s="4" t="s">
        <v>250</v>
      </c>
      <c r="Z141" s="4" t="s">
        <v>250</v>
      </c>
      <c r="AA141" s="4" t="s">
        <v>611</v>
      </c>
      <c r="AB141" s="4" t="s">
        <v>56</v>
      </c>
      <c r="AC141" s="4" t="s">
        <v>56</v>
      </c>
      <c r="AD141" s="4" t="s">
        <v>56</v>
      </c>
      <c r="AE141" s="4" t="s">
        <v>724</v>
      </c>
      <c r="AF141" s="4" t="s">
        <v>40</v>
      </c>
      <c r="AG141" s="4" t="s">
        <v>532</v>
      </c>
      <c r="AH141" s="4" t="s">
        <v>679</v>
      </c>
      <c r="AI141" s="4" t="s">
        <v>40</v>
      </c>
      <c r="AJ141" s="4" t="s">
        <v>40</v>
      </c>
      <c r="AK141" s="5" t="s">
        <v>74</v>
      </c>
      <c r="AL141" s="4" t="s">
        <v>45</v>
      </c>
      <c r="AM141" s="5" t="s">
        <v>773</v>
      </c>
      <c r="AN141" s="6" t="str">
        <f>IFERROR(__xludf.DUMMYFUNCTION("TEXT(DATEVALUE(REGEXREPLACE(AM141,""(\d+)(st|nd|rd|th)"",""$1"")),""yyyy-mm-dd"")"),"2024-01-13")</f>
        <v>2024-01-13</v>
      </c>
    </row>
    <row r="142">
      <c r="A142" s="4" t="s">
        <v>774</v>
      </c>
      <c r="B142" s="5" t="s">
        <v>62</v>
      </c>
      <c r="C142" s="5" t="s">
        <v>775</v>
      </c>
      <c r="D142" s="6" t="str">
        <f>IFERROR(__xludf.DUMMYFUNCTION("GOOGLETRANSLATE(C142,""auto"",""en"")"),"A17-Northern Taiwan Specialty Coffee Evaluation")</f>
        <v>A17-Northern Taiwan Specialty Coffee Evaluation</v>
      </c>
      <c r="E142" s="5" t="s">
        <v>657</v>
      </c>
      <c r="F142" s="5">
        <f>IFERROR(__xludf.DUMMYFUNCTION("SPLIT(E142,""-"")
"),250.0)</f>
        <v>250</v>
      </c>
      <c r="G142" s="5">
        <f>IFERROR(__xludf.DUMMYFUNCTION("""COMPUTED_VALUE"""),300.0)</f>
        <v>300</v>
      </c>
      <c r="H142" s="5">
        <f t="shared" si="4"/>
        <v>275</v>
      </c>
      <c r="I142" s="5" t="s">
        <v>372</v>
      </c>
      <c r="J142" s="5" t="str">
        <f t="shared" si="2"/>
        <v>新竹縣</v>
      </c>
      <c r="K142" s="4" t="s">
        <v>45</v>
      </c>
      <c r="L142" s="5">
        <v>12.0</v>
      </c>
      <c r="M142" s="5" t="s">
        <v>66</v>
      </c>
      <c r="N142" s="5" t="str">
        <f>IFERROR(__xludf.DUMMYFUNCTION("PROPER(GOOGLETRANSLATE(M142, ""auto"", ""en""))"),"Taiwan Coffee Laboratory")</f>
        <v>Taiwan Coffee Laboratory</v>
      </c>
      <c r="O142" s="5" t="s">
        <v>47</v>
      </c>
      <c r="P142" s="5" t="str">
        <f t="shared" si="3"/>
        <v>2021</v>
      </c>
      <c r="Q142" s="5" t="s">
        <v>243</v>
      </c>
      <c r="R142" s="6" t="str">
        <f>IFERROR(__xludf.DUMMYFUNCTION("TEXT(DATEVALUE(REGEXREPLACE(Q142,""(\d+)(st|nd|rd|th)"",""$1"")),""yyyy-mm-dd"")"),"2023-01-06")</f>
        <v>2023-01-06</v>
      </c>
      <c r="S142" s="7" t="s">
        <v>216</v>
      </c>
      <c r="T142" s="5" t="s">
        <v>50</v>
      </c>
      <c r="U142" s="5" t="s">
        <v>180</v>
      </c>
      <c r="V142" s="4" t="s">
        <v>439</v>
      </c>
      <c r="W142" s="4" t="s">
        <v>167</v>
      </c>
      <c r="X142" s="4" t="s">
        <v>250</v>
      </c>
      <c r="Y142" s="4" t="s">
        <v>250</v>
      </c>
      <c r="Z142" s="4" t="s">
        <v>439</v>
      </c>
      <c r="AA142" s="4" t="s">
        <v>439</v>
      </c>
      <c r="AB142" s="4" t="s">
        <v>56</v>
      </c>
      <c r="AC142" s="4" t="s">
        <v>56</v>
      </c>
      <c r="AD142" s="4" t="s">
        <v>56</v>
      </c>
      <c r="AE142" s="4" t="s">
        <v>250</v>
      </c>
      <c r="AF142" s="4" t="s">
        <v>40</v>
      </c>
      <c r="AG142" s="4" t="s">
        <v>776</v>
      </c>
      <c r="AH142" s="4" t="s">
        <v>777</v>
      </c>
      <c r="AI142" s="4" t="s">
        <v>40</v>
      </c>
      <c r="AJ142" s="4" t="s">
        <v>40</v>
      </c>
      <c r="AK142" s="5" t="s">
        <v>74</v>
      </c>
      <c r="AL142" s="4" t="s">
        <v>40</v>
      </c>
      <c r="AM142" s="5" t="s">
        <v>245</v>
      </c>
      <c r="AN142" s="6" t="str">
        <f>IFERROR(__xludf.DUMMYFUNCTION("TEXT(DATEVALUE(REGEXREPLACE(AM142,""(\d+)(st|nd|rd|th)"",""$1"")),""yyyy-mm-dd"")"),"2024-01-06")</f>
        <v>2024-01-06</v>
      </c>
    </row>
    <row r="143">
      <c r="A143" s="4" t="s">
        <v>778</v>
      </c>
      <c r="B143" s="5" t="s">
        <v>623</v>
      </c>
      <c r="C143" s="4" t="s">
        <v>45</v>
      </c>
      <c r="D143" s="6" t="str">
        <f>IFERROR(__xludf.DUMMYFUNCTION("GOOGLETRANSLATE(C143,""auto"",""en"")"),"1")</f>
        <v>1</v>
      </c>
      <c r="E143" s="4" t="s">
        <v>231</v>
      </c>
      <c r="F143" s="5">
        <f>IFERROR(__xludf.DUMMYFUNCTION("SPLIT(E143,""-"")
"),1350.0)</f>
        <v>1350</v>
      </c>
      <c r="G143" s="5"/>
      <c r="H143" s="5">
        <f t="shared" si="4"/>
        <v>1350</v>
      </c>
      <c r="I143" s="5" t="s">
        <v>779</v>
      </c>
      <c r="J143" s="5" t="str">
        <f t="shared" si="2"/>
        <v>Zongolica, Veracruz</v>
      </c>
      <c r="K143" s="4" t="s">
        <v>778</v>
      </c>
      <c r="L143" s="5">
        <v>69.0</v>
      </c>
      <c r="M143" s="5" t="s">
        <v>562</v>
      </c>
      <c r="N143" s="5" t="str">
        <f>IFERROR(__xludf.DUMMYFUNCTION("PROPER(GOOGLETRANSLATE(M143, ""auto"", ""en""))"),"Agroecological Coffee Center A.C.")</f>
        <v>Agroecological Coffee Center A.C.</v>
      </c>
      <c r="O143" s="5" t="s">
        <v>47</v>
      </c>
      <c r="P143" s="5" t="str">
        <f t="shared" si="3"/>
        <v>2021</v>
      </c>
      <c r="Q143" s="5" t="s">
        <v>780</v>
      </c>
      <c r="R143" s="6" t="str">
        <f>IFERROR(__xludf.DUMMYFUNCTION("TEXT(DATEVALUE(REGEXREPLACE(Q143,""(\d+)(st|nd|rd|th)"",""$1"")),""yyyy-mm-dd"")"),"2022-08-11")</f>
        <v>2022-08-11</v>
      </c>
      <c r="S143" s="7" t="s">
        <v>138</v>
      </c>
      <c r="T143" s="5" t="s">
        <v>50</v>
      </c>
      <c r="U143" s="5" t="s">
        <v>69</v>
      </c>
      <c r="V143" s="4" t="s">
        <v>154</v>
      </c>
      <c r="W143" s="4" t="s">
        <v>439</v>
      </c>
      <c r="X143" s="4" t="s">
        <v>611</v>
      </c>
      <c r="Y143" s="4" t="s">
        <v>167</v>
      </c>
      <c r="Z143" s="4" t="s">
        <v>250</v>
      </c>
      <c r="AA143" s="4" t="s">
        <v>439</v>
      </c>
      <c r="AB143" s="4" t="s">
        <v>56</v>
      </c>
      <c r="AC143" s="4" t="s">
        <v>56</v>
      </c>
      <c r="AD143" s="4" t="s">
        <v>56</v>
      </c>
      <c r="AE143" s="4" t="s">
        <v>439</v>
      </c>
      <c r="AF143" s="4" t="s">
        <v>40</v>
      </c>
      <c r="AG143" s="4" t="s">
        <v>776</v>
      </c>
      <c r="AH143" s="4" t="s">
        <v>160</v>
      </c>
      <c r="AI143" s="4" t="s">
        <v>76</v>
      </c>
      <c r="AJ143" s="4" t="s">
        <v>40</v>
      </c>
      <c r="AK143" s="5" t="s">
        <v>59</v>
      </c>
      <c r="AL143" s="4" t="s">
        <v>45</v>
      </c>
      <c r="AM143" s="5" t="s">
        <v>781</v>
      </c>
      <c r="AN143" s="6" t="str">
        <f>IFERROR(__xludf.DUMMYFUNCTION("TEXT(DATEVALUE(REGEXREPLACE(AM143,""(\d+)(st|nd|rd|th)"",""$1"")),""yyyy-mm-dd"")"),"2023-08-11")</f>
        <v>2023-08-11</v>
      </c>
    </row>
    <row r="144">
      <c r="A144" s="4" t="s">
        <v>782</v>
      </c>
      <c r="B144" s="5" t="s">
        <v>41</v>
      </c>
      <c r="C144" s="5" t="s">
        <v>783</v>
      </c>
      <c r="D144" s="6" t="str">
        <f>IFERROR(__xludf.DUMMYFUNCTION("GOOGLETRANSLATE(C144,""auto"",""en"")"),"CQU2022013")</f>
        <v>CQU2022013</v>
      </c>
      <c r="E144" s="4" t="s">
        <v>231</v>
      </c>
      <c r="F144" s="5">
        <f>IFERROR(__xludf.DUMMYFUNCTION("SPLIT(E144,""-"")
"),1350.0)</f>
        <v>1350</v>
      </c>
      <c r="G144" s="5"/>
      <c r="H144" s="5">
        <f t="shared" si="4"/>
        <v>1350</v>
      </c>
      <c r="I144" s="5" t="s">
        <v>232</v>
      </c>
      <c r="J144" s="5" t="str">
        <f t="shared" si="2"/>
        <v>Quindio</v>
      </c>
      <c r="K144" s="4" t="s">
        <v>45</v>
      </c>
      <c r="L144" s="5">
        <v>12.0</v>
      </c>
      <c r="M144" s="5" t="s">
        <v>46</v>
      </c>
      <c r="N144" s="5" t="str">
        <f>IFERROR(__xludf.DUMMYFUNCTION("PROPER(GOOGLETRANSLATE(M144, ""auto"", ""en""))"),"Japan Coffee Exchange")</f>
        <v>Japan Coffee Exchange</v>
      </c>
      <c r="O144" s="5" t="s">
        <v>47</v>
      </c>
      <c r="P144" s="5" t="str">
        <f t="shared" si="3"/>
        <v>2021</v>
      </c>
      <c r="Q144" s="5" t="s">
        <v>687</v>
      </c>
      <c r="R144" s="6" t="str">
        <f>IFERROR(__xludf.DUMMYFUNCTION("TEXT(DATEVALUE(REGEXREPLACE(Q144,""(\d+)(st|nd|rd|th)"",""$1"")),""yyyy-mm-dd"")"),"2022-06-16")</f>
        <v>2022-06-16</v>
      </c>
      <c r="S144" s="7" t="s">
        <v>784</v>
      </c>
      <c r="T144" s="5" t="s">
        <v>50</v>
      </c>
      <c r="U144" s="5" t="s">
        <v>69</v>
      </c>
      <c r="V144" s="4" t="s">
        <v>250</v>
      </c>
      <c r="W144" s="4" t="s">
        <v>439</v>
      </c>
      <c r="X144" s="4" t="s">
        <v>439</v>
      </c>
      <c r="Y144" s="4" t="s">
        <v>167</v>
      </c>
      <c r="Z144" s="4" t="s">
        <v>250</v>
      </c>
      <c r="AA144" s="4" t="s">
        <v>439</v>
      </c>
      <c r="AB144" s="4" t="s">
        <v>56</v>
      </c>
      <c r="AC144" s="4" t="s">
        <v>56</v>
      </c>
      <c r="AD144" s="4" t="s">
        <v>56</v>
      </c>
      <c r="AE144" s="4" t="s">
        <v>250</v>
      </c>
      <c r="AF144" s="4" t="s">
        <v>40</v>
      </c>
      <c r="AG144" s="4" t="s">
        <v>776</v>
      </c>
      <c r="AH144" s="4" t="s">
        <v>155</v>
      </c>
      <c r="AI144" s="4" t="s">
        <v>40</v>
      </c>
      <c r="AJ144" s="4" t="s">
        <v>45</v>
      </c>
      <c r="AK144" s="5" t="s">
        <v>59</v>
      </c>
      <c r="AL144" s="4" t="s">
        <v>60</v>
      </c>
      <c r="AM144" s="5" t="s">
        <v>689</v>
      </c>
      <c r="AN144" s="6" t="str">
        <f>IFERROR(__xludf.DUMMYFUNCTION("TEXT(DATEVALUE(REGEXREPLACE(AM144,""(\d+)(st|nd|rd|th)"",""$1"")),""yyyy-mm-dd"")"),"2023-06-16")</f>
        <v>2023-06-16</v>
      </c>
    </row>
    <row r="145">
      <c r="A145" s="4" t="s">
        <v>785</v>
      </c>
      <c r="B145" s="5" t="s">
        <v>62</v>
      </c>
      <c r="C145" s="4" t="s">
        <v>192</v>
      </c>
      <c r="D145" s="6" t="str">
        <f>IFERROR(__xludf.DUMMYFUNCTION("GOOGLETRANSLATE(C145,""auto"",""en"")"),"202203")</f>
        <v>202203</v>
      </c>
      <c r="E145" s="4" t="s">
        <v>64</v>
      </c>
      <c r="F145" s="5">
        <f>IFERROR(__xludf.DUMMYFUNCTION("SPLIT(E145,""-"")
"),1200.0)</f>
        <v>1200</v>
      </c>
      <c r="G145" s="5"/>
      <c r="H145" s="5">
        <f t="shared" si="4"/>
        <v>1200</v>
      </c>
      <c r="I145" s="5" t="s">
        <v>193</v>
      </c>
      <c r="J145" s="5" t="str">
        <f t="shared" si="2"/>
        <v>Shibi, Gukeng Township, Yunlin County 郵遞區號 , Taiwan (R.O.C.)</v>
      </c>
      <c r="K145" s="4" t="s">
        <v>305</v>
      </c>
      <c r="L145" s="5">
        <v>1.0</v>
      </c>
      <c r="M145" s="5" t="s">
        <v>194</v>
      </c>
      <c r="N145" s="5" t="str">
        <f>IFERROR(__xludf.DUMMYFUNCTION("PROPER(GOOGLETRANSLATE(M145, ""auto"", ""en""))"),"Blossom Valley International")</f>
        <v>Blossom Valley International</v>
      </c>
      <c r="O145" s="4" t="s">
        <v>94</v>
      </c>
      <c r="P145" s="5" t="str">
        <f t="shared" si="3"/>
        <v>2022</v>
      </c>
      <c r="Q145" s="5" t="s">
        <v>195</v>
      </c>
      <c r="R145" s="6" t="str">
        <f>IFERROR(__xludf.DUMMYFUNCTION("TEXT(DATEVALUE(REGEXREPLACE(Q145,""(\d+)(st|nd|rd|th)"",""$1"")),""yyyy-mm-dd"")"),"2022-10-24")</f>
        <v>2022-10-24</v>
      </c>
      <c r="S145" s="7" t="s">
        <v>68</v>
      </c>
      <c r="T145" s="5" t="s">
        <v>50</v>
      </c>
      <c r="U145" s="5" t="s">
        <v>234</v>
      </c>
      <c r="V145" s="4" t="s">
        <v>167</v>
      </c>
      <c r="W145" s="4" t="s">
        <v>439</v>
      </c>
      <c r="X145" s="4" t="s">
        <v>611</v>
      </c>
      <c r="Y145" s="4" t="s">
        <v>154</v>
      </c>
      <c r="Z145" s="4" t="s">
        <v>611</v>
      </c>
      <c r="AA145" s="4" t="s">
        <v>250</v>
      </c>
      <c r="AB145" s="4" t="s">
        <v>56</v>
      </c>
      <c r="AC145" s="4" t="s">
        <v>56</v>
      </c>
      <c r="AD145" s="4" t="s">
        <v>56</v>
      </c>
      <c r="AE145" s="4" t="s">
        <v>250</v>
      </c>
      <c r="AF145" s="4" t="s">
        <v>40</v>
      </c>
      <c r="AG145" s="4" t="s">
        <v>776</v>
      </c>
      <c r="AH145" s="4" t="s">
        <v>182</v>
      </c>
      <c r="AI145" s="4" t="s">
        <v>40</v>
      </c>
      <c r="AJ145" s="4" t="s">
        <v>40</v>
      </c>
      <c r="AK145" s="5" t="s">
        <v>105</v>
      </c>
      <c r="AL145" s="4" t="s">
        <v>40</v>
      </c>
      <c r="AM145" s="5" t="s">
        <v>197</v>
      </c>
      <c r="AN145" s="6" t="str">
        <f>IFERROR(__xludf.DUMMYFUNCTION("TEXT(DATEVALUE(REGEXREPLACE(AM145,""(\d+)(st|nd|rd|th)"",""$1"")),""yyyy-mm-dd"")"),"2023-10-24")</f>
        <v>2023-10-24</v>
      </c>
    </row>
    <row r="146">
      <c r="A146" s="4" t="s">
        <v>786</v>
      </c>
      <c r="B146" s="5" t="s">
        <v>472</v>
      </c>
      <c r="C146" s="4" t="s">
        <v>787</v>
      </c>
      <c r="D146" s="6" t="str">
        <f>IFERROR(__xludf.DUMMYFUNCTION("GOOGLETRANSLATE(C146,""auto"",""en"")"),"273")</f>
        <v>273</v>
      </c>
      <c r="E146" s="4" t="s">
        <v>788</v>
      </c>
      <c r="F146" s="5">
        <f>IFERROR(__xludf.DUMMYFUNCTION("SPLIT(E146,""-"")
"),1280.0)</f>
        <v>1280</v>
      </c>
      <c r="G146" s="5"/>
      <c r="H146" s="5">
        <f t="shared" si="4"/>
        <v>1280</v>
      </c>
      <c r="I146" s="5" t="s">
        <v>663</v>
      </c>
      <c r="J146" s="5" t="str">
        <f t="shared" si="2"/>
        <v>Marcala</v>
      </c>
      <c r="K146" s="4" t="s">
        <v>364</v>
      </c>
      <c r="L146" s="5">
        <v>69.0</v>
      </c>
      <c r="M146" s="5" t="s">
        <v>476</v>
      </c>
      <c r="N146" s="5" t="str">
        <f>IFERROR(__xludf.DUMMYFUNCTION("PROPER(GOOGLETRANSLATE(M146, ""auto"", ""en""))"),"Honduran Coffee Institute")</f>
        <v>Honduran Coffee Institute</v>
      </c>
      <c r="O146" s="5" t="s">
        <v>136</v>
      </c>
      <c r="P146" s="5" t="str">
        <f t="shared" si="3"/>
        <v>2022</v>
      </c>
      <c r="Q146" s="5" t="s">
        <v>789</v>
      </c>
      <c r="R146" s="6" t="str">
        <f>IFERROR(__xludf.DUMMYFUNCTION("TEXT(DATEVALUE(REGEXREPLACE(Q146,""(\d+)(st|nd|rd|th)"",""$1"")),""yyyy-mm-dd"")"),"2023-04-24")</f>
        <v>2023-04-24</v>
      </c>
      <c r="S146" s="7" t="s">
        <v>359</v>
      </c>
      <c r="T146" s="5" t="s">
        <v>50</v>
      </c>
      <c r="U146" s="5" t="s">
        <v>69</v>
      </c>
      <c r="V146" s="4" t="s">
        <v>167</v>
      </c>
      <c r="W146" s="4" t="s">
        <v>250</v>
      </c>
      <c r="X146" s="4" t="s">
        <v>439</v>
      </c>
      <c r="Y146" s="4" t="s">
        <v>439</v>
      </c>
      <c r="Z146" s="4" t="s">
        <v>250</v>
      </c>
      <c r="AA146" s="4" t="s">
        <v>439</v>
      </c>
      <c r="AB146" s="4" t="s">
        <v>56</v>
      </c>
      <c r="AC146" s="4" t="s">
        <v>56</v>
      </c>
      <c r="AD146" s="4" t="s">
        <v>56</v>
      </c>
      <c r="AE146" s="4" t="s">
        <v>439</v>
      </c>
      <c r="AF146" s="4" t="s">
        <v>40</v>
      </c>
      <c r="AG146" s="4" t="s">
        <v>790</v>
      </c>
      <c r="AH146" s="4" t="s">
        <v>56</v>
      </c>
      <c r="AI146" s="4" t="s">
        <v>40</v>
      </c>
      <c r="AJ146" s="4" t="s">
        <v>40</v>
      </c>
      <c r="AK146" s="5" t="s">
        <v>59</v>
      </c>
      <c r="AL146" s="4" t="s">
        <v>96</v>
      </c>
      <c r="AM146" s="5" t="s">
        <v>791</v>
      </c>
      <c r="AN146" s="6" t="str">
        <f>IFERROR(__xludf.DUMMYFUNCTION("TEXT(DATEVALUE(REGEXREPLACE(AM146,""(\d+)(st|nd|rd|th)"",""$1"")),""yyyy-mm-dd"")"),"2024-04-23")</f>
        <v>2024-04-23</v>
      </c>
    </row>
    <row r="147">
      <c r="A147" s="4" t="s">
        <v>792</v>
      </c>
      <c r="B147" s="5" t="s">
        <v>220</v>
      </c>
      <c r="C147" s="5" t="s">
        <v>793</v>
      </c>
      <c r="D147" s="6" t="str">
        <f>IFERROR(__xludf.DUMMYFUNCTION("GOOGLETRANSLATE(C147,""auto"",""en"")"),"GAYO 21/22 (Coffea Arabica)")</f>
        <v>GAYO 21/22 (Coffea Arabica)</v>
      </c>
      <c r="E147" s="5" t="s">
        <v>723</v>
      </c>
      <c r="F147" s="5">
        <f>IFERROR(__xludf.DUMMYFUNCTION("SPLIT(E147,""-"")
"),1300.0)</f>
        <v>1300</v>
      </c>
      <c r="G147" s="5">
        <f>IFERROR(__xludf.DUMMYFUNCTION("""COMPUTED_VALUE"""),1500.0)</f>
        <v>1500</v>
      </c>
      <c r="H147" s="5">
        <f t="shared" si="4"/>
        <v>1400</v>
      </c>
      <c r="I147" s="5" t="s">
        <v>677</v>
      </c>
      <c r="J147" s="5" t="str">
        <f t="shared" si="2"/>
        <v>North Of Thailand</v>
      </c>
      <c r="K147" s="4" t="s">
        <v>76</v>
      </c>
      <c r="L147" s="5">
        <v>1.0</v>
      </c>
      <c r="M147" s="5" t="s">
        <v>223</v>
      </c>
      <c r="N147" s="5" t="str">
        <f>IFERROR(__xludf.DUMMYFUNCTION("PROPER(GOOGLETRANSLATE(M147, ""auto"", ""en""))"),"Fabb Academy Of Coffee")</f>
        <v>Fabb Academy Of Coffee</v>
      </c>
      <c r="O147" s="4" t="s">
        <v>94</v>
      </c>
      <c r="P147" s="5" t="str">
        <f t="shared" si="3"/>
        <v>2022</v>
      </c>
      <c r="Q147" s="5" t="s">
        <v>678</v>
      </c>
      <c r="R147" s="6" t="str">
        <f>IFERROR(__xludf.DUMMYFUNCTION("TEXT(DATEVALUE(REGEXREPLACE(Q147,""(\d+)(st|nd|rd|th)"",""$1"")),""yyyy-mm-dd"")"),"2022-07-14")</f>
        <v>2022-07-14</v>
      </c>
      <c r="S147" s="7" t="s">
        <v>794</v>
      </c>
      <c r="T147" s="5" t="s">
        <v>50</v>
      </c>
      <c r="U147" s="5" t="s">
        <v>69</v>
      </c>
      <c r="V147" s="4" t="s">
        <v>795</v>
      </c>
      <c r="W147" s="4" t="s">
        <v>70</v>
      </c>
      <c r="X147" s="4" t="s">
        <v>250</v>
      </c>
      <c r="Y147" s="4" t="s">
        <v>439</v>
      </c>
      <c r="Z147" s="4" t="s">
        <v>250</v>
      </c>
      <c r="AA147" s="4" t="s">
        <v>167</v>
      </c>
      <c r="AB147" s="4" t="s">
        <v>56</v>
      </c>
      <c r="AC147" s="4" t="s">
        <v>56</v>
      </c>
      <c r="AD147" s="4" t="s">
        <v>56</v>
      </c>
      <c r="AE147" s="4" t="s">
        <v>611</v>
      </c>
      <c r="AF147" s="4" t="s">
        <v>40</v>
      </c>
      <c r="AG147" s="4" t="s">
        <v>790</v>
      </c>
      <c r="AH147" s="4" t="s">
        <v>58</v>
      </c>
      <c r="AI147" s="4" t="s">
        <v>40</v>
      </c>
      <c r="AJ147" s="4" t="s">
        <v>40</v>
      </c>
      <c r="AK147" s="5" t="s">
        <v>105</v>
      </c>
      <c r="AL147" s="4" t="s">
        <v>107</v>
      </c>
      <c r="AM147" s="5" t="s">
        <v>680</v>
      </c>
      <c r="AN147" s="6" t="str">
        <f>IFERROR(__xludf.DUMMYFUNCTION("TEXT(DATEVALUE(REGEXREPLACE(AM147,""(\d+)(st|nd|rd|th)"",""$1"")),""yyyy-mm-dd"")"),"2023-07-14")</f>
        <v>2023-07-14</v>
      </c>
    </row>
    <row r="148">
      <c r="A148" s="4" t="s">
        <v>796</v>
      </c>
      <c r="B148" s="5" t="s">
        <v>461</v>
      </c>
      <c r="C148" s="5" t="s">
        <v>797</v>
      </c>
      <c r="D148" s="6" t="str">
        <f>IFERROR(__xludf.DUMMYFUNCTION("GOOGLETRANSLATE(C148,""auto"",""en"")"),"S3")</f>
        <v>S3</v>
      </c>
      <c r="E148" s="4" t="s">
        <v>798</v>
      </c>
      <c r="F148" s="5">
        <f>IFERROR(__xludf.DUMMYFUNCTION("SPLIT(E148,""-"")
"),900.0)</f>
        <v>900</v>
      </c>
      <c r="G148" s="5"/>
      <c r="H148" s="5">
        <f t="shared" si="4"/>
        <v>900</v>
      </c>
      <c r="I148" s="5" t="s">
        <v>799</v>
      </c>
      <c r="J148" s="5" t="str">
        <f t="shared" si="2"/>
        <v>Eatan Commune, Krong Nang District, Krong Nang Province</v>
      </c>
      <c r="K148" s="4" t="s">
        <v>219</v>
      </c>
      <c r="L148" s="5">
        <v>60.0</v>
      </c>
      <c r="M148" s="5" t="s">
        <v>453</v>
      </c>
      <c r="N148" s="5" t="str">
        <f>IFERROR(__xludf.DUMMYFUNCTION("PROPER(GOOGLETRANSLATE(M148, ""auto"", ""en""))"),"Specialty Coffee Association")</f>
        <v>Specialty Coffee Association</v>
      </c>
      <c r="O148" s="5" t="s">
        <v>47</v>
      </c>
      <c r="P148" s="5" t="str">
        <f t="shared" si="3"/>
        <v>2021</v>
      </c>
      <c r="Q148" s="5" t="s">
        <v>800</v>
      </c>
      <c r="R148" s="6" t="str">
        <f>IFERROR(__xludf.DUMMYFUNCTION("TEXT(DATEVALUE(REGEXREPLACE(Q148,""(\d+)(st|nd|rd|th)"",""$1"")),""yyyy-mm-dd"")"),"2022-06-03")</f>
        <v>2022-06-03</v>
      </c>
      <c r="S148" s="7" t="s">
        <v>225</v>
      </c>
      <c r="T148" s="5" t="s">
        <v>50</v>
      </c>
      <c r="U148" s="5" t="s">
        <v>180</v>
      </c>
      <c r="V148" s="4" t="s">
        <v>250</v>
      </c>
      <c r="W148" s="4" t="s">
        <v>611</v>
      </c>
      <c r="X148" s="4" t="s">
        <v>250</v>
      </c>
      <c r="Y148" s="4" t="s">
        <v>439</v>
      </c>
      <c r="Z148" s="4" t="s">
        <v>167</v>
      </c>
      <c r="AA148" s="4" t="s">
        <v>154</v>
      </c>
      <c r="AB148" s="4" t="s">
        <v>56</v>
      </c>
      <c r="AC148" s="4" t="s">
        <v>56</v>
      </c>
      <c r="AD148" s="4" t="s">
        <v>56</v>
      </c>
      <c r="AE148" s="4" t="s">
        <v>724</v>
      </c>
      <c r="AF148" s="4" t="s">
        <v>40</v>
      </c>
      <c r="AG148" s="4" t="s">
        <v>790</v>
      </c>
      <c r="AH148" s="4" t="s">
        <v>573</v>
      </c>
      <c r="AI148" s="4" t="s">
        <v>40</v>
      </c>
      <c r="AJ148" s="4" t="s">
        <v>40</v>
      </c>
      <c r="AK148" s="5" t="s">
        <v>59</v>
      </c>
      <c r="AL148" s="4" t="s">
        <v>96</v>
      </c>
      <c r="AM148" s="5" t="s">
        <v>801</v>
      </c>
      <c r="AN148" s="6" t="str">
        <f>IFERROR(__xludf.DUMMYFUNCTION("TEXT(DATEVALUE(REGEXREPLACE(AM148,""(\d+)(st|nd|rd|th)"",""$1"")),""yyyy-mm-dd"")"),"2023-06-03")</f>
        <v>2023-06-03</v>
      </c>
    </row>
    <row r="149">
      <c r="A149" s="4" t="s">
        <v>802</v>
      </c>
      <c r="B149" s="5" t="s">
        <v>449</v>
      </c>
      <c r="C149" s="5" t="s">
        <v>803</v>
      </c>
      <c r="D149" s="6" t="str">
        <f>IFERROR(__xludf.DUMMYFUNCTION("GOOGLETRANSLATE(C149,""auto"",""en"")"),"017-053-0017")</f>
        <v>017-053-0017</v>
      </c>
      <c r="E149" s="4" t="s">
        <v>64</v>
      </c>
      <c r="F149" s="5">
        <f>IFERROR(__xludf.DUMMYFUNCTION("SPLIT(E149,""-"")
"),1200.0)</f>
        <v>1200</v>
      </c>
      <c r="G149" s="5"/>
      <c r="H149" s="5">
        <f t="shared" si="4"/>
        <v>1200</v>
      </c>
      <c r="I149" s="5" t="s">
        <v>804</v>
      </c>
      <c r="J149" s="5" t="str">
        <f t="shared" si="2"/>
        <v>Matagalpa</v>
      </c>
      <c r="K149" s="4" t="s">
        <v>364</v>
      </c>
      <c r="L149" s="5">
        <v>69.0</v>
      </c>
      <c r="M149" s="5" t="s">
        <v>805</v>
      </c>
      <c r="N149" s="5" t="str">
        <f>IFERROR(__xludf.DUMMYFUNCTION("PROPER(GOOGLETRANSLATE(M149, ""auto"", ""en""))"),"Nicaraguan Specialty Coffee Association")</f>
        <v>Nicaraguan Specialty Coffee Association</v>
      </c>
      <c r="O149" s="5" t="s">
        <v>136</v>
      </c>
      <c r="P149" s="5" t="str">
        <f t="shared" si="3"/>
        <v>2022</v>
      </c>
      <c r="Q149" s="5" t="s">
        <v>806</v>
      </c>
      <c r="R149" s="6" t="str">
        <f>IFERROR(__xludf.DUMMYFUNCTION("TEXT(DATEVALUE(REGEXREPLACE(Q149,""(\d+)(st|nd|rd|th)"",""$1"")),""yyyy-mm-dd"")"),"2023-01-30")</f>
        <v>2023-01-30</v>
      </c>
      <c r="S149" s="7" t="s">
        <v>665</v>
      </c>
      <c r="T149" s="5" t="s">
        <v>50</v>
      </c>
      <c r="U149" s="5" t="s">
        <v>123</v>
      </c>
      <c r="V149" s="4" t="s">
        <v>724</v>
      </c>
      <c r="W149" s="4" t="s">
        <v>250</v>
      </c>
      <c r="X149" s="4" t="s">
        <v>807</v>
      </c>
      <c r="Y149" s="4" t="s">
        <v>724</v>
      </c>
      <c r="Z149" s="4" t="s">
        <v>154</v>
      </c>
      <c r="AA149" s="4" t="s">
        <v>86</v>
      </c>
      <c r="AB149" s="4" t="s">
        <v>56</v>
      </c>
      <c r="AC149" s="4" t="s">
        <v>56</v>
      </c>
      <c r="AD149" s="4" t="s">
        <v>56</v>
      </c>
      <c r="AE149" s="4" t="s">
        <v>724</v>
      </c>
      <c r="AF149" s="4" t="s">
        <v>40</v>
      </c>
      <c r="AG149" s="4" t="s">
        <v>808</v>
      </c>
      <c r="AH149" s="4" t="s">
        <v>73</v>
      </c>
      <c r="AI149" s="4" t="s">
        <v>107</v>
      </c>
      <c r="AJ149" s="4" t="s">
        <v>76</v>
      </c>
      <c r="AK149" s="5" t="s">
        <v>59</v>
      </c>
      <c r="AL149" s="4" t="s">
        <v>45</v>
      </c>
      <c r="AM149" s="5" t="s">
        <v>809</v>
      </c>
      <c r="AN149" s="6" t="str">
        <f>IFERROR(__xludf.DUMMYFUNCTION("TEXT(DATEVALUE(REGEXREPLACE(AM149,""(\d+)(st|nd|rd|th)"",""$1"")),""yyyy-mm-dd"")"),"2024-01-30")</f>
        <v>2024-01-30</v>
      </c>
    </row>
    <row r="150">
      <c r="A150" s="4" t="s">
        <v>810</v>
      </c>
      <c r="B150" s="5" t="s">
        <v>90</v>
      </c>
      <c r="C150" s="5" t="s">
        <v>811</v>
      </c>
      <c r="D150" s="6" t="str">
        <f>IFERROR(__xludf.DUMMYFUNCTION("GOOGLETRANSLATE(C150,""auto"",""en"")"),"The 2022 Pacific Rim Coffee Summit,CR01")</f>
        <v>The 2022 Pacific Rim Coffee Summit,CR01</v>
      </c>
      <c r="E150" s="4" t="s">
        <v>459</v>
      </c>
      <c r="F150" s="5">
        <f>IFERROR(__xludf.DUMMYFUNCTION("SPLIT(E150,""-"")
"),1450.0)</f>
        <v>1450</v>
      </c>
      <c r="G150" s="5"/>
      <c r="H150" s="5">
        <f t="shared" si="4"/>
        <v>1450</v>
      </c>
      <c r="I150" s="5" t="s">
        <v>812</v>
      </c>
      <c r="J150" s="5" t="str">
        <f t="shared" si="2"/>
        <v>West Villege</v>
      </c>
      <c r="K150" s="4" t="s">
        <v>56</v>
      </c>
      <c r="L150" s="5">
        <v>30.0</v>
      </c>
      <c r="M150" s="5" t="s">
        <v>66</v>
      </c>
      <c r="N150" s="5" t="str">
        <f>IFERROR(__xludf.DUMMYFUNCTION("PROPER(GOOGLETRANSLATE(M150, ""auto"", ""en""))"),"Taiwan Coffee Laboratory")</f>
        <v>Taiwan Coffee Laboratory</v>
      </c>
      <c r="O150" s="4" t="s">
        <v>153</v>
      </c>
      <c r="P150" s="5" t="str">
        <f t="shared" si="3"/>
        <v>2021</v>
      </c>
      <c r="Q150" s="5" t="s">
        <v>67</v>
      </c>
      <c r="R150" s="6" t="str">
        <f>IFERROR(__xludf.DUMMYFUNCTION("TEXT(DATEVALUE(REGEXREPLACE(Q150,""(\d+)(st|nd|rd|th)"",""$1"")),""yyyy-mm-dd"")"),"2022-11-15")</f>
        <v>2022-11-15</v>
      </c>
      <c r="S150" s="7" t="s">
        <v>307</v>
      </c>
      <c r="T150" s="5" t="s">
        <v>50</v>
      </c>
      <c r="U150" s="5" t="s">
        <v>180</v>
      </c>
      <c r="V150" s="4" t="s">
        <v>724</v>
      </c>
      <c r="W150" s="4" t="s">
        <v>439</v>
      </c>
      <c r="X150" s="4" t="s">
        <v>807</v>
      </c>
      <c r="Y150" s="4" t="s">
        <v>70</v>
      </c>
      <c r="Z150" s="4" t="s">
        <v>154</v>
      </c>
      <c r="AA150" s="4" t="s">
        <v>250</v>
      </c>
      <c r="AB150" s="4" t="s">
        <v>56</v>
      </c>
      <c r="AC150" s="4" t="s">
        <v>56</v>
      </c>
      <c r="AD150" s="4" t="s">
        <v>56</v>
      </c>
      <c r="AE150" s="4" t="s">
        <v>611</v>
      </c>
      <c r="AF150" s="4" t="s">
        <v>40</v>
      </c>
      <c r="AG150" s="4" t="s">
        <v>808</v>
      </c>
      <c r="AH150" s="4" t="s">
        <v>58</v>
      </c>
      <c r="AI150" s="4" t="s">
        <v>40</v>
      </c>
      <c r="AJ150" s="4" t="s">
        <v>40</v>
      </c>
      <c r="AK150" s="5" t="s">
        <v>328</v>
      </c>
      <c r="AL150" s="4" t="s">
        <v>45</v>
      </c>
      <c r="AM150" s="5" t="s">
        <v>75</v>
      </c>
      <c r="AN150" s="6" t="str">
        <f>IFERROR(__xludf.DUMMYFUNCTION("TEXT(DATEVALUE(REGEXREPLACE(AM150,""(\d+)(st|nd|rd|th)"",""$1"")),""yyyy-mm-dd"")"),"2023-11-15")</f>
        <v>2023-11-15</v>
      </c>
    </row>
    <row r="151">
      <c r="A151" s="4" t="s">
        <v>813</v>
      </c>
      <c r="B151" s="5" t="s">
        <v>41</v>
      </c>
      <c r="C151" s="4" t="s">
        <v>814</v>
      </c>
      <c r="D151" s="6" t="str">
        <f>IFERROR(__xludf.DUMMYFUNCTION("GOOGLETRANSLATE(C151,""auto"",""en"")"),"3/01/12857")</f>
        <v>3/01/12857</v>
      </c>
      <c r="E151" s="4" t="s">
        <v>291</v>
      </c>
      <c r="F151" s="5">
        <f>IFERROR(__xludf.DUMMYFUNCTION("SPLIT(E151,""-"")
"),1700.0)</f>
        <v>1700</v>
      </c>
      <c r="G151" s="5"/>
      <c r="H151" s="5">
        <f t="shared" si="4"/>
        <v>1700</v>
      </c>
      <c r="I151" s="5" t="s">
        <v>571</v>
      </c>
      <c r="J151" s="5" t="str">
        <f t="shared" si="2"/>
        <v>Huila</v>
      </c>
      <c r="K151" s="4" t="s">
        <v>577</v>
      </c>
      <c r="L151" s="5">
        <v>70.0</v>
      </c>
      <c r="M151" s="5" t="s">
        <v>46</v>
      </c>
      <c r="N151" s="5" t="str">
        <f>IFERROR(__xludf.DUMMYFUNCTION("PROPER(GOOGLETRANSLATE(M151, ""auto"", ""en""))"),"Japan Coffee Exchange")</f>
        <v>Japan Coffee Exchange</v>
      </c>
      <c r="O151" s="4" t="s">
        <v>94</v>
      </c>
      <c r="P151" s="5" t="str">
        <f t="shared" si="3"/>
        <v>2022</v>
      </c>
      <c r="Q151" s="5" t="s">
        <v>815</v>
      </c>
      <c r="R151" s="6" t="str">
        <f>IFERROR(__xludf.DUMMYFUNCTION("TEXT(DATEVALUE(REGEXREPLACE(Q151,""(\d+)(st|nd|rd|th)"",""$1"")),""yyyy-mm-dd"")"),"2022-07-11")</f>
        <v>2022-07-11</v>
      </c>
      <c r="S151" s="7" t="s">
        <v>175</v>
      </c>
      <c r="T151" s="5" t="s">
        <v>50</v>
      </c>
      <c r="U151" s="5" t="s">
        <v>69</v>
      </c>
      <c r="V151" s="4" t="s">
        <v>250</v>
      </c>
      <c r="W151" s="4" t="s">
        <v>167</v>
      </c>
      <c r="X151" s="4" t="s">
        <v>250</v>
      </c>
      <c r="Y151" s="4" t="s">
        <v>439</v>
      </c>
      <c r="Z151" s="4" t="s">
        <v>724</v>
      </c>
      <c r="AA151" s="4" t="s">
        <v>439</v>
      </c>
      <c r="AB151" s="4" t="s">
        <v>56</v>
      </c>
      <c r="AC151" s="4" t="s">
        <v>56</v>
      </c>
      <c r="AD151" s="4" t="s">
        <v>56</v>
      </c>
      <c r="AE151" s="4" t="s">
        <v>439</v>
      </c>
      <c r="AF151" s="4" t="s">
        <v>40</v>
      </c>
      <c r="AG151" s="4" t="s">
        <v>816</v>
      </c>
      <c r="AH151" s="4" t="s">
        <v>58</v>
      </c>
      <c r="AI151" s="4" t="s">
        <v>40</v>
      </c>
      <c r="AJ151" s="4" t="s">
        <v>45</v>
      </c>
      <c r="AK151" s="5" t="s">
        <v>59</v>
      </c>
      <c r="AL151" s="4" t="s">
        <v>76</v>
      </c>
      <c r="AM151" s="5" t="s">
        <v>817</v>
      </c>
      <c r="AN151" s="6" t="str">
        <f>IFERROR(__xludf.DUMMYFUNCTION("TEXT(DATEVALUE(REGEXREPLACE(AM151,""(\d+)(st|nd|rd|th)"",""$1"")),""yyyy-mm-dd"")"),"2023-07-11")</f>
        <v>2023-07-11</v>
      </c>
    </row>
    <row r="152">
      <c r="A152" s="4" t="s">
        <v>341</v>
      </c>
      <c r="B152" s="5" t="s">
        <v>220</v>
      </c>
      <c r="C152" s="5" t="s">
        <v>818</v>
      </c>
      <c r="D152" s="6" t="str">
        <f>IFERROR(__xludf.DUMMYFUNCTION("GOOGLETRANSLATE(C152,""auto"",""en"")"),"CATURRA 21/22 (Coffea Arabica)")</f>
        <v>CATURRA 21/22 (Coffea Arabica)</v>
      </c>
      <c r="E152" s="5" t="s">
        <v>676</v>
      </c>
      <c r="F152" s="5">
        <f>IFERROR(__xludf.DUMMYFUNCTION("SPLIT(E152,""-"")
"),1200.0)</f>
        <v>1200</v>
      </c>
      <c r="G152" s="5">
        <f>IFERROR(__xludf.DUMMYFUNCTION("""COMPUTED_VALUE"""),1580.0)</f>
        <v>1580</v>
      </c>
      <c r="H152" s="5">
        <f t="shared" si="4"/>
        <v>1390</v>
      </c>
      <c r="I152" s="5" t="s">
        <v>677</v>
      </c>
      <c r="J152" s="5" t="str">
        <f t="shared" si="2"/>
        <v>North Of Thailand</v>
      </c>
      <c r="K152" s="4" t="s">
        <v>76</v>
      </c>
      <c r="L152" s="5">
        <v>1.0</v>
      </c>
      <c r="M152" s="5" t="s">
        <v>223</v>
      </c>
      <c r="N152" s="5" t="str">
        <f>IFERROR(__xludf.DUMMYFUNCTION("PROPER(GOOGLETRANSLATE(M152, ""auto"", ""en""))"),"Fabb Academy Of Coffee")</f>
        <v>Fabb Academy Of Coffee</v>
      </c>
      <c r="O152" s="4" t="s">
        <v>94</v>
      </c>
      <c r="P152" s="5" t="str">
        <f t="shared" si="3"/>
        <v>2022</v>
      </c>
      <c r="Q152" s="5" t="s">
        <v>678</v>
      </c>
      <c r="R152" s="6" t="str">
        <f>IFERROR(__xludf.DUMMYFUNCTION("TEXT(DATEVALUE(REGEXREPLACE(Q152,""(\d+)(st|nd|rd|th)"",""$1"")),""yyyy-mm-dd"")"),"2022-07-14")</f>
        <v>2022-07-14</v>
      </c>
      <c r="S152" s="7" t="s">
        <v>175</v>
      </c>
      <c r="T152" s="5" t="s">
        <v>50</v>
      </c>
      <c r="U152" s="5" t="s">
        <v>69</v>
      </c>
      <c r="V152" s="4" t="s">
        <v>724</v>
      </c>
      <c r="W152" s="4" t="s">
        <v>250</v>
      </c>
      <c r="X152" s="4" t="s">
        <v>250</v>
      </c>
      <c r="Y152" s="4" t="s">
        <v>439</v>
      </c>
      <c r="Z152" s="4" t="s">
        <v>167</v>
      </c>
      <c r="AA152" s="4" t="s">
        <v>167</v>
      </c>
      <c r="AB152" s="4" t="s">
        <v>56</v>
      </c>
      <c r="AC152" s="4" t="s">
        <v>56</v>
      </c>
      <c r="AD152" s="4" t="s">
        <v>56</v>
      </c>
      <c r="AE152" s="4" t="s">
        <v>724</v>
      </c>
      <c r="AF152" s="4" t="s">
        <v>40</v>
      </c>
      <c r="AG152" s="4" t="s">
        <v>816</v>
      </c>
      <c r="AH152" s="4" t="s">
        <v>161</v>
      </c>
      <c r="AI152" s="4" t="s">
        <v>45</v>
      </c>
      <c r="AJ152" s="4" t="s">
        <v>40</v>
      </c>
      <c r="AK152" s="5" t="s">
        <v>59</v>
      </c>
      <c r="AL152" s="4" t="s">
        <v>40</v>
      </c>
      <c r="AM152" s="5" t="s">
        <v>680</v>
      </c>
      <c r="AN152" s="6" t="str">
        <f>IFERROR(__xludf.DUMMYFUNCTION("TEXT(DATEVALUE(REGEXREPLACE(AM152,""(\d+)(st|nd|rd|th)"",""$1"")),""yyyy-mm-dd"")"),"2023-07-14")</f>
        <v>2023-07-14</v>
      </c>
    </row>
    <row r="153">
      <c r="A153" s="4" t="s">
        <v>819</v>
      </c>
      <c r="B153" s="5" t="s">
        <v>220</v>
      </c>
      <c r="C153" s="5" t="s">
        <v>820</v>
      </c>
      <c r="D153" s="6" t="str">
        <f>IFERROR(__xludf.DUMMYFUNCTION("GOOGLETRANSLATE(C153,""auto"",""en"")"),"21/22")</f>
        <v>21/22</v>
      </c>
      <c r="E153" s="4" t="s">
        <v>64</v>
      </c>
      <c r="F153" s="5">
        <f>IFERROR(__xludf.DUMMYFUNCTION("SPLIT(E153,""-"")
"),1200.0)</f>
        <v>1200</v>
      </c>
      <c r="G153" s="5"/>
      <c r="H153" s="5">
        <f t="shared" si="4"/>
        <v>1200</v>
      </c>
      <c r="I153" s="5" t="s">
        <v>222</v>
      </c>
      <c r="J153" s="5" t="str">
        <f t="shared" si="2"/>
        <v>Chiang Mai</v>
      </c>
      <c r="K153" s="4" t="s">
        <v>115</v>
      </c>
      <c r="L153" s="5">
        <v>50.0</v>
      </c>
      <c r="M153" s="5" t="s">
        <v>821</v>
      </c>
      <c r="N153" s="5" t="str">
        <f>IFERROR(__xludf.DUMMYFUNCTION("PROPER(GOOGLETRANSLATE(M153, ""auto"", ""en""))"),"Specialty Coffee Institute Of Thailand")</f>
        <v>Specialty Coffee Institute Of Thailand</v>
      </c>
      <c r="O153" s="5" t="s">
        <v>47</v>
      </c>
      <c r="P153" s="5" t="str">
        <f t="shared" si="3"/>
        <v>2021</v>
      </c>
      <c r="Q153" s="5" t="s">
        <v>822</v>
      </c>
      <c r="R153" s="6" t="str">
        <f>IFERROR(__xludf.DUMMYFUNCTION("TEXT(DATEVALUE(REGEXREPLACE(Q153,""(\d+)(st|nd|rd|th)"",""$1"")),""yyyy-mm-dd"")"),"2022-06-14")</f>
        <v>2022-06-14</v>
      </c>
      <c r="S153" s="7" t="s">
        <v>823</v>
      </c>
      <c r="T153" s="5" t="s">
        <v>50</v>
      </c>
      <c r="U153" s="5" t="s">
        <v>123</v>
      </c>
      <c r="V153" s="4" t="s">
        <v>439</v>
      </c>
      <c r="W153" s="4" t="s">
        <v>250</v>
      </c>
      <c r="X153" s="4" t="s">
        <v>439</v>
      </c>
      <c r="Y153" s="4" t="s">
        <v>611</v>
      </c>
      <c r="Z153" s="4" t="s">
        <v>439</v>
      </c>
      <c r="AA153" s="4" t="s">
        <v>250</v>
      </c>
      <c r="AB153" s="4" t="s">
        <v>56</v>
      </c>
      <c r="AC153" s="4" t="s">
        <v>56</v>
      </c>
      <c r="AD153" s="4" t="s">
        <v>56</v>
      </c>
      <c r="AE153" s="4" t="s">
        <v>250</v>
      </c>
      <c r="AF153" s="4" t="s">
        <v>40</v>
      </c>
      <c r="AG153" s="4" t="s">
        <v>816</v>
      </c>
      <c r="AH153" s="4" t="s">
        <v>397</v>
      </c>
      <c r="AI153" s="4" t="s">
        <v>40</v>
      </c>
      <c r="AJ153" s="4" t="s">
        <v>40</v>
      </c>
      <c r="AK153" s="5" t="s">
        <v>105</v>
      </c>
      <c r="AL153" s="4" t="s">
        <v>40</v>
      </c>
      <c r="AM153" s="5" t="s">
        <v>824</v>
      </c>
      <c r="AN153" s="6" t="str">
        <f>IFERROR(__xludf.DUMMYFUNCTION("TEXT(DATEVALUE(REGEXREPLACE(AM153,""(\d+)(st|nd|rd|th)"",""$1"")),""yyyy-mm-dd"")"),"2023-06-14")</f>
        <v>2023-06-14</v>
      </c>
    </row>
    <row r="154">
      <c r="A154" s="4" t="s">
        <v>825</v>
      </c>
      <c r="B154" s="5" t="s">
        <v>472</v>
      </c>
      <c r="C154" s="4" t="s">
        <v>826</v>
      </c>
      <c r="D154" s="6" t="str">
        <f>IFERROR(__xludf.DUMMYFUNCTION("GOOGLETRANSLATE(C154,""auto"",""en"")"),"197")</f>
        <v>197</v>
      </c>
      <c r="E154" s="4" t="s">
        <v>459</v>
      </c>
      <c r="F154" s="5">
        <f>IFERROR(__xludf.DUMMYFUNCTION("SPLIT(E154,""-"")
"),1450.0)</f>
        <v>1450</v>
      </c>
      <c r="G154" s="5"/>
      <c r="H154" s="5">
        <f t="shared" si="4"/>
        <v>1450</v>
      </c>
      <c r="I154" s="5" t="s">
        <v>827</v>
      </c>
      <c r="J154" s="5" t="str">
        <f t="shared" si="2"/>
        <v>Los Planes De Santa Maria La Paz</v>
      </c>
      <c r="K154" s="4" t="s">
        <v>767</v>
      </c>
      <c r="L154" s="5">
        <v>69.0</v>
      </c>
      <c r="M154" s="5" t="s">
        <v>476</v>
      </c>
      <c r="N154" s="5" t="str">
        <f>IFERROR(__xludf.DUMMYFUNCTION("PROPER(GOOGLETRANSLATE(M154, ""auto"", ""en""))"),"Honduran Coffee Institute")</f>
        <v>Honduran Coffee Institute</v>
      </c>
      <c r="O154" s="5" t="s">
        <v>136</v>
      </c>
      <c r="P154" s="5" t="str">
        <f t="shared" si="3"/>
        <v>2022</v>
      </c>
      <c r="Q154" s="5" t="s">
        <v>477</v>
      </c>
      <c r="R154" s="6" t="str">
        <f>IFERROR(__xludf.DUMMYFUNCTION("TEXT(DATEVALUE(REGEXREPLACE(Q154,""(\d+)(st|nd|rd|th)"",""$1"")),""yyyy-mm-dd"")"),"2023-04-25")</f>
        <v>2023-04-25</v>
      </c>
      <c r="S154" s="7" t="s">
        <v>359</v>
      </c>
      <c r="T154" s="5" t="s">
        <v>50</v>
      </c>
      <c r="U154" s="5" t="s">
        <v>69</v>
      </c>
      <c r="V154" s="4" t="s">
        <v>167</v>
      </c>
      <c r="W154" s="4" t="s">
        <v>250</v>
      </c>
      <c r="X154" s="4" t="s">
        <v>724</v>
      </c>
      <c r="Y154" s="4" t="s">
        <v>439</v>
      </c>
      <c r="Z154" s="4" t="s">
        <v>250</v>
      </c>
      <c r="AA154" s="4" t="s">
        <v>439</v>
      </c>
      <c r="AB154" s="4" t="s">
        <v>56</v>
      </c>
      <c r="AC154" s="4" t="s">
        <v>56</v>
      </c>
      <c r="AD154" s="4" t="s">
        <v>56</v>
      </c>
      <c r="AE154" s="4" t="s">
        <v>439</v>
      </c>
      <c r="AF154" s="4" t="s">
        <v>40</v>
      </c>
      <c r="AG154" s="4" t="s">
        <v>816</v>
      </c>
      <c r="AH154" s="4" t="s">
        <v>445</v>
      </c>
      <c r="AI154" s="4" t="s">
        <v>40</v>
      </c>
      <c r="AJ154" s="4" t="s">
        <v>40</v>
      </c>
      <c r="AK154" s="5" t="s">
        <v>59</v>
      </c>
      <c r="AL154" s="4" t="s">
        <v>76</v>
      </c>
      <c r="AM154" s="5" t="s">
        <v>478</v>
      </c>
      <c r="AN154" s="6" t="str">
        <f>IFERROR(__xludf.DUMMYFUNCTION("TEXT(DATEVALUE(REGEXREPLACE(AM154,""(\d+)(st|nd|rd|th)"",""$1"")),""yyyy-mm-dd"")"),"2024-04-24")</f>
        <v>2024-04-24</v>
      </c>
    </row>
    <row r="155">
      <c r="A155" s="4" t="s">
        <v>828</v>
      </c>
      <c r="B155" s="5" t="s">
        <v>62</v>
      </c>
      <c r="C155" s="5" t="s">
        <v>829</v>
      </c>
      <c r="D155" s="6" t="str">
        <f>IFERROR(__xludf.DUMMYFUNCTION("GOOGLETRANSLATE(C155,""auto"",""en"")"),"A01-Northern Taiwan Specialty Coffee Evaluation")</f>
        <v>A01-Northern Taiwan Specialty Coffee Evaluation</v>
      </c>
      <c r="E155" s="4" t="s">
        <v>830</v>
      </c>
      <c r="F155" s="5">
        <f>IFERROR(__xludf.DUMMYFUNCTION("SPLIT(E155,""-"")
"),165.0)</f>
        <v>165</v>
      </c>
      <c r="G155" s="5"/>
      <c r="H155" s="5">
        <f t="shared" si="4"/>
        <v>165</v>
      </c>
      <c r="I155" s="5" t="s">
        <v>327</v>
      </c>
      <c r="J155" s="5" t="str">
        <f t="shared" si="2"/>
        <v>苗栗縣</v>
      </c>
      <c r="K155" s="4" t="s">
        <v>45</v>
      </c>
      <c r="L155" s="5">
        <v>4.0</v>
      </c>
      <c r="M155" s="5" t="s">
        <v>66</v>
      </c>
      <c r="N155" s="5" t="str">
        <f>IFERROR(__xludf.DUMMYFUNCTION("PROPER(GOOGLETRANSLATE(M155, ""auto"", ""en""))"),"Taiwan Coffee Laboratory")</f>
        <v>Taiwan Coffee Laboratory</v>
      </c>
      <c r="O155" s="5" t="s">
        <v>47</v>
      </c>
      <c r="P155" s="5" t="str">
        <f t="shared" si="3"/>
        <v>2021</v>
      </c>
      <c r="Q155" s="5" t="s">
        <v>243</v>
      </c>
      <c r="R155" s="6" t="str">
        <f>IFERROR(__xludf.DUMMYFUNCTION("TEXT(DATEVALUE(REGEXREPLACE(Q155,""(\d+)(st|nd|rd|th)"",""$1"")),""yyyy-mm-dd"")"),"2023-01-06")</f>
        <v>2023-01-06</v>
      </c>
      <c r="S155" s="7" t="s">
        <v>234</v>
      </c>
      <c r="T155" s="5" t="s">
        <v>50</v>
      </c>
      <c r="U155" s="5" t="s">
        <v>123</v>
      </c>
      <c r="V155" s="4" t="s">
        <v>167</v>
      </c>
      <c r="W155" s="4" t="s">
        <v>167</v>
      </c>
      <c r="X155" s="4" t="s">
        <v>611</v>
      </c>
      <c r="Y155" s="4" t="s">
        <v>611</v>
      </c>
      <c r="Z155" s="4" t="s">
        <v>611</v>
      </c>
      <c r="AA155" s="4" t="s">
        <v>439</v>
      </c>
      <c r="AB155" s="4" t="s">
        <v>56</v>
      </c>
      <c r="AC155" s="4" t="s">
        <v>56</v>
      </c>
      <c r="AD155" s="4" t="s">
        <v>56</v>
      </c>
      <c r="AE155" s="4" t="s">
        <v>439</v>
      </c>
      <c r="AF155" s="4" t="s">
        <v>40</v>
      </c>
      <c r="AG155" s="4" t="s">
        <v>831</v>
      </c>
      <c r="AH155" s="4" t="s">
        <v>226</v>
      </c>
      <c r="AI155" s="4" t="s">
        <v>40</v>
      </c>
      <c r="AJ155" s="4" t="s">
        <v>40</v>
      </c>
      <c r="AK155" s="5" t="s">
        <v>59</v>
      </c>
      <c r="AL155" s="4" t="s">
        <v>40</v>
      </c>
      <c r="AM155" s="5" t="s">
        <v>245</v>
      </c>
      <c r="AN155" s="6" t="str">
        <f>IFERROR(__xludf.DUMMYFUNCTION("TEXT(DATEVALUE(REGEXREPLACE(AM155,""(\d+)(st|nd|rd|th)"",""$1"")),""yyyy-mm-dd"")"),"2024-01-06")</f>
        <v>2024-01-06</v>
      </c>
    </row>
    <row r="156">
      <c r="A156" s="4" t="s">
        <v>832</v>
      </c>
      <c r="B156" s="5" t="s">
        <v>62</v>
      </c>
      <c r="C156" s="5" t="s">
        <v>833</v>
      </c>
      <c r="D156" s="6" t="str">
        <f>IFERROR(__xludf.DUMMYFUNCTION("GOOGLETRANSLATE(C156,""auto"",""en"")"),"A22-Northern Taiwan Specialty Coffee Evaluation")</f>
        <v>A22-Northern Taiwan Specialty Coffee Evaluation</v>
      </c>
      <c r="E156" s="4" t="s">
        <v>834</v>
      </c>
      <c r="F156" s="5">
        <f>IFERROR(__xludf.DUMMYFUNCTION("SPLIT(E156,""-"")
"),465.0)</f>
        <v>465</v>
      </c>
      <c r="G156" s="5"/>
      <c r="H156" s="5">
        <f t="shared" si="4"/>
        <v>465</v>
      </c>
      <c r="I156" s="5" t="s">
        <v>327</v>
      </c>
      <c r="J156" s="5" t="str">
        <f t="shared" si="2"/>
        <v>苗栗縣</v>
      </c>
      <c r="K156" s="4" t="s">
        <v>45</v>
      </c>
      <c r="L156" s="5">
        <v>32.0</v>
      </c>
      <c r="M156" s="5" t="s">
        <v>66</v>
      </c>
      <c r="N156" s="5" t="str">
        <f>IFERROR(__xludf.DUMMYFUNCTION("PROPER(GOOGLETRANSLATE(M156, ""auto"", ""en""))"),"Taiwan Coffee Laboratory")</f>
        <v>Taiwan Coffee Laboratory</v>
      </c>
      <c r="O156" s="5" t="s">
        <v>47</v>
      </c>
      <c r="P156" s="5" t="str">
        <f t="shared" si="3"/>
        <v>2021</v>
      </c>
      <c r="Q156" s="5" t="s">
        <v>243</v>
      </c>
      <c r="R156" s="6" t="str">
        <f>IFERROR(__xludf.DUMMYFUNCTION("TEXT(DATEVALUE(REGEXREPLACE(Q156,""(\d+)(st|nd|rd|th)"",""$1"")),""yyyy-mm-dd"")"),"2023-01-06")</f>
        <v>2023-01-06</v>
      </c>
      <c r="S156" s="7" t="s">
        <v>175</v>
      </c>
      <c r="T156" s="5" t="s">
        <v>50</v>
      </c>
      <c r="U156" s="5" t="s">
        <v>69</v>
      </c>
      <c r="V156" s="4" t="s">
        <v>167</v>
      </c>
      <c r="W156" s="4" t="s">
        <v>250</v>
      </c>
      <c r="X156" s="4" t="s">
        <v>611</v>
      </c>
      <c r="Y156" s="4" t="s">
        <v>611</v>
      </c>
      <c r="Z156" s="4" t="s">
        <v>439</v>
      </c>
      <c r="AA156" s="4" t="s">
        <v>439</v>
      </c>
      <c r="AB156" s="4" t="s">
        <v>56</v>
      </c>
      <c r="AC156" s="4" t="s">
        <v>56</v>
      </c>
      <c r="AD156" s="4" t="s">
        <v>56</v>
      </c>
      <c r="AE156" s="4" t="s">
        <v>439</v>
      </c>
      <c r="AF156" s="4" t="s">
        <v>40</v>
      </c>
      <c r="AG156" s="4" t="s">
        <v>831</v>
      </c>
      <c r="AH156" s="4" t="s">
        <v>654</v>
      </c>
      <c r="AI156" s="4" t="s">
        <v>40</v>
      </c>
      <c r="AJ156" s="4" t="s">
        <v>40</v>
      </c>
      <c r="AK156" s="5" t="s">
        <v>74</v>
      </c>
      <c r="AL156" s="4" t="s">
        <v>76</v>
      </c>
      <c r="AM156" s="5" t="s">
        <v>245</v>
      </c>
      <c r="AN156" s="6" t="str">
        <f>IFERROR(__xludf.DUMMYFUNCTION("TEXT(DATEVALUE(REGEXREPLACE(AM156,""(\d+)(st|nd|rd|th)"",""$1"")),""yyyy-mm-dd"")"),"2024-01-06")</f>
        <v>2024-01-06</v>
      </c>
    </row>
    <row r="157">
      <c r="A157" s="4" t="s">
        <v>835</v>
      </c>
      <c r="B157" s="5" t="s">
        <v>449</v>
      </c>
      <c r="C157" s="5" t="s">
        <v>836</v>
      </c>
      <c r="D157" s="6" t="str">
        <f>IFERROR(__xludf.DUMMYFUNCTION("GOOGLETRANSLATE(C157,""auto"",""en"")"),"4 -3.1")</f>
        <v>4 -3.1</v>
      </c>
      <c r="E157" s="4" t="s">
        <v>231</v>
      </c>
      <c r="F157" s="5">
        <f>IFERROR(__xludf.DUMMYFUNCTION("SPLIT(E157,""-"")
"),1350.0)</f>
        <v>1350</v>
      </c>
      <c r="G157" s="5"/>
      <c r="H157" s="5">
        <f t="shared" si="4"/>
        <v>1350</v>
      </c>
      <c r="I157" s="5" t="s">
        <v>451</v>
      </c>
      <c r="J157" s="5" t="str">
        <f t="shared" si="2"/>
        <v>Esteli</v>
      </c>
      <c r="K157" s="4" t="s">
        <v>700</v>
      </c>
      <c r="L157" s="5">
        <v>45.0</v>
      </c>
      <c r="M157" s="5" t="s">
        <v>453</v>
      </c>
      <c r="N157" s="5" t="str">
        <f>IFERROR(__xludf.DUMMYFUNCTION("PROPER(GOOGLETRANSLATE(M157, ""auto"", ""en""))"),"Specialty Coffee Association")</f>
        <v>Specialty Coffee Association</v>
      </c>
      <c r="O157" s="5" t="s">
        <v>47</v>
      </c>
      <c r="P157" s="5" t="str">
        <f t="shared" si="3"/>
        <v>2021</v>
      </c>
      <c r="Q157" s="5" t="s">
        <v>837</v>
      </c>
      <c r="R157" s="6" t="str">
        <f>IFERROR(__xludf.DUMMYFUNCTION("TEXT(DATEVALUE(REGEXREPLACE(Q157,""(\d+)(st|nd|rd|th)"",""$1"")),""yyyy-mm-dd"")"),"2022-06-20")</f>
        <v>2022-06-20</v>
      </c>
      <c r="S157" s="7" t="s">
        <v>648</v>
      </c>
      <c r="T157" s="5" t="s">
        <v>50</v>
      </c>
      <c r="U157" s="5" t="s">
        <v>69</v>
      </c>
      <c r="V157" s="4" t="s">
        <v>439</v>
      </c>
      <c r="W157" s="4" t="s">
        <v>250</v>
      </c>
      <c r="X157" s="4" t="s">
        <v>611</v>
      </c>
      <c r="Y157" s="4" t="s">
        <v>250</v>
      </c>
      <c r="Z157" s="4" t="s">
        <v>439</v>
      </c>
      <c r="AA157" s="4" t="s">
        <v>250</v>
      </c>
      <c r="AB157" s="4" t="s">
        <v>56</v>
      </c>
      <c r="AC157" s="4" t="s">
        <v>56</v>
      </c>
      <c r="AD157" s="4" t="s">
        <v>56</v>
      </c>
      <c r="AE157" s="4" t="s">
        <v>611</v>
      </c>
      <c r="AF157" s="4" t="s">
        <v>40</v>
      </c>
      <c r="AG157" s="4" t="s">
        <v>831</v>
      </c>
      <c r="AH157" s="4" t="s">
        <v>345</v>
      </c>
      <c r="AI157" s="4" t="s">
        <v>40</v>
      </c>
      <c r="AJ157" s="4" t="s">
        <v>40</v>
      </c>
      <c r="AK157" s="5" t="s">
        <v>59</v>
      </c>
      <c r="AL157" s="4" t="s">
        <v>40</v>
      </c>
      <c r="AM157" s="5" t="s">
        <v>838</v>
      </c>
      <c r="AN157" s="6" t="str">
        <f>IFERROR(__xludf.DUMMYFUNCTION("TEXT(DATEVALUE(REGEXREPLACE(AM157,""(\d+)(st|nd|rd|th)"",""$1"")),""yyyy-mm-dd"")"),"2023-06-20")</f>
        <v>2023-06-20</v>
      </c>
    </row>
    <row r="158">
      <c r="A158" s="4" t="s">
        <v>839</v>
      </c>
      <c r="B158" s="5" t="s">
        <v>504</v>
      </c>
      <c r="C158" s="4" t="s">
        <v>840</v>
      </c>
      <c r="D158" s="6" t="str">
        <f>IFERROR(__xludf.DUMMYFUNCTION("GOOGLETRANSLATE(C158,""auto"",""en"")"),"Jan-26")</f>
        <v>Jan-26</v>
      </c>
      <c r="E158" s="4" t="s">
        <v>64</v>
      </c>
      <c r="F158" s="5">
        <f>IFERROR(__xludf.DUMMYFUNCTION("SPLIT(E158,""-"")
"),1200.0)</f>
        <v>1200</v>
      </c>
      <c r="G158" s="5"/>
      <c r="H158" s="5">
        <f t="shared" si="4"/>
        <v>1200</v>
      </c>
      <c r="I158" s="5" t="s">
        <v>841</v>
      </c>
      <c r="J158" s="5" t="str">
        <f t="shared" si="2"/>
        <v>Apaneca - Ilamatepec</v>
      </c>
      <c r="K158" s="4" t="s">
        <v>257</v>
      </c>
      <c r="L158" s="5">
        <v>30.0</v>
      </c>
      <c r="M158" s="5" t="s">
        <v>842</v>
      </c>
      <c r="N158" s="5" t="str">
        <f>IFERROR(__xludf.DUMMYFUNCTION("PROPER(GOOGLETRANSLATE(M158, ""auto"", ""en""))"),"Salvadoran Coffee Council")</f>
        <v>Salvadoran Coffee Council</v>
      </c>
      <c r="O158" s="5" t="s">
        <v>136</v>
      </c>
      <c r="P158" s="5" t="str">
        <f t="shared" si="3"/>
        <v>2022</v>
      </c>
      <c r="Q158" s="5" t="s">
        <v>843</v>
      </c>
      <c r="R158" s="6" t="str">
        <f>IFERROR(__xludf.DUMMYFUNCTION("TEXT(DATEVALUE(REGEXREPLACE(Q158,""(\d+)(st|nd|rd|th)"",""$1"")),""yyyy-mm-dd"")"),"2023-03-03")</f>
        <v>2023-03-03</v>
      </c>
      <c r="S158" s="7" t="s">
        <v>138</v>
      </c>
      <c r="T158" s="5" t="s">
        <v>50</v>
      </c>
      <c r="U158" s="5" t="s">
        <v>69</v>
      </c>
      <c r="V158" s="4" t="s">
        <v>167</v>
      </c>
      <c r="W158" s="4" t="s">
        <v>724</v>
      </c>
      <c r="X158" s="4" t="s">
        <v>795</v>
      </c>
      <c r="Y158" s="4" t="s">
        <v>167</v>
      </c>
      <c r="Z158" s="4" t="s">
        <v>112</v>
      </c>
      <c r="AA158" s="4" t="s">
        <v>439</v>
      </c>
      <c r="AB158" s="4" t="s">
        <v>56</v>
      </c>
      <c r="AC158" s="4" t="s">
        <v>56</v>
      </c>
      <c r="AD158" s="4" t="s">
        <v>56</v>
      </c>
      <c r="AE158" s="4" t="s">
        <v>724</v>
      </c>
      <c r="AF158" s="4" t="s">
        <v>40</v>
      </c>
      <c r="AG158" s="4" t="s">
        <v>844</v>
      </c>
      <c r="AH158" s="4" t="s">
        <v>189</v>
      </c>
      <c r="AI158" s="4" t="s">
        <v>40</v>
      </c>
      <c r="AJ158" s="4" t="s">
        <v>40</v>
      </c>
      <c r="AK158" s="5" t="s">
        <v>59</v>
      </c>
      <c r="AL158" s="4" t="s">
        <v>76</v>
      </c>
      <c r="AM158" s="5" t="s">
        <v>845</v>
      </c>
      <c r="AN158" s="6" t="str">
        <f>IFERROR(__xludf.DUMMYFUNCTION("TEXT(DATEVALUE(REGEXREPLACE(AM158,""(\d+)(st|nd|rd|th)"",""$1"")),""yyyy-mm-dd"")"),"2024-03-02")</f>
        <v>2024-03-02</v>
      </c>
    </row>
    <row r="159">
      <c r="A159" s="4" t="s">
        <v>846</v>
      </c>
      <c r="B159" s="5" t="s">
        <v>413</v>
      </c>
      <c r="C159" s="5" t="s">
        <v>847</v>
      </c>
      <c r="D159" s="6" t="str">
        <f>IFERROR(__xludf.DUMMYFUNCTION("GOOGLETRANSLATE(C159,""auto"",""en"")"),"P03769")</f>
        <v>P03769</v>
      </c>
      <c r="E159" s="4" t="s">
        <v>64</v>
      </c>
      <c r="F159" s="5">
        <f>IFERROR(__xludf.DUMMYFUNCTION("SPLIT(E159,""-"")
"),1200.0)</f>
        <v>1200</v>
      </c>
      <c r="G159" s="5"/>
      <c r="H159" s="5">
        <f t="shared" si="4"/>
        <v>1200</v>
      </c>
      <c r="I159" s="5" t="s">
        <v>415</v>
      </c>
      <c r="J159" s="5" t="str">
        <f t="shared" si="2"/>
        <v>Boquete</v>
      </c>
      <c r="K159" s="4" t="s">
        <v>205</v>
      </c>
      <c r="L159" s="5">
        <v>30.0</v>
      </c>
      <c r="M159" s="5" t="s">
        <v>416</v>
      </c>
      <c r="N159" s="5" t="str">
        <f>IFERROR(__xludf.DUMMYFUNCTION("PROPER(GOOGLETRANSLATE(M159, ""auto"", ""en""))"),"Specialty Coffee Association Of Costa Rica")</f>
        <v>Specialty Coffee Association Of Costa Rica</v>
      </c>
      <c r="O159" s="5" t="s">
        <v>47</v>
      </c>
      <c r="P159" s="5" t="str">
        <f t="shared" si="3"/>
        <v>2021</v>
      </c>
      <c r="Q159" s="5" t="s">
        <v>848</v>
      </c>
      <c r="R159" s="6" t="str">
        <f>IFERROR(__xludf.DUMMYFUNCTION("TEXT(DATEVALUE(REGEXREPLACE(Q159,""(\d+)(st|nd|rd|th)"",""$1"")),""yyyy-mm-dd"")"),"2022-05-25")</f>
        <v>2022-05-25</v>
      </c>
      <c r="S159" s="7" t="s">
        <v>175</v>
      </c>
      <c r="T159" s="5" t="s">
        <v>50</v>
      </c>
      <c r="U159" s="5" t="s">
        <v>69</v>
      </c>
      <c r="V159" s="4" t="s">
        <v>154</v>
      </c>
      <c r="W159" s="4" t="s">
        <v>167</v>
      </c>
      <c r="X159" s="4" t="s">
        <v>795</v>
      </c>
      <c r="Y159" s="4" t="s">
        <v>167</v>
      </c>
      <c r="Z159" s="4" t="s">
        <v>611</v>
      </c>
      <c r="AA159" s="4" t="s">
        <v>611</v>
      </c>
      <c r="AB159" s="4" t="s">
        <v>56</v>
      </c>
      <c r="AC159" s="4" t="s">
        <v>56</v>
      </c>
      <c r="AD159" s="4" t="s">
        <v>56</v>
      </c>
      <c r="AE159" s="4" t="s">
        <v>611</v>
      </c>
      <c r="AF159" s="4" t="s">
        <v>40</v>
      </c>
      <c r="AG159" s="4" t="s">
        <v>844</v>
      </c>
      <c r="AH159" s="4" t="s">
        <v>56</v>
      </c>
      <c r="AI159" s="4" t="s">
        <v>40</v>
      </c>
      <c r="AJ159" s="4" t="s">
        <v>40</v>
      </c>
      <c r="AK159" s="5" t="s">
        <v>59</v>
      </c>
      <c r="AL159" s="4" t="s">
        <v>40</v>
      </c>
      <c r="AM159" s="5" t="s">
        <v>849</v>
      </c>
      <c r="AN159" s="6" t="str">
        <f>IFERROR(__xludf.DUMMYFUNCTION("TEXT(DATEVALUE(REGEXREPLACE(AM159,""(\d+)(st|nd|rd|th)"",""$1"")),""yyyy-mm-dd"")"),"2023-05-25")</f>
        <v>2023-05-25</v>
      </c>
    </row>
    <row r="160">
      <c r="A160" s="4" t="s">
        <v>850</v>
      </c>
      <c r="B160" s="5" t="s">
        <v>239</v>
      </c>
      <c r="C160" s="5" t="s">
        <v>851</v>
      </c>
      <c r="D160" s="6" t="str">
        <f>IFERROR(__xludf.DUMMYFUNCTION("GOOGLETRANSLATE(C160,""auto"",""en"")"),"MVB-QCert-001/2022")</f>
        <v>MVB-QCert-001/2022</v>
      </c>
      <c r="E160" s="4" t="s">
        <v>179</v>
      </c>
      <c r="F160" s="5">
        <f>IFERROR(__xludf.DUMMYFUNCTION("SPLIT(E160,""-"")
"),1100.0)</f>
        <v>1100</v>
      </c>
      <c r="G160" s="5"/>
      <c r="H160" s="5">
        <f t="shared" si="4"/>
        <v>1100</v>
      </c>
      <c r="I160" s="5" t="s">
        <v>852</v>
      </c>
      <c r="J160" s="5" t="str">
        <f t="shared" si="2"/>
        <v>Mantiqueira / Sul De Minas</v>
      </c>
      <c r="K160" s="4" t="s">
        <v>395</v>
      </c>
      <c r="L160" s="5">
        <v>30.0</v>
      </c>
      <c r="M160" s="5" t="s">
        <v>242</v>
      </c>
      <c r="N160" s="5" t="str">
        <f>IFERROR(__xludf.DUMMYFUNCTION("PROPER(GOOGLETRANSLATE(M160, ""auto"", ""en""))"),"Brazil Specialty Coffee Association")</f>
        <v>Brazil Specialty Coffee Association</v>
      </c>
      <c r="O160" s="5" t="s">
        <v>136</v>
      </c>
      <c r="P160" s="5" t="str">
        <f t="shared" si="3"/>
        <v>2022</v>
      </c>
      <c r="Q160" s="5" t="s">
        <v>853</v>
      </c>
      <c r="R160" s="6" t="str">
        <f>IFERROR(__xludf.DUMMYFUNCTION("TEXT(DATEVALUE(REGEXREPLACE(Q160,""(\d+)(st|nd|rd|th)"",""$1"")),""yyyy-mm-dd"")"),"2022-11-03")</f>
        <v>2022-11-03</v>
      </c>
      <c r="S160" s="7" t="s">
        <v>733</v>
      </c>
      <c r="T160" s="5" t="s">
        <v>50</v>
      </c>
      <c r="U160" s="5" t="s">
        <v>123</v>
      </c>
      <c r="V160" s="4" t="s">
        <v>439</v>
      </c>
      <c r="W160" s="4" t="s">
        <v>250</v>
      </c>
      <c r="X160" s="4" t="s">
        <v>439</v>
      </c>
      <c r="Y160" s="4" t="s">
        <v>439</v>
      </c>
      <c r="Z160" s="4" t="s">
        <v>167</v>
      </c>
      <c r="AA160" s="4" t="s">
        <v>611</v>
      </c>
      <c r="AB160" s="4" t="s">
        <v>56</v>
      </c>
      <c r="AC160" s="4" t="s">
        <v>56</v>
      </c>
      <c r="AD160" s="4" t="s">
        <v>56</v>
      </c>
      <c r="AE160" s="4" t="s">
        <v>724</v>
      </c>
      <c r="AF160" s="4" t="s">
        <v>40</v>
      </c>
      <c r="AG160" s="4" t="s">
        <v>844</v>
      </c>
      <c r="AH160" s="4" t="s">
        <v>58</v>
      </c>
      <c r="AI160" s="4" t="s">
        <v>40</v>
      </c>
      <c r="AJ160" s="4" t="s">
        <v>45</v>
      </c>
      <c r="AK160" s="5" t="s">
        <v>74</v>
      </c>
      <c r="AL160" s="4" t="s">
        <v>45</v>
      </c>
      <c r="AM160" s="5" t="s">
        <v>854</v>
      </c>
      <c r="AN160" s="6" t="str">
        <f>IFERROR(__xludf.DUMMYFUNCTION("TEXT(DATEVALUE(REGEXREPLACE(AM160,""(\d+)(st|nd|rd|th)"",""$1"")),""yyyy-mm-dd"")"),"2023-11-03")</f>
        <v>2023-11-03</v>
      </c>
    </row>
    <row r="161">
      <c r="A161" s="4" t="s">
        <v>855</v>
      </c>
      <c r="B161" s="5" t="s">
        <v>255</v>
      </c>
      <c r="C161" s="5" t="s">
        <v>856</v>
      </c>
      <c r="D161" s="6" t="str">
        <f>IFERROR(__xludf.DUMMYFUNCTION("GOOGLETRANSLATE(C161,""auto"",""en"")"),"The 2022 Pacific Rim Coffee Summit,US03")</f>
        <v>The 2022 Pacific Rim Coffee Summit,US03</v>
      </c>
      <c r="E161" s="4" t="s">
        <v>857</v>
      </c>
      <c r="F161" s="5">
        <f>IFERROR(__xludf.DUMMYFUNCTION("SPLIT(E161,""-"")
"),640.0)</f>
        <v>640</v>
      </c>
      <c r="G161" s="5"/>
      <c r="H161" s="5">
        <f t="shared" si="4"/>
        <v>640</v>
      </c>
      <c r="I161" s="5" t="s">
        <v>258</v>
      </c>
      <c r="J161" s="5" t="str">
        <f t="shared" si="2"/>
        <v>Kona</v>
      </c>
      <c r="K161" s="4" t="s">
        <v>96</v>
      </c>
      <c r="L161" s="5">
        <v>15.0</v>
      </c>
      <c r="M161" s="5" t="s">
        <v>66</v>
      </c>
      <c r="N161" s="5" t="str">
        <f>IFERROR(__xludf.DUMMYFUNCTION("PROPER(GOOGLETRANSLATE(M161, ""auto"", ""en""))"),"Taiwan Coffee Laboratory")</f>
        <v>Taiwan Coffee Laboratory</v>
      </c>
      <c r="O161" s="4" t="s">
        <v>94</v>
      </c>
      <c r="P161" s="5" t="str">
        <f t="shared" si="3"/>
        <v>2022</v>
      </c>
      <c r="Q161" s="5" t="s">
        <v>67</v>
      </c>
      <c r="R161" s="6" t="str">
        <f>IFERROR(__xludf.DUMMYFUNCTION("TEXT(DATEVALUE(REGEXREPLACE(Q161,""(\d+)(st|nd|rd|th)"",""$1"")),""yyyy-mm-dd"")"),"2022-11-15")</f>
        <v>2022-11-15</v>
      </c>
      <c r="S161" s="7" t="s">
        <v>858</v>
      </c>
      <c r="T161" s="5" t="s">
        <v>50</v>
      </c>
      <c r="U161" s="5" t="s">
        <v>69</v>
      </c>
      <c r="V161" s="4" t="s">
        <v>724</v>
      </c>
      <c r="W161" s="4" t="s">
        <v>250</v>
      </c>
      <c r="X161" s="4" t="s">
        <v>439</v>
      </c>
      <c r="Y161" s="4" t="s">
        <v>439</v>
      </c>
      <c r="Z161" s="4" t="s">
        <v>439</v>
      </c>
      <c r="AA161" s="4" t="s">
        <v>250</v>
      </c>
      <c r="AB161" s="4" t="s">
        <v>56</v>
      </c>
      <c r="AC161" s="4" t="s">
        <v>56</v>
      </c>
      <c r="AD161" s="4" t="s">
        <v>56</v>
      </c>
      <c r="AE161" s="4" t="s">
        <v>439</v>
      </c>
      <c r="AF161" s="4" t="s">
        <v>40</v>
      </c>
      <c r="AG161" s="4" t="s">
        <v>844</v>
      </c>
      <c r="AH161" s="4" t="s">
        <v>367</v>
      </c>
      <c r="AI161" s="4" t="s">
        <v>40</v>
      </c>
      <c r="AJ161" s="4" t="s">
        <v>40</v>
      </c>
      <c r="AK161" s="5" t="s">
        <v>74</v>
      </c>
      <c r="AL161" s="4" t="s">
        <v>45</v>
      </c>
      <c r="AM161" s="5" t="s">
        <v>75</v>
      </c>
      <c r="AN161" s="6" t="str">
        <f>IFERROR(__xludf.DUMMYFUNCTION("TEXT(DATEVALUE(REGEXREPLACE(AM161,""(\d+)(st|nd|rd|th)"",""$1"")),""yyyy-mm-dd"")"),"2023-11-15")</f>
        <v>2023-11-15</v>
      </c>
    </row>
    <row r="162">
      <c r="A162" s="4" t="s">
        <v>859</v>
      </c>
      <c r="B162" s="5" t="s">
        <v>623</v>
      </c>
      <c r="C162" s="5" t="s">
        <v>860</v>
      </c>
      <c r="D162" s="6" t="str">
        <f>IFERROR(__xludf.DUMMYFUNCTION("GOOGLETRANSLATE(C162,""auto"",""en"")"),"The 2022 Pacific Rim Coffee Summit,MX01")</f>
        <v>The 2022 Pacific Rim Coffee Summit,MX01</v>
      </c>
      <c r="E162" s="4" t="s">
        <v>861</v>
      </c>
      <c r="F162" s="5">
        <f>IFERROR(__xludf.DUMMYFUNCTION("SPLIT(E162,""-"")
"),1340.0)</f>
        <v>1340</v>
      </c>
      <c r="G162" s="5"/>
      <c r="H162" s="5">
        <f t="shared" si="4"/>
        <v>1340</v>
      </c>
      <c r="I162" s="5" t="s">
        <v>862</v>
      </c>
      <c r="J162" s="5" t="str">
        <f t="shared" si="2"/>
        <v>Veracruz</v>
      </c>
      <c r="K162" s="4" t="s">
        <v>56</v>
      </c>
      <c r="L162" s="5">
        <v>15.0</v>
      </c>
      <c r="M162" s="5" t="s">
        <v>66</v>
      </c>
      <c r="N162" s="5" t="str">
        <f>IFERROR(__xludf.DUMMYFUNCTION("PROPER(GOOGLETRANSLATE(M162, ""auto"", ""en""))"),"Taiwan Coffee Laboratory")</f>
        <v>Taiwan Coffee Laboratory</v>
      </c>
      <c r="O162" s="4" t="s">
        <v>153</v>
      </c>
      <c r="P162" s="5" t="str">
        <f t="shared" si="3"/>
        <v>2021</v>
      </c>
      <c r="Q162" s="5" t="s">
        <v>67</v>
      </c>
      <c r="R162" s="6" t="str">
        <f>IFERROR(__xludf.DUMMYFUNCTION("TEXT(DATEVALUE(REGEXREPLACE(Q162,""(\d+)(st|nd|rd|th)"",""$1"")),""yyyy-mm-dd"")"),"2022-11-15")</f>
        <v>2022-11-15</v>
      </c>
      <c r="S162" s="7" t="s">
        <v>508</v>
      </c>
      <c r="T162" s="5" t="s">
        <v>50</v>
      </c>
      <c r="U162" s="5" t="s">
        <v>69</v>
      </c>
      <c r="V162" s="4" t="s">
        <v>167</v>
      </c>
      <c r="W162" s="4" t="s">
        <v>611</v>
      </c>
      <c r="X162" s="4" t="s">
        <v>439</v>
      </c>
      <c r="Y162" s="4" t="s">
        <v>439</v>
      </c>
      <c r="Z162" s="4" t="s">
        <v>167</v>
      </c>
      <c r="AA162" s="4" t="s">
        <v>611</v>
      </c>
      <c r="AB162" s="4" t="s">
        <v>56</v>
      </c>
      <c r="AC162" s="4" t="s">
        <v>56</v>
      </c>
      <c r="AD162" s="4" t="s">
        <v>56</v>
      </c>
      <c r="AE162" s="4" t="s">
        <v>724</v>
      </c>
      <c r="AF162" s="4" t="s">
        <v>40</v>
      </c>
      <c r="AG162" s="4" t="s">
        <v>844</v>
      </c>
      <c r="AH162" s="4" t="s">
        <v>114</v>
      </c>
      <c r="AI162" s="4" t="s">
        <v>40</v>
      </c>
      <c r="AJ162" s="4" t="s">
        <v>40</v>
      </c>
      <c r="AK162" s="5" t="s">
        <v>328</v>
      </c>
      <c r="AL162" s="4" t="s">
        <v>40</v>
      </c>
      <c r="AM162" s="5" t="s">
        <v>75</v>
      </c>
      <c r="AN162" s="6" t="str">
        <f>IFERROR(__xludf.DUMMYFUNCTION("TEXT(DATEVALUE(REGEXREPLACE(AM162,""(\d+)(st|nd|rd|th)"",""$1"")),""yyyy-mm-dd"")"),"2023-11-15")</f>
        <v>2023-11-15</v>
      </c>
    </row>
    <row r="163">
      <c r="A163" s="4" t="s">
        <v>863</v>
      </c>
      <c r="B163" s="5" t="s">
        <v>472</v>
      </c>
      <c r="C163" s="4" t="s">
        <v>864</v>
      </c>
      <c r="D163" s="6" t="str">
        <f>IFERROR(__xludf.DUMMYFUNCTION("GOOGLETRANSLATE(C163,""auto"",""en"")"),"185")</f>
        <v>185</v>
      </c>
      <c r="E163" s="4" t="s">
        <v>473</v>
      </c>
      <c r="F163" s="5">
        <f>IFERROR(__xludf.DUMMYFUNCTION("SPLIT(E163,""-"")
"),1368.0)</f>
        <v>1368</v>
      </c>
      <c r="G163" s="5"/>
      <c r="H163" s="5">
        <f t="shared" si="4"/>
        <v>1368</v>
      </c>
      <c r="I163" s="5" t="s">
        <v>761</v>
      </c>
      <c r="J163" s="5" t="str">
        <f t="shared" si="2"/>
        <v>Centro, Lagunetillas - Ajuterique, Comayagua</v>
      </c>
      <c r="K163" s="4" t="s">
        <v>530</v>
      </c>
      <c r="L163" s="5">
        <v>30.0</v>
      </c>
      <c r="M163" s="5" t="s">
        <v>476</v>
      </c>
      <c r="N163" s="5" t="str">
        <f>IFERROR(__xludf.DUMMYFUNCTION("PROPER(GOOGLETRANSLATE(M163, ""auto"", ""en""))"),"Honduran Coffee Institute")</f>
        <v>Honduran Coffee Institute</v>
      </c>
      <c r="O163" s="5" t="s">
        <v>47</v>
      </c>
      <c r="P163" s="5" t="str">
        <f t="shared" si="3"/>
        <v>2021</v>
      </c>
      <c r="Q163" s="5" t="s">
        <v>762</v>
      </c>
      <c r="R163" s="6" t="str">
        <f>IFERROR(__xludf.DUMMYFUNCTION("TEXT(DATEVALUE(REGEXREPLACE(Q163,""(\d+)(st|nd|rd|th)"",""$1"")),""yyyy-mm-dd"")"),"2022-05-23")</f>
        <v>2022-05-23</v>
      </c>
      <c r="S163" s="7" t="s">
        <v>359</v>
      </c>
      <c r="T163" s="5" t="s">
        <v>50</v>
      </c>
      <c r="U163" s="5" t="s">
        <v>69</v>
      </c>
      <c r="V163" s="4" t="s">
        <v>250</v>
      </c>
      <c r="W163" s="4" t="s">
        <v>250</v>
      </c>
      <c r="X163" s="4" t="s">
        <v>724</v>
      </c>
      <c r="Y163" s="4" t="s">
        <v>439</v>
      </c>
      <c r="Z163" s="4" t="s">
        <v>250</v>
      </c>
      <c r="AA163" s="4" t="s">
        <v>611</v>
      </c>
      <c r="AB163" s="4" t="s">
        <v>56</v>
      </c>
      <c r="AC163" s="4" t="s">
        <v>56</v>
      </c>
      <c r="AD163" s="4" t="s">
        <v>56</v>
      </c>
      <c r="AE163" s="4" t="s">
        <v>439</v>
      </c>
      <c r="AF163" s="4" t="s">
        <v>40</v>
      </c>
      <c r="AG163" s="4" t="s">
        <v>844</v>
      </c>
      <c r="AH163" s="4" t="s">
        <v>176</v>
      </c>
      <c r="AI163" s="4" t="s">
        <v>40</v>
      </c>
      <c r="AJ163" s="4" t="s">
        <v>40</v>
      </c>
      <c r="AK163" s="5" t="s">
        <v>59</v>
      </c>
      <c r="AL163" s="4" t="s">
        <v>71</v>
      </c>
      <c r="AM163" s="5" t="s">
        <v>763</v>
      </c>
      <c r="AN163" s="6" t="str">
        <f>IFERROR(__xludf.DUMMYFUNCTION("TEXT(DATEVALUE(REGEXREPLACE(AM163,""(\d+)(st|nd|rd|th)"",""$1"")),""yyyy-mm-dd"")"),"2023-05-23")</f>
        <v>2023-05-23</v>
      </c>
    </row>
    <row r="164">
      <c r="A164" s="4" t="s">
        <v>865</v>
      </c>
      <c r="B164" s="5" t="s">
        <v>62</v>
      </c>
      <c r="C164" s="5" t="s">
        <v>866</v>
      </c>
      <c r="D164" s="6" t="str">
        <f>IFERROR(__xludf.DUMMYFUNCTION("GOOGLETRANSLATE(C164,""auto"",""en"")"),"A02-Northern Taiwan Specialty Coffee Evaluation")</f>
        <v>A02-Northern Taiwan Specialty Coffee Evaluation</v>
      </c>
      <c r="E164" s="4" t="s">
        <v>768</v>
      </c>
      <c r="F164" s="5">
        <f>IFERROR(__xludf.DUMMYFUNCTION("SPLIT(E164,""-"")
"),139.0)</f>
        <v>139</v>
      </c>
      <c r="G164" s="5"/>
      <c r="H164" s="5">
        <f t="shared" si="4"/>
        <v>139</v>
      </c>
      <c r="I164" s="5" t="s">
        <v>372</v>
      </c>
      <c r="J164" s="5" t="str">
        <f t="shared" si="2"/>
        <v>新竹縣</v>
      </c>
      <c r="K164" s="4" t="s">
        <v>45</v>
      </c>
      <c r="L164" s="5">
        <v>200.0</v>
      </c>
      <c r="M164" s="5" t="s">
        <v>66</v>
      </c>
      <c r="N164" s="5" t="str">
        <f>IFERROR(__xludf.DUMMYFUNCTION("PROPER(GOOGLETRANSLATE(M164, ""auto"", ""en""))"),"Taiwan Coffee Laboratory")</f>
        <v>Taiwan Coffee Laboratory</v>
      </c>
      <c r="O164" s="5" t="s">
        <v>47</v>
      </c>
      <c r="P164" s="5" t="str">
        <f t="shared" si="3"/>
        <v>2021</v>
      </c>
      <c r="Q164" s="5" t="s">
        <v>243</v>
      </c>
      <c r="R164" s="6" t="str">
        <f>IFERROR(__xludf.DUMMYFUNCTION("TEXT(DATEVALUE(REGEXREPLACE(Q164,""(\d+)(st|nd|rd|th)"",""$1"")),""yyyy-mm-dd"")"),"2023-01-06")</f>
        <v>2023-01-06</v>
      </c>
      <c r="S164" s="7" t="s">
        <v>234</v>
      </c>
      <c r="T164" s="5" t="s">
        <v>50</v>
      </c>
      <c r="U164" s="5" t="s">
        <v>69</v>
      </c>
      <c r="V164" s="4" t="s">
        <v>611</v>
      </c>
      <c r="W164" s="4" t="s">
        <v>611</v>
      </c>
      <c r="X164" s="4" t="s">
        <v>250</v>
      </c>
      <c r="Y164" s="4" t="s">
        <v>611</v>
      </c>
      <c r="Z164" s="4" t="s">
        <v>250</v>
      </c>
      <c r="AA164" s="4" t="s">
        <v>439</v>
      </c>
      <c r="AB164" s="4" t="s">
        <v>56</v>
      </c>
      <c r="AC164" s="4" t="s">
        <v>56</v>
      </c>
      <c r="AD164" s="4" t="s">
        <v>56</v>
      </c>
      <c r="AE164" s="4" t="s">
        <v>250</v>
      </c>
      <c r="AF164" s="4" t="s">
        <v>40</v>
      </c>
      <c r="AG164" s="4" t="s">
        <v>844</v>
      </c>
      <c r="AH164" s="4" t="s">
        <v>654</v>
      </c>
      <c r="AI164" s="4" t="s">
        <v>40</v>
      </c>
      <c r="AJ164" s="4" t="s">
        <v>40</v>
      </c>
      <c r="AK164" s="5" t="s">
        <v>59</v>
      </c>
      <c r="AL164" s="4" t="s">
        <v>76</v>
      </c>
      <c r="AM164" s="5" t="s">
        <v>245</v>
      </c>
      <c r="AN164" s="6" t="str">
        <f>IFERROR(__xludf.DUMMYFUNCTION("TEXT(DATEVALUE(REGEXREPLACE(AM164,""(\d+)(st|nd|rd|th)"",""$1"")),""yyyy-mm-dd"")"),"2024-01-06")</f>
        <v>2024-01-06</v>
      </c>
    </row>
    <row r="165">
      <c r="A165" s="4" t="s">
        <v>867</v>
      </c>
      <c r="B165" s="5" t="s">
        <v>449</v>
      </c>
      <c r="C165" s="4" t="s">
        <v>45</v>
      </c>
      <c r="D165" s="6" t="str">
        <f>IFERROR(__xludf.DUMMYFUNCTION("GOOGLETRANSLATE(C165,""auto"",""en"")"),"1")</f>
        <v>1</v>
      </c>
      <c r="E165" s="5" t="s">
        <v>868</v>
      </c>
      <c r="F165" s="5">
        <f>IFERROR(__xludf.DUMMYFUNCTION("SPLIT(E165,""-"")
"),1200.0)</f>
        <v>1200</v>
      </c>
      <c r="G165" s="5">
        <f>IFERROR(__xludf.DUMMYFUNCTION("""COMPUTED_VALUE"""),1350.0)</f>
        <v>1350</v>
      </c>
      <c r="H165" s="5">
        <f t="shared" si="4"/>
        <v>1275</v>
      </c>
      <c r="I165" s="5" t="s">
        <v>869</v>
      </c>
      <c r="J165" s="5" t="str">
        <f t="shared" si="2"/>
        <v>Matagalpa, Nicaragua</v>
      </c>
      <c r="K165" s="4" t="s">
        <v>364</v>
      </c>
      <c r="L165" s="5">
        <v>69.0</v>
      </c>
      <c r="M165" s="5" t="s">
        <v>66</v>
      </c>
      <c r="N165" s="5" t="str">
        <f>IFERROR(__xludf.DUMMYFUNCTION("PROPER(GOOGLETRANSLATE(M165, ""auto"", ""en""))"),"Taiwan Coffee Laboratory")</f>
        <v>Taiwan Coffee Laboratory</v>
      </c>
      <c r="O165" s="5" t="s">
        <v>47</v>
      </c>
      <c r="P165" s="5" t="str">
        <f t="shared" si="3"/>
        <v>2021</v>
      </c>
      <c r="Q165" s="5" t="s">
        <v>322</v>
      </c>
      <c r="R165" s="6" t="str">
        <f>IFERROR(__xludf.DUMMYFUNCTION("TEXT(DATEVALUE(REGEXREPLACE(Q165,""(\d+)(st|nd|rd|th)"",""$1"")),""yyyy-mm-dd"")"),"2022-12-30")</f>
        <v>2022-12-30</v>
      </c>
      <c r="S165" s="7" t="s">
        <v>870</v>
      </c>
      <c r="T165" s="5" t="s">
        <v>50</v>
      </c>
      <c r="U165" s="5" t="s">
        <v>69</v>
      </c>
      <c r="V165" s="4" t="s">
        <v>250</v>
      </c>
      <c r="W165" s="4" t="s">
        <v>250</v>
      </c>
      <c r="X165" s="4" t="s">
        <v>611</v>
      </c>
      <c r="Y165" s="4" t="s">
        <v>611</v>
      </c>
      <c r="Z165" s="4" t="s">
        <v>439</v>
      </c>
      <c r="AA165" s="4" t="s">
        <v>439</v>
      </c>
      <c r="AB165" s="4" t="s">
        <v>56</v>
      </c>
      <c r="AC165" s="4" t="s">
        <v>56</v>
      </c>
      <c r="AD165" s="4" t="s">
        <v>56</v>
      </c>
      <c r="AE165" s="4" t="s">
        <v>611</v>
      </c>
      <c r="AF165" s="4" t="s">
        <v>40</v>
      </c>
      <c r="AG165" s="4" t="s">
        <v>871</v>
      </c>
      <c r="AH165" s="4" t="s">
        <v>266</v>
      </c>
      <c r="AI165" s="4" t="s">
        <v>40</v>
      </c>
      <c r="AJ165" s="4" t="s">
        <v>40</v>
      </c>
      <c r="AK165" s="5" t="s">
        <v>74</v>
      </c>
      <c r="AL165" s="4" t="s">
        <v>40</v>
      </c>
      <c r="AM165" s="5" t="s">
        <v>323</v>
      </c>
      <c r="AN165" s="6" t="str">
        <f>IFERROR(__xludf.DUMMYFUNCTION("TEXT(DATEVALUE(REGEXREPLACE(AM165,""(\d+)(st|nd|rd|th)"",""$1"")),""yyyy-mm-dd"")"),"2023-12-30")</f>
        <v>2023-12-30</v>
      </c>
    </row>
    <row r="166">
      <c r="A166" s="4" t="s">
        <v>872</v>
      </c>
      <c r="B166" s="5" t="s">
        <v>461</v>
      </c>
      <c r="C166" s="5" t="s">
        <v>873</v>
      </c>
      <c r="D166" s="6" t="str">
        <f>IFERROR(__xludf.DUMMYFUNCTION("GOOGLETRANSLATE(C166,""auto"",""en"")"),"Apollo Washed 2021")</f>
        <v>Apollo Washed 2021</v>
      </c>
      <c r="E166" s="4" t="s">
        <v>874</v>
      </c>
      <c r="F166" s="5">
        <f>IFERROR(__xludf.DUMMYFUNCTION("SPLIT(E166,""-"")
"),1040.0)</f>
        <v>1040</v>
      </c>
      <c r="G166" s="5"/>
      <c r="H166" s="5">
        <f t="shared" si="4"/>
        <v>1040</v>
      </c>
      <c r="I166" s="5" t="s">
        <v>875</v>
      </c>
      <c r="J166" s="5" t="str">
        <f t="shared" si="2"/>
        <v>Dalat</v>
      </c>
      <c r="K166" s="4" t="s">
        <v>503</v>
      </c>
      <c r="L166" s="5">
        <v>15.0</v>
      </c>
      <c r="M166" s="5" t="s">
        <v>453</v>
      </c>
      <c r="N166" s="5" t="str">
        <f>IFERROR(__xludf.DUMMYFUNCTION("PROPER(GOOGLETRANSLATE(M166, ""auto"", ""en""))"),"Specialty Coffee Association")</f>
        <v>Specialty Coffee Association</v>
      </c>
      <c r="O166" s="4" t="s">
        <v>153</v>
      </c>
      <c r="P166" s="5" t="str">
        <f t="shared" si="3"/>
        <v>2021</v>
      </c>
      <c r="Q166" s="5" t="s">
        <v>876</v>
      </c>
      <c r="R166" s="6" t="str">
        <f>IFERROR(__xludf.DUMMYFUNCTION("TEXT(DATEVALUE(REGEXREPLACE(Q166,""(\d+)(st|nd|rd|th)"",""$1"")),""yyyy-mm-dd"")"),"2022-06-01")</f>
        <v>2022-06-01</v>
      </c>
      <c r="S166" s="7" t="s">
        <v>225</v>
      </c>
      <c r="T166" s="5" t="s">
        <v>50</v>
      </c>
      <c r="U166" s="5" t="s">
        <v>69</v>
      </c>
      <c r="V166" s="4" t="s">
        <v>439</v>
      </c>
      <c r="W166" s="4" t="s">
        <v>439</v>
      </c>
      <c r="X166" s="4" t="s">
        <v>724</v>
      </c>
      <c r="Y166" s="4" t="s">
        <v>439</v>
      </c>
      <c r="Z166" s="4" t="s">
        <v>439</v>
      </c>
      <c r="AA166" s="4" t="s">
        <v>611</v>
      </c>
      <c r="AB166" s="4" t="s">
        <v>56</v>
      </c>
      <c r="AC166" s="4" t="s">
        <v>56</v>
      </c>
      <c r="AD166" s="4" t="s">
        <v>56</v>
      </c>
      <c r="AE166" s="4" t="s">
        <v>250</v>
      </c>
      <c r="AF166" s="4" t="s">
        <v>40</v>
      </c>
      <c r="AG166" s="4" t="s">
        <v>877</v>
      </c>
      <c r="AH166" s="4" t="s">
        <v>73</v>
      </c>
      <c r="AI166" s="4" t="s">
        <v>40</v>
      </c>
      <c r="AJ166" s="4" t="s">
        <v>40</v>
      </c>
      <c r="AK166" s="5" t="s">
        <v>74</v>
      </c>
      <c r="AL166" s="4" t="s">
        <v>40</v>
      </c>
      <c r="AM166" s="5" t="s">
        <v>878</v>
      </c>
      <c r="AN166" s="6" t="str">
        <f>IFERROR(__xludf.DUMMYFUNCTION("TEXT(DATEVALUE(REGEXREPLACE(AM166,""(\d+)(st|nd|rd|th)"",""$1"")),""yyyy-mm-dd"")"),"2023-06-01")</f>
        <v>2023-06-01</v>
      </c>
    </row>
    <row r="167">
      <c r="A167" s="4" t="s">
        <v>830</v>
      </c>
      <c r="B167" s="5" t="s">
        <v>504</v>
      </c>
      <c r="C167" s="4" t="s">
        <v>840</v>
      </c>
      <c r="D167" s="6" t="str">
        <f>IFERROR(__xludf.DUMMYFUNCTION("GOOGLETRANSLATE(C167,""auto"",""en"")"),"Jan-26")</f>
        <v>Jan-26</v>
      </c>
      <c r="E167" s="4" t="s">
        <v>64</v>
      </c>
      <c r="F167" s="5">
        <f>IFERROR(__xludf.DUMMYFUNCTION("SPLIT(E167,""-"")
"),1200.0)</f>
        <v>1200</v>
      </c>
      <c r="G167" s="5"/>
      <c r="H167" s="5">
        <f t="shared" si="4"/>
        <v>1200</v>
      </c>
      <c r="I167" s="5" t="s">
        <v>841</v>
      </c>
      <c r="J167" s="5" t="str">
        <f t="shared" si="2"/>
        <v>Apaneca - Ilamatepec</v>
      </c>
      <c r="K167" s="4" t="s">
        <v>257</v>
      </c>
      <c r="L167" s="5">
        <v>30.0</v>
      </c>
      <c r="M167" s="5" t="s">
        <v>842</v>
      </c>
      <c r="N167" s="5" t="str">
        <f>IFERROR(__xludf.DUMMYFUNCTION("PROPER(GOOGLETRANSLATE(M167, ""auto"", ""en""))"),"Salvadoran Coffee Council")</f>
        <v>Salvadoran Coffee Council</v>
      </c>
      <c r="O167" s="5" t="s">
        <v>136</v>
      </c>
      <c r="P167" s="5" t="str">
        <f t="shared" si="3"/>
        <v>2022</v>
      </c>
      <c r="Q167" s="5" t="s">
        <v>879</v>
      </c>
      <c r="R167" s="6" t="str">
        <f>IFERROR(__xludf.DUMMYFUNCTION("TEXT(DATEVALUE(REGEXREPLACE(Q167,""(\d+)(st|nd|rd|th)"",""$1"")),""yyyy-mm-dd"")"),"2023-02-21")</f>
        <v>2023-02-21</v>
      </c>
      <c r="S167" s="7" t="s">
        <v>138</v>
      </c>
      <c r="T167" s="5" t="s">
        <v>50</v>
      </c>
      <c r="U167" s="5" t="s">
        <v>69</v>
      </c>
      <c r="V167" s="4" t="s">
        <v>439</v>
      </c>
      <c r="W167" s="4" t="s">
        <v>439</v>
      </c>
      <c r="X167" s="4" t="s">
        <v>611</v>
      </c>
      <c r="Y167" s="4" t="s">
        <v>611</v>
      </c>
      <c r="Z167" s="4" t="s">
        <v>611</v>
      </c>
      <c r="AA167" s="4" t="s">
        <v>167</v>
      </c>
      <c r="AB167" s="4" t="s">
        <v>56</v>
      </c>
      <c r="AC167" s="4" t="s">
        <v>56</v>
      </c>
      <c r="AD167" s="4" t="s">
        <v>56</v>
      </c>
      <c r="AE167" s="4" t="s">
        <v>611</v>
      </c>
      <c r="AF167" s="4" t="s">
        <v>40</v>
      </c>
      <c r="AG167" s="4" t="s">
        <v>877</v>
      </c>
      <c r="AH167" s="4" t="s">
        <v>157</v>
      </c>
      <c r="AI167" s="4" t="s">
        <v>40</v>
      </c>
      <c r="AJ167" s="4" t="s">
        <v>120</v>
      </c>
      <c r="AK167" s="5" t="s">
        <v>59</v>
      </c>
      <c r="AL167" s="4" t="s">
        <v>56</v>
      </c>
      <c r="AM167" s="5" t="s">
        <v>880</v>
      </c>
      <c r="AN167" s="6" t="str">
        <f>IFERROR(__xludf.DUMMYFUNCTION("TEXT(DATEVALUE(REGEXREPLACE(AM167,""(\d+)(st|nd|rd|th)"",""$1"")),""yyyy-mm-dd"")"),"2024-02-21")</f>
        <v>2024-02-21</v>
      </c>
    </row>
    <row r="168">
      <c r="A168" s="4" t="s">
        <v>881</v>
      </c>
      <c r="B168" s="5" t="s">
        <v>504</v>
      </c>
      <c r="C168" s="5" t="s">
        <v>882</v>
      </c>
      <c r="D168" s="6" t="str">
        <f>IFERROR(__xludf.DUMMYFUNCTION("GOOGLETRANSLATE(C168,""auto"",""en"")"),"Jan-74")</f>
        <v>Jan-74</v>
      </c>
      <c r="E168" s="4" t="s">
        <v>64</v>
      </c>
      <c r="F168" s="5">
        <f>IFERROR(__xludf.DUMMYFUNCTION("SPLIT(E168,""-"")
"),1200.0)</f>
        <v>1200</v>
      </c>
      <c r="G168" s="5"/>
      <c r="H168" s="5">
        <f t="shared" si="4"/>
        <v>1200</v>
      </c>
      <c r="I168" s="5" t="s">
        <v>841</v>
      </c>
      <c r="J168" s="5" t="str">
        <f t="shared" si="2"/>
        <v>Apaneca - Ilamatepec</v>
      </c>
      <c r="K168" s="4" t="s">
        <v>364</v>
      </c>
      <c r="L168" s="5">
        <v>69.0</v>
      </c>
      <c r="M168" s="5" t="s">
        <v>842</v>
      </c>
      <c r="N168" s="5" t="str">
        <f>IFERROR(__xludf.DUMMYFUNCTION("PROPER(GOOGLETRANSLATE(M168, ""auto"", ""en""))"),"Salvadoran Coffee Council")</f>
        <v>Salvadoran Coffee Council</v>
      </c>
      <c r="O168" s="5" t="s">
        <v>47</v>
      </c>
      <c r="P168" s="5" t="str">
        <f t="shared" si="3"/>
        <v>2021</v>
      </c>
      <c r="Q168" s="5" t="s">
        <v>694</v>
      </c>
      <c r="R168" s="6" t="str">
        <f>IFERROR(__xludf.DUMMYFUNCTION("TEXT(DATEVALUE(REGEXREPLACE(Q168,""(\d+)(st|nd|rd|th)"",""$1"")),""yyyy-mm-dd"")"),"2022-07-07")</f>
        <v>2022-07-07</v>
      </c>
      <c r="S168" s="7" t="s">
        <v>138</v>
      </c>
      <c r="T168" s="5" t="s">
        <v>50</v>
      </c>
      <c r="U168" s="5" t="s">
        <v>69</v>
      </c>
      <c r="V168" s="4" t="s">
        <v>724</v>
      </c>
      <c r="W168" s="4" t="s">
        <v>167</v>
      </c>
      <c r="X168" s="4" t="s">
        <v>807</v>
      </c>
      <c r="Y168" s="4" t="s">
        <v>167</v>
      </c>
      <c r="Z168" s="4" t="s">
        <v>112</v>
      </c>
      <c r="AA168" s="4" t="s">
        <v>611</v>
      </c>
      <c r="AB168" s="4" t="s">
        <v>56</v>
      </c>
      <c r="AC168" s="4" t="s">
        <v>56</v>
      </c>
      <c r="AD168" s="4" t="s">
        <v>56</v>
      </c>
      <c r="AE168" s="4" t="s">
        <v>795</v>
      </c>
      <c r="AF168" s="4" t="s">
        <v>40</v>
      </c>
      <c r="AG168" s="4" t="s">
        <v>877</v>
      </c>
      <c r="AH168" s="4" t="s">
        <v>58</v>
      </c>
      <c r="AI168" s="4" t="s">
        <v>40</v>
      </c>
      <c r="AJ168" s="4" t="s">
        <v>40</v>
      </c>
      <c r="AK168" s="5" t="s">
        <v>74</v>
      </c>
      <c r="AL168" s="4" t="s">
        <v>40</v>
      </c>
      <c r="AM168" s="5" t="s">
        <v>695</v>
      </c>
      <c r="AN168" s="6" t="str">
        <f>IFERROR(__xludf.DUMMYFUNCTION("TEXT(DATEVALUE(REGEXREPLACE(AM168,""(\d+)(st|nd|rd|th)"",""$1"")),""yyyy-mm-dd"")"),"2023-07-07")</f>
        <v>2023-07-07</v>
      </c>
    </row>
    <row r="169">
      <c r="A169" s="4" t="s">
        <v>883</v>
      </c>
      <c r="B169" s="5" t="s">
        <v>62</v>
      </c>
      <c r="C169" s="5" t="s">
        <v>884</v>
      </c>
      <c r="D169" s="6" t="str">
        <f>IFERROR(__xludf.DUMMYFUNCTION("GOOGLETRANSLATE(C169,""auto"",""en"")"),"A48-Northern Taiwan Specialty Coffee Evaluation")</f>
        <v>A48-Northern Taiwan Specialty Coffee Evaluation</v>
      </c>
      <c r="E169" s="4" t="s">
        <v>774</v>
      </c>
      <c r="F169" s="5">
        <f>IFERROR(__xludf.DUMMYFUNCTION("SPLIT(E169,""-"")
"),140.0)</f>
        <v>140</v>
      </c>
      <c r="G169" s="5"/>
      <c r="H169" s="5">
        <f t="shared" si="4"/>
        <v>140</v>
      </c>
      <c r="I169" s="5" t="s">
        <v>372</v>
      </c>
      <c r="J169" s="5" t="str">
        <f t="shared" si="2"/>
        <v>新竹縣</v>
      </c>
      <c r="K169" s="4" t="s">
        <v>45</v>
      </c>
      <c r="L169" s="5">
        <v>5.0</v>
      </c>
      <c r="M169" s="5" t="s">
        <v>66</v>
      </c>
      <c r="N169" s="5" t="str">
        <f>IFERROR(__xludf.DUMMYFUNCTION("PROPER(GOOGLETRANSLATE(M169, ""auto"", ""en""))"),"Taiwan Coffee Laboratory")</f>
        <v>Taiwan Coffee Laboratory</v>
      </c>
      <c r="O169" s="5" t="s">
        <v>47</v>
      </c>
      <c r="P169" s="5" t="str">
        <f t="shared" si="3"/>
        <v>2021</v>
      </c>
      <c r="Q169" s="5" t="s">
        <v>243</v>
      </c>
      <c r="R169" s="6" t="str">
        <f>IFERROR(__xludf.DUMMYFUNCTION("TEXT(DATEVALUE(REGEXREPLACE(Q169,""(\d+)(st|nd|rd|th)"",""$1"")),""yyyy-mm-dd"")"),"2023-01-06")</f>
        <v>2023-01-06</v>
      </c>
      <c r="S169" s="7" t="s">
        <v>234</v>
      </c>
      <c r="T169" s="5" t="s">
        <v>50</v>
      </c>
      <c r="U169" s="5" t="s">
        <v>123</v>
      </c>
      <c r="V169" s="4" t="s">
        <v>167</v>
      </c>
      <c r="W169" s="4" t="s">
        <v>250</v>
      </c>
      <c r="X169" s="4" t="s">
        <v>611</v>
      </c>
      <c r="Y169" s="4" t="s">
        <v>439</v>
      </c>
      <c r="Z169" s="4" t="s">
        <v>724</v>
      </c>
      <c r="AA169" s="4" t="s">
        <v>611</v>
      </c>
      <c r="AB169" s="4" t="s">
        <v>56</v>
      </c>
      <c r="AC169" s="4" t="s">
        <v>56</v>
      </c>
      <c r="AD169" s="4" t="s">
        <v>56</v>
      </c>
      <c r="AE169" s="4" t="s">
        <v>611</v>
      </c>
      <c r="AF169" s="4" t="s">
        <v>40</v>
      </c>
      <c r="AG169" s="4" t="s">
        <v>877</v>
      </c>
      <c r="AH169" s="4" t="s">
        <v>128</v>
      </c>
      <c r="AI169" s="4" t="s">
        <v>40</v>
      </c>
      <c r="AJ169" s="4" t="s">
        <v>40</v>
      </c>
      <c r="AK169" s="5" t="s">
        <v>59</v>
      </c>
      <c r="AL169" s="4" t="s">
        <v>45</v>
      </c>
      <c r="AM169" s="5" t="s">
        <v>245</v>
      </c>
      <c r="AN169" s="6" t="str">
        <f>IFERROR(__xludf.DUMMYFUNCTION("TEXT(DATEVALUE(REGEXREPLACE(AM169,""(\d+)(st|nd|rd|th)"",""$1"")),""yyyy-mm-dd"")"),"2024-01-06")</f>
        <v>2024-01-06</v>
      </c>
    </row>
    <row r="170">
      <c r="A170" s="4" t="s">
        <v>885</v>
      </c>
      <c r="B170" s="5" t="s">
        <v>387</v>
      </c>
      <c r="C170" s="5" t="s">
        <v>886</v>
      </c>
      <c r="D170" s="6" t="str">
        <f>IFERROR(__xludf.DUMMYFUNCTION("GOOGLETRANSLATE(C170,""auto"",""en"")"),"PR138")</f>
        <v>PR138</v>
      </c>
      <c r="E170" s="4" t="s">
        <v>348</v>
      </c>
      <c r="F170" s="5">
        <f>IFERROR(__xludf.DUMMYFUNCTION("SPLIT(E170,""-"")
"),1600.0)</f>
        <v>1600</v>
      </c>
      <c r="G170" s="5"/>
      <c r="H170" s="5">
        <f t="shared" si="4"/>
        <v>1600</v>
      </c>
      <c r="I170" s="5" t="s">
        <v>887</v>
      </c>
      <c r="J170" s="5" t="str">
        <f t="shared" si="2"/>
        <v>Chanchamayo, La Merced</v>
      </c>
      <c r="K170" s="4" t="s">
        <v>364</v>
      </c>
      <c r="L170" s="5">
        <v>69.0</v>
      </c>
      <c r="M170" s="5" t="s">
        <v>46</v>
      </c>
      <c r="N170" s="5" t="str">
        <f>IFERROR(__xludf.DUMMYFUNCTION("PROPER(GOOGLETRANSLATE(M170, ""auto"", ""en""))"),"Japan Coffee Exchange")</f>
        <v>Japan Coffee Exchange</v>
      </c>
      <c r="O170" s="5" t="s">
        <v>136</v>
      </c>
      <c r="P170" s="5" t="str">
        <f t="shared" si="3"/>
        <v>2022</v>
      </c>
      <c r="Q170" s="5" t="s">
        <v>815</v>
      </c>
      <c r="R170" s="6" t="str">
        <f>IFERROR(__xludf.DUMMYFUNCTION("TEXT(DATEVALUE(REGEXREPLACE(Q170,""(\d+)(st|nd|rd|th)"",""$1"")),""yyyy-mm-dd"")"),"2022-07-11")</f>
        <v>2022-07-11</v>
      </c>
      <c r="S170" s="7" t="s">
        <v>175</v>
      </c>
      <c r="T170" s="5" t="s">
        <v>50</v>
      </c>
      <c r="U170" s="5" t="s">
        <v>69</v>
      </c>
      <c r="V170" s="4" t="s">
        <v>167</v>
      </c>
      <c r="W170" s="4" t="s">
        <v>439</v>
      </c>
      <c r="X170" s="4" t="s">
        <v>724</v>
      </c>
      <c r="Y170" s="4" t="s">
        <v>250</v>
      </c>
      <c r="Z170" s="4" t="s">
        <v>724</v>
      </c>
      <c r="AA170" s="4" t="s">
        <v>611</v>
      </c>
      <c r="AB170" s="4" t="s">
        <v>56</v>
      </c>
      <c r="AC170" s="4" t="s">
        <v>56</v>
      </c>
      <c r="AD170" s="4" t="s">
        <v>56</v>
      </c>
      <c r="AE170" s="4" t="s">
        <v>611</v>
      </c>
      <c r="AF170" s="4" t="s">
        <v>40</v>
      </c>
      <c r="AG170" s="4" t="s">
        <v>888</v>
      </c>
      <c r="AH170" s="4" t="s">
        <v>367</v>
      </c>
      <c r="AI170" s="4" t="s">
        <v>40</v>
      </c>
      <c r="AJ170" s="4" t="s">
        <v>45</v>
      </c>
      <c r="AK170" s="5" t="s">
        <v>59</v>
      </c>
      <c r="AL170" s="4" t="s">
        <v>60</v>
      </c>
      <c r="AM170" s="5" t="s">
        <v>817</v>
      </c>
      <c r="AN170" s="6" t="str">
        <f>IFERROR(__xludf.DUMMYFUNCTION("TEXT(DATEVALUE(REGEXREPLACE(AM170,""(\d+)(st|nd|rd|th)"",""$1"")),""yyyy-mm-dd"")"),"2023-07-11")</f>
        <v>2023-07-11</v>
      </c>
    </row>
    <row r="171">
      <c r="A171" s="4" t="s">
        <v>889</v>
      </c>
      <c r="B171" s="5" t="s">
        <v>255</v>
      </c>
      <c r="C171" s="5" t="s">
        <v>496</v>
      </c>
      <c r="D171" s="6" t="str">
        <f>IFERROR(__xludf.DUMMYFUNCTION("GOOGLETRANSLATE(C171,""auto"",""en"")"),"Islander’s Coffee for Pacific Rim Summit")</f>
        <v>Islander’s Coffee for Pacific Rim Summit</v>
      </c>
      <c r="E171" s="4" t="s">
        <v>64</v>
      </c>
      <c r="F171" s="5">
        <f>IFERROR(__xludf.DUMMYFUNCTION("SPLIT(E171,""-"")
"),1200.0)</f>
        <v>1200</v>
      </c>
      <c r="G171" s="5"/>
      <c r="H171" s="5">
        <f t="shared" si="4"/>
        <v>1200</v>
      </c>
      <c r="I171" s="5" t="s">
        <v>890</v>
      </c>
      <c r="J171" s="5" t="str">
        <f t="shared" si="2"/>
        <v>Kona District Of Big Island</v>
      </c>
      <c r="K171" s="4" t="s">
        <v>60</v>
      </c>
      <c r="L171" s="5">
        <v>30.0</v>
      </c>
      <c r="M171" s="5" t="s">
        <v>66</v>
      </c>
      <c r="N171" s="5" t="str">
        <f>IFERROR(__xludf.DUMMYFUNCTION("PROPER(GOOGLETRANSLATE(M171, ""auto"", ""en""))"),"Taiwan Coffee Laboratory")</f>
        <v>Taiwan Coffee Laboratory</v>
      </c>
      <c r="O171" s="4" t="s">
        <v>94</v>
      </c>
      <c r="P171" s="5" t="str">
        <f t="shared" si="3"/>
        <v>2022</v>
      </c>
      <c r="Q171" s="5" t="s">
        <v>396</v>
      </c>
      <c r="R171" s="6" t="str">
        <f>IFERROR(__xludf.DUMMYFUNCTION("TEXT(DATEVALUE(REGEXREPLACE(Q171,""(\d+)(st|nd|rd|th)"",""$1"")),""yyyy-mm-dd"")"),"2022-11-09")</f>
        <v>2022-11-09</v>
      </c>
      <c r="S171" s="7" t="s">
        <v>216</v>
      </c>
      <c r="T171" s="5" t="s">
        <v>50</v>
      </c>
      <c r="U171" s="5" t="s">
        <v>69</v>
      </c>
      <c r="V171" s="4" t="s">
        <v>154</v>
      </c>
      <c r="W171" s="4" t="s">
        <v>611</v>
      </c>
      <c r="X171" s="4" t="s">
        <v>724</v>
      </c>
      <c r="Y171" s="4" t="s">
        <v>439</v>
      </c>
      <c r="Z171" s="4" t="s">
        <v>724</v>
      </c>
      <c r="AA171" s="4" t="s">
        <v>439</v>
      </c>
      <c r="AB171" s="4" t="s">
        <v>56</v>
      </c>
      <c r="AC171" s="4" t="s">
        <v>56</v>
      </c>
      <c r="AD171" s="4" t="s">
        <v>56</v>
      </c>
      <c r="AE171" s="4" t="s">
        <v>724</v>
      </c>
      <c r="AF171" s="4" t="s">
        <v>40</v>
      </c>
      <c r="AG171" s="4" t="s">
        <v>891</v>
      </c>
      <c r="AH171" s="4" t="s">
        <v>176</v>
      </c>
      <c r="AI171" s="4" t="s">
        <v>45</v>
      </c>
      <c r="AJ171" s="4" t="s">
        <v>40</v>
      </c>
      <c r="AK171" s="5" t="s">
        <v>59</v>
      </c>
      <c r="AL171" s="4" t="s">
        <v>107</v>
      </c>
      <c r="AM171" s="5" t="s">
        <v>398</v>
      </c>
      <c r="AN171" s="6" t="str">
        <f>IFERROR(__xludf.DUMMYFUNCTION("TEXT(DATEVALUE(REGEXREPLACE(AM171,""(\d+)(st|nd|rd|th)"",""$1"")),""yyyy-mm-dd"")"),"2023-11-09")</f>
        <v>2023-11-09</v>
      </c>
    </row>
    <row r="172">
      <c r="A172" s="4" t="s">
        <v>892</v>
      </c>
      <c r="B172" s="5" t="s">
        <v>301</v>
      </c>
      <c r="C172" s="5" t="s">
        <v>893</v>
      </c>
      <c r="D172" s="6" t="str">
        <f>IFERROR(__xludf.DUMMYFUNCTION("GOOGLETRANSLATE(C172,""auto"",""en"")"),"CQU2023004")</f>
        <v>CQU2023004</v>
      </c>
      <c r="E172" s="5" t="s">
        <v>894</v>
      </c>
      <c r="F172" s="5">
        <f>IFERROR(__xludf.DUMMYFUNCTION("SPLIT(E172,""-"")
"),1500.0)</f>
        <v>1500</v>
      </c>
      <c r="G172" s="5">
        <f>IFERROR(__xludf.DUMMYFUNCTION("""COMPUTED_VALUE"""),1950.0)</f>
        <v>1950</v>
      </c>
      <c r="H172" s="5">
        <f t="shared" si="4"/>
        <v>1725</v>
      </c>
      <c r="I172" s="5" t="s">
        <v>895</v>
      </c>
      <c r="J172" s="5" t="str">
        <f t="shared" si="2"/>
        <v>Kericho</v>
      </c>
      <c r="K172" s="4" t="s">
        <v>161</v>
      </c>
      <c r="L172" s="5">
        <v>5.0</v>
      </c>
      <c r="M172" s="5" t="s">
        <v>46</v>
      </c>
      <c r="N172" s="5" t="str">
        <f>IFERROR(__xludf.DUMMYFUNCTION("PROPER(GOOGLETRANSLATE(M172, ""auto"", ""en""))"),"Japan Coffee Exchange")</f>
        <v>Japan Coffee Exchange</v>
      </c>
      <c r="O172" s="4" t="s">
        <v>94</v>
      </c>
      <c r="P172" s="5" t="str">
        <f t="shared" si="3"/>
        <v>2022</v>
      </c>
      <c r="Q172" s="5" t="s">
        <v>187</v>
      </c>
      <c r="R172" s="6" t="str">
        <f>IFERROR(__xludf.DUMMYFUNCTION("TEXT(DATEVALUE(REGEXREPLACE(Q172,""(\d+)(st|nd|rd|th)"",""$1"")),""yyyy-mm-dd"")"),"2023-04-07")</f>
        <v>2023-04-07</v>
      </c>
      <c r="S172" s="7" t="s">
        <v>896</v>
      </c>
      <c r="T172" s="5" t="s">
        <v>50</v>
      </c>
      <c r="U172" s="5" t="s">
        <v>69</v>
      </c>
      <c r="V172" s="4" t="s">
        <v>439</v>
      </c>
      <c r="W172" s="4" t="s">
        <v>439</v>
      </c>
      <c r="X172" s="4" t="s">
        <v>611</v>
      </c>
      <c r="Y172" s="4" t="s">
        <v>439</v>
      </c>
      <c r="Z172" s="4" t="s">
        <v>807</v>
      </c>
      <c r="AA172" s="4" t="s">
        <v>439</v>
      </c>
      <c r="AB172" s="4" t="s">
        <v>56</v>
      </c>
      <c r="AC172" s="4" t="s">
        <v>56</v>
      </c>
      <c r="AD172" s="4" t="s">
        <v>56</v>
      </c>
      <c r="AE172" s="4" t="s">
        <v>439</v>
      </c>
      <c r="AF172" s="4" t="s">
        <v>40</v>
      </c>
      <c r="AG172" s="4" t="s">
        <v>891</v>
      </c>
      <c r="AH172" s="4" t="s">
        <v>397</v>
      </c>
      <c r="AI172" s="4" t="s">
        <v>40</v>
      </c>
      <c r="AJ172" s="4" t="s">
        <v>40</v>
      </c>
      <c r="AK172" s="5" t="s">
        <v>59</v>
      </c>
      <c r="AL172" s="4" t="s">
        <v>76</v>
      </c>
      <c r="AM172" s="5" t="s">
        <v>190</v>
      </c>
      <c r="AN172" s="6" t="str">
        <f>IFERROR(__xludf.DUMMYFUNCTION("TEXT(DATEVALUE(REGEXREPLACE(AM172,""(\d+)(st|nd|rd|th)"",""$1"")),""yyyy-mm-dd"")"),"2024-04-06")</f>
        <v>2024-04-06</v>
      </c>
    </row>
    <row r="173">
      <c r="A173" s="4" t="s">
        <v>897</v>
      </c>
      <c r="B173" s="5" t="s">
        <v>472</v>
      </c>
      <c r="C173" s="4" t="s">
        <v>898</v>
      </c>
      <c r="D173" s="6" t="str">
        <f>IFERROR(__xludf.DUMMYFUNCTION("GOOGLETRANSLATE(C173,""auto"",""en"")"),"184")</f>
        <v>184</v>
      </c>
      <c r="E173" s="4" t="s">
        <v>473</v>
      </c>
      <c r="F173" s="5">
        <f>IFERROR(__xludf.DUMMYFUNCTION("SPLIT(E173,""-"")
"),1368.0)</f>
        <v>1368</v>
      </c>
      <c r="G173" s="5"/>
      <c r="H173" s="5">
        <f t="shared" si="4"/>
        <v>1368</v>
      </c>
      <c r="I173" s="5" t="s">
        <v>761</v>
      </c>
      <c r="J173" s="5" t="str">
        <f t="shared" si="2"/>
        <v>Centro, Lagunetillas - Ajuterique, Comayagua</v>
      </c>
      <c r="K173" s="4" t="s">
        <v>716</v>
      </c>
      <c r="L173" s="5">
        <v>69.0</v>
      </c>
      <c r="M173" s="5" t="s">
        <v>476</v>
      </c>
      <c r="N173" s="5" t="str">
        <f>IFERROR(__xludf.DUMMYFUNCTION("PROPER(GOOGLETRANSLATE(M173, ""auto"", ""en""))"),"Honduran Coffee Institute")</f>
        <v>Honduran Coffee Institute</v>
      </c>
      <c r="O173" s="5" t="s">
        <v>47</v>
      </c>
      <c r="P173" s="5" t="str">
        <f t="shared" si="3"/>
        <v>2021</v>
      </c>
      <c r="Q173" s="5" t="s">
        <v>762</v>
      </c>
      <c r="R173" s="6" t="str">
        <f>IFERROR(__xludf.DUMMYFUNCTION("TEXT(DATEVALUE(REGEXREPLACE(Q173,""(\d+)(st|nd|rd|th)"",""$1"")),""yyyy-mm-dd"")"),"2022-05-23")</f>
        <v>2022-05-23</v>
      </c>
      <c r="S173" s="7" t="s">
        <v>359</v>
      </c>
      <c r="T173" s="5" t="s">
        <v>50</v>
      </c>
      <c r="U173" s="5" t="s">
        <v>69</v>
      </c>
      <c r="V173" s="4" t="s">
        <v>167</v>
      </c>
      <c r="W173" s="4" t="s">
        <v>439</v>
      </c>
      <c r="X173" s="4" t="s">
        <v>807</v>
      </c>
      <c r="Y173" s="4" t="s">
        <v>439</v>
      </c>
      <c r="Z173" s="4" t="s">
        <v>439</v>
      </c>
      <c r="AA173" s="4" t="s">
        <v>724</v>
      </c>
      <c r="AB173" s="4" t="s">
        <v>56</v>
      </c>
      <c r="AC173" s="4" t="s">
        <v>56</v>
      </c>
      <c r="AD173" s="4" t="s">
        <v>56</v>
      </c>
      <c r="AE173" s="4" t="s">
        <v>611</v>
      </c>
      <c r="AF173" s="4" t="s">
        <v>40</v>
      </c>
      <c r="AG173" s="4" t="s">
        <v>891</v>
      </c>
      <c r="AH173" s="4" t="s">
        <v>176</v>
      </c>
      <c r="AI173" s="4" t="s">
        <v>40</v>
      </c>
      <c r="AJ173" s="4" t="s">
        <v>40</v>
      </c>
      <c r="AK173" s="5" t="s">
        <v>59</v>
      </c>
      <c r="AL173" s="4" t="s">
        <v>71</v>
      </c>
      <c r="AM173" s="5" t="s">
        <v>763</v>
      </c>
      <c r="AN173" s="6" t="str">
        <f>IFERROR(__xludf.DUMMYFUNCTION("TEXT(DATEVALUE(REGEXREPLACE(AM173,""(\d+)(st|nd|rd|th)"",""$1"")),""yyyy-mm-dd"")"),"2023-05-23")</f>
        <v>2023-05-23</v>
      </c>
    </row>
    <row r="174">
      <c r="A174" s="4" t="s">
        <v>899</v>
      </c>
      <c r="B174" s="5" t="s">
        <v>62</v>
      </c>
      <c r="C174" s="5" t="s">
        <v>900</v>
      </c>
      <c r="D174" s="6" t="str">
        <f>IFERROR(__xludf.DUMMYFUNCTION("GOOGLETRANSLATE(C174,""auto"",""en"")"),"A43-Northern Taiwan Specialty Coffee Evaluation")</f>
        <v>A43-Northern Taiwan Specialty Coffee Evaluation</v>
      </c>
      <c r="E174" s="4" t="s">
        <v>257</v>
      </c>
      <c r="F174" s="5">
        <f>IFERROR(__xludf.DUMMYFUNCTION("SPLIT(E174,""-"")
"),600.0)</f>
        <v>600</v>
      </c>
      <c r="G174" s="5"/>
      <c r="H174" s="5">
        <f t="shared" si="4"/>
        <v>600</v>
      </c>
      <c r="I174" s="5" t="s">
        <v>713</v>
      </c>
      <c r="J174" s="5" t="str">
        <f t="shared" si="2"/>
        <v>桃園市</v>
      </c>
      <c r="K174" s="4" t="s">
        <v>45</v>
      </c>
      <c r="L174" s="5">
        <v>3.0</v>
      </c>
      <c r="M174" s="5" t="s">
        <v>66</v>
      </c>
      <c r="N174" s="5" t="str">
        <f>IFERROR(__xludf.DUMMYFUNCTION("PROPER(GOOGLETRANSLATE(M174, ""auto"", ""en""))"),"Taiwan Coffee Laboratory")</f>
        <v>Taiwan Coffee Laboratory</v>
      </c>
      <c r="O174" s="5" t="s">
        <v>47</v>
      </c>
      <c r="P174" s="5" t="str">
        <f t="shared" si="3"/>
        <v>2021</v>
      </c>
      <c r="Q174" s="5" t="s">
        <v>243</v>
      </c>
      <c r="R174" s="6" t="str">
        <f>IFERROR(__xludf.DUMMYFUNCTION("TEXT(DATEVALUE(REGEXREPLACE(Q174,""(\d+)(st|nd|rd|th)"",""$1"")),""yyyy-mm-dd"")"),"2023-01-06")</f>
        <v>2023-01-06</v>
      </c>
      <c r="S174" s="7" t="s">
        <v>234</v>
      </c>
      <c r="T174" s="5" t="s">
        <v>50</v>
      </c>
      <c r="U174" s="5" t="s">
        <v>69</v>
      </c>
      <c r="V174" s="4" t="s">
        <v>439</v>
      </c>
      <c r="W174" s="4" t="s">
        <v>167</v>
      </c>
      <c r="X174" s="4" t="s">
        <v>724</v>
      </c>
      <c r="Y174" s="4" t="s">
        <v>439</v>
      </c>
      <c r="Z174" s="4" t="s">
        <v>807</v>
      </c>
      <c r="AA174" s="4" t="s">
        <v>724</v>
      </c>
      <c r="AB174" s="4" t="s">
        <v>56</v>
      </c>
      <c r="AC174" s="4" t="s">
        <v>56</v>
      </c>
      <c r="AD174" s="4" t="s">
        <v>56</v>
      </c>
      <c r="AE174" s="4" t="s">
        <v>439</v>
      </c>
      <c r="AF174" s="4" t="s">
        <v>40</v>
      </c>
      <c r="AG174" s="4" t="s">
        <v>901</v>
      </c>
      <c r="AH174" s="4" t="s">
        <v>378</v>
      </c>
      <c r="AI174" s="4" t="s">
        <v>40</v>
      </c>
      <c r="AJ174" s="4" t="s">
        <v>40</v>
      </c>
      <c r="AK174" s="5" t="s">
        <v>74</v>
      </c>
      <c r="AL174" s="4" t="s">
        <v>40</v>
      </c>
      <c r="AM174" s="5" t="s">
        <v>245</v>
      </c>
      <c r="AN174" s="6" t="str">
        <f>IFERROR(__xludf.DUMMYFUNCTION("TEXT(DATEVALUE(REGEXREPLACE(AM174,""(\d+)(st|nd|rd|th)"",""$1"")),""yyyy-mm-dd"")"),"2024-01-06")</f>
        <v>2024-01-06</v>
      </c>
    </row>
    <row r="175">
      <c r="A175" s="4" t="s">
        <v>902</v>
      </c>
      <c r="B175" s="5" t="s">
        <v>62</v>
      </c>
      <c r="C175" s="5" t="s">
        <v>903</v>
      </c>
      <c r="D175" s="6" t="str">
        <f>IFERROR(__xludf.DUMMYFUNCTION("GOOGLETRANSLATE(C175,""auto"",""en"")"),"A34-Northern Taiwan Specialty Coffee Evaluation")</f>
        <v>A34-Northern Taiwan Specialty Coffee Evaluation</v>
      </c>
      <c r="E175" s="4" t="s">
        <v>904</v>
      </c>
      <c r="F175" s="5">
        <f>IFERROR(__xludf.DUMMYFUNCTION("SPLIT(E175,""-"")
"),460.0)</f>
        <v>460</v>
      </c>
      <c r="G175" s="5"/>
      <c r="H175" s="5">
        <f t="shared" si="4"/>
        <v>460</v>
      </c>
      <c r="I175" s="5" t="s">
        <v>327</v>
      </c>
      <c r="J175" s="5" t="str">
        <f t="shared" si="2"/>
        <v>苗栗縣</v>
      </c>
      <c r="K175" s="4" t="s">
        <v>45</v>
      </c>
      <c r="L175" s="5">
        <v>60.0</v>
      </c>
      <c r="M175" s="5" t="s">
        <v>66</v>
      </c>
      <c r="N175" s="5" t="str">
        <f>IFERROR(__xludf.DUMMYFUNCTION("PROPER(GOOGLETRANSLATE(M175, ""auto"", ""en""))"),"Taiwan Coffee Laboratory")</f>
        <v>Taiwan Coffee Laboratory</v>
      </c>
      <c r="O175" s="5" t="s">
        <v>47</v>
      </c>
      <c r="P175" s="5" t="str">
        <f t="shared" si="3"/>
        <v>2021</v>
      </c>
      <c r="Q175" s="5" t="s">
        <v>243</v>
      </c>
      <c r="R175" s="6" t="str">
        <f>IFERROR(__xludf.DUMMYFUNCTION("TEXT(DATEVALUE(REGEXREPLACE(Q175,""(\d+)(st|nd|rd|th)"",""$1"")),""yyyy-mm-dd"")"),"2023-01-06")</f>
        <v>2023-01-06</v>
      </c>
      <c r="S175" s="7" t="s">
        <v>234</v>
      </c>
      <c r="T175" s="5" t="s">
        <v>50</v>
      </c>
      <c r="U175" s="5" t="s">
        <v>180</v>
      </c>
      <c r="V175" s="4" t="s">
        <v>724</v>
      </c>
      <c r="W175" s="4" t="s">
        <v>611</v>
      </c>
      <c r="X175" s="4" t="s">
        <v>611</v>
      </c>
      <c r="Y175" s="4" t="s">
        <v>439</v>
      </c>
      <c r="Z175" s="4" t="s">
        <v>611</v>
      </c>
      <c r="AA175" s="4" t="s">
        <v>439</v>
      </c>
      <c r="AB175" s="4" t="s">
        <v>56</v>
      </c>
      <c r="AC175" s="4" t="s">
        <v>56</v>
      </c>
      <c r="AD175" s="4" t="s">
        <v>56</v>
      </c>
      <c r="AE175" s="4" t="s">
        <v>439</v>
      </c>
      <c r="AF175" s="4" t="s">
        <v>40</v>
      </c>
      <c r="AG175" s="4" t="s">
        <v>901</v>
      </c>
      <c r="AH175" s="4" t="s">
        <v>905</v>
      </c>
      <c r="AI175" s="4" t="s">
        <v>40</v>
      </c>
      <c r="AJ175" s="4" t="s">
        <v>40</v>
      </c>
      <c r="AK175" s="5" t="s">
        <v>59</v>
      </c>
      <c r="AL175" s="4" t="s">
        <v>60</v>
      </c>
      <c r="AM175" s="5" t="s">
        <v>245</v>
      </c>
      <c r="AN175" s="6" t="str">
        <f>IFERROR(__xludf.DUMMYFUNCTION("TEXT(DATEVALUE(REGEXREPLACE(AM175,""(\d+)(st|nd|rd|th)"",""$1"")),""yyyy-mm-dd"")"),"2024-01-06")</f>
        <v>2024-01-06</v>
      </c>
    </row>
    <row r="176">
      <c r="A176" s="4" t="s">
        <v>906</v>
      </c>
      <c r="B176" s="5" t="s">
        <v>62</v>
      </c>
      <c r="C176" s="5" t="s">
        <v>907</v>
      </c>
      <c r="D176" s="6" t="str">
        <f>IFERROR(__xludf.DUMMYFUNCTION("GOOGLETRANSLATE(C176,""auto"",""en"")"),"A50-Northern Taiwan Specialty Coffee Evaluation")</f>
        <v>A50-Northern Taiwan Specialty Coffee Evaluation</v>
      </c>
      <c r="E176" s="4" t="s">
        <v>908</v>
      </c>
      <c r="F176" s="5">
        <f>IFERROR(__xludf.DUMMYFUNCTION("SPLIT(E176,""-"")
"),500.0)</f>
        <v>500</v>
      </c>
      <c r="G176" s="5"/>
      <c r="H176" s="5">
        <f t="shared" si="4"/>
        <v>500</v>
      </c>
      <c r="I176" s="5" t="s">
        <v>713</v>
      </c>
      <c r="J176" s="5" t="str">
        <f t="shared" si="2"/>
        <v>桃園市</v>
      </c>
      <c r="K176" s="4" t="s">
        <v>45</v>
      </c>
      <c r="L176" s="5">
        <v>20.0</v>
      </c>
      <c r="M176" s="5" t="s">
        <v>66</v>
      </c>
      <c r="N176" s="5" t="str">
        <f>IFERROR(__xludf.DUMMYFUNCTION("PROPER(GOOGLETRANSLATE(M176, ""auto"", ""en""))"),"Taiwan Coffee Laboratory")</f>
        <v>Taiwan Coffee Laboratory</v>
      </c>
      <c r="O176" s="5" t="s">
        <v>47</v>
      </c>
      <c r="P176" s="5" t="str">
        <f t="shared" si="3"/>
        <v>2021</v>
      </c>
      <c r="Q176" s="5" t="s">
        <v>243</v>
      </c>
      <c r="R176" s="6" t="str">
        <f>IFERROR(__xludf.DUMMYFUNCTION("TEXT(DATEVALUE(REGEXREPLACE(Q176,""(\d+)(st|nd|rd|th)"",""$1"")),""yyyy-mm-dd"")"),"2023-01-06")</f>
        <v>2023-01-06</v>
      </c>
      <c r="S176" s="7" t="s">
        <v>234</v>
      </c>
      <c r="T176" s="5" t="s">
        <v>50</v>
      </c>
      <c r="U176" s="5" t="s">
        <v>69</v>
      </c>
      <c r="V176" s="4" t="s">
        <v>439</v>
      </c>
      <c r="W176" s="4" t="s">
        <v>250</v>
      </c>
      <c r="X176" s="4" t="s">
        <v>611</v>
      </c>
      <c r="Y176" s="4" t="s">
        <v>611</v>
      </c>
      <c r="Z176" s="4" t="s">
        <v>807</v>
      </c>
      <c r="AA176" s="4" t="s">
        <v>611</v>
      </c>
      <c r="AB176" s="4" t="s">
        <v>56</v>
      </c>
      <c r="AC176" s="4" t="s">
        <v>56</v>
      </c>
      <c r="AD176" s="4" t="s">
        <v>56</v>
      </c>
      <c r="AE176" s="4" t="s">
        <v>611</v>
      </c>
      <c r="AF176" s="4" t="s">
        <v>40</v>
      </c>
      <c r="AG176" s="4" t="s">
        <v>529</v>
      </c>
      <c r="AH176" s="4" t="s">
        <v>909</v>
      </c>
      <c r="AI176" s="4" t="s">
        <v>40</v>
      </c>
      <c r="AJ176" s="4" t="s">
        <v>40</v>
      </c>
      <c r="AK176" s="5" t="s">
        <v>59</v>
      </c>
      <c r="AL176" s="4" t="s">
        <v>45</v>
      </c>
      <c r="AM176" s="5" t="s">
        <v>245</v>
      </c>
      <c r="AN176" s="6" t="str">
        <f>IFERROR(__xludf.DUMMYFUNCTION("TEXT(DATEVALUE(REGEXREPLACE(AM176,""(\d+)(st|nd|rd|th)"",""$1"")),""yyyy-mm-dd"")"),"2024-01-06")</f>
        <v>2024-01-06</v>
      </c>
    </row>
    <row r="177">
      <c r="A177" s="4" t="s">
        <v>910</v>
      </c>
      <c r="B177" s="5" t="s">
        <v>220</v>
      </c>
      <c r="C177" s="5" t="s">
        <v>911</v>
      </c>
      <c r="D177" s="6" t="str">
        <f>IFERROR(__xludf.DUMMYFUNCTION("GOOGLETRANSLATE(C177,""auto"",""en"")"),"MIXED DT 21/22 (Coffea Arabica)")</f>
        <v>MIXED DT 21/22 (Coffea Arabica)</v>
      </c>
      <c r="E177" s="5" t="s">
        <v>912</v>
      </c>
      <c r="F177" s="5">
        <f>IFERROR(__xludf.DUMMYFUNCTION("SPLIT(E177,""-"")
"),800.0)</f>
        <v>800</v>
      </c>
      <c r="G177" s="5">
        <f>IFERROR(__xludf.DUMMYFUNCTION("""COMPUTED_VALUE"""),1200.0)</f>
        <v>1200</v>
      </c>
      <c r="H177" s="5">
        <f t="shared" si="4"/>
        <v>1000</v>
      </c>
      <c r="I177" s="5" t="s">
        <v>677</v>
      </c>
      <c r="J177" s="5" t="str">
        <f t="shared" si="2"/>
        <v>North Of Thailand</v>
      </c>
      <c r="K177" s="4" t="s">
        <v>76</v>
      </c>
      <c r="L177" s="5">
        <v>1.0</v>
      </c>
      <c r="M177" s="5" t="s">
        <v>223</v>
      </c>
      <c r="N177" s="5" t="str">
        <f>IFERROR(__xludf.DUMMYFUNCTION("PROPER(GOOGLETRANSLATE(M177, ""auto"", ""en""))"),"Fabb Academy Of Coffee")</f>
        <v>Fabb Academy Of Coffee</v>
      </c>
      <c r="O177" s="4" t="s">
        <v>94</v>
      </c>
      <c r="P177" s="5" t="str">
        <f t="shared" si="3"/>
        <v>2022</v>
      </c>
      <c r="Q177" s="5" t="s">
        <v>678</v>
      </c>
      <c r="R177" s="6" t="str">
        <f>IFERROR(__xludf.DUMMYFUNCTION("TEXT(DATEVALUE(REGEXREPLACE(Q177,""(\d+)(st|nd|rd|th)"",""$1"")),""yyyy-mm-dd"")"),"2022-07-14")</f>
        <v>2022-07-14</v>
      </c>
      <c r="S177" s="7" t="s">
        <v>225</v>
      </c>
      <c r="T177" s="5" t="s">
        <v>50</v>
      </c>
      <c r="U177" s="5" t="s">
        <v>69</v>
      </c>
      <c r="V177" s="4" t="s">
        <v>795</v>
      </c>
      <c r="W177" s="4" t="s">
        <v>439</v>
      </c>
      <c r="X177" s="4" t="s">
        <v>611</v>
      </c>
      <c r="Y177" s="4" t="s">
        <v>611</v>
      </c>
      <c r="Z177" s="4" t="s">
        <v>250</v>
      </c>
      <c r="AA177" s="4" t="s">
        <v>439</v>
      </c>
      <c r="AB177" s="4" t="s">
        <v>56</v>
      </c>
      <c r="AC177" s="4" t="s">
        <v>56</v>
      </c>
      <c r="AD177" s="4" t="s">
        <v>56</v>
      </c>
      <c r="AE177" s="4" t="s">
        <v>611</v>
      </c>
      <c r="AF177" s="4" t="s">
        <v>40</v>
      </c>
      <c r="AG177" s="4" t="s">
        <v>529</v>
      </c>
      <c r="AH177" s="4" t="s">
        <v>226</v>
      </c>
      <c r="AI177" s="4" t="s">
        <v>40</v>
      </c>
      <c r="AJ177" s="4" t="s">
        <v>40</v>
      </c>
      <c r="AK177" s="5" t="s">
        <v>59</v>
      </c>
      <c r="AL177" s="4" t="s">
        <v>40</v>
      </c>
      <c r="AM177" s="5" t="s">
        <v>680</v>
      </c>
      <c r="AN177" s="6" t="str">
        <f>IFERROR(__xludf.DUMMYFUNCTION("TEXT(DATEVALUE(REGEXREPLACE(AM177,""(\d+)(st|nd|rd|th)"",""$1"")),""yyyy-mm-dd"")"),"2023-07-14")</f>
        <v>2023-07-14</v>
      </c>
    </row>
    <row r="178">
      <c r="A178" s="4" t="s">
        <v>913</v>
      </c>
      <c r="B178" s="5" t="s">
        <v>90</v>
      </c>
      <c r="C178" s="5" t="s">
        <v>914</v>
      </c>
      <c r="D178" s="6" t="str">
        <f>IFERROR(__xludf.DUMMYFUNCTION("GOOGLETRANSLATE(C178,""auto"",""en"")"),"S019194 - P04178")</f>
        <v>S019194 - P04178</v>
      </c>
      <c r="E178" s="4" t="s">
        <v>506</v>
      </c>
      <c r="F178" s="5">
        <f>IFERROR(__xludf.DUMMYFUNCTION("SPLIT(E178,""-"")
"),1500.0)</f>
        <v>1500</v>
      </c>
      <c r="G178" s="5"/>
      <c r="H178" s="5">
        <f t="shared" si="4"/>
        <v>1500</v>
      </c>
      <c r="I178" s="5" t="s">
        <v>915</v>
      </c>
      <c r="J178" s="5" t="str">
        <f t="shared" si="2"/>
        <v>Corralillo Tarrazu</v>
      </c>
      <c r="K178" s="4" t="s">
        <v>908</v>
      </c>
      <c r="L178" s="5">
        <v>30.0</v>
      </c>
      <c r="M178" s="5" t="s">
        <v>416</v>
      </c>
      <c r="N178" s="5" t="str">
        <f>IFERROR(__xludf.DUMMYFUNCTION("PROPER(GOOGLETRANSLATE(M178, ""auto"", ""en""))"),"Specialty Coffee Association Of Costa Rica")</f>
        <v>Specialty Coffee Association Of Costa Rica</v>
      </c>
      <c r="O178" s="5" t="s">
        <v>916</v>
      </c>
      <c r="P178" s="5" t="str">
        <f t="shared" si="3"/>
        <v>2018</v>
      </c>
      <c r="Q178" s="5" t="s">
        <v>917</v>
      </c>
      <c r="R178" s="6" t="str">
        <f>IFERROR(__xludf.DUMMYFUNCTION("TEXT(DATEVALUE(REGEXREPLACE(Q178,""(\d+)(st|nd|rd|th)"",""$1"")),""yyyy-mm-dd"")"),"2023-03-29")</f>
        <v>2023-03-29</v>
      </c>
      <c r="S178" s="7" t="s">
        <v>175</v>
      </c>
      <c r="T178" s="5" t="s">
        <v>50</v>
      </c>
      <c r="U178" s="5" t="s">
        <v>69</v>
      </c>
      <c r="V178" s="4" t="s">
        <v>611</v>
      </c>
      <c r="W178" s="4" t="s">
        <v>611</v>
      </c>
      <c r="X178" s="4" t="s">
        <v>611</v>
      </c>
      <c r="Y178" s="4" t="s">
        <v>724</v>
      </c>
      <c r="Z178" s="4" t="s">
        <v>250</v>
      </c>
      <c r="AA178" s="4" t="s">
        <v>724</v>
      </c>
      <c r="AB178" s="4" t="s">
        <v>56</v>
      </c>
      <c r="AC178" s="4" t="s">
        <v>56</v>
      </c>
      <c r="AD178" s="4" t="s">
        <v>56</v>
      </c>
      <c r="AE178" s="4" t="s">
        <v>439</v>
      </c>
      <c r="AF178" s="4" t="s">
        <v>40</v>
      </c>
      <c r="AG178" s="4" t="s">
        <v>529</v>
      </c>
      <c r="AH178" s="4" t="s">
        <v>73</v>
      </c>
      <c r="AI178" s="4" t="s">
        <v>45</v>
      </c>
      <c r="AJ178" s="4" t="s">
        <v>76</v>
      </c>
      <c r="AK178" s="5" t="s">
        <v>59</v>
      </c>
      <c r="AL178" s="4" t="s">
        <v>71</v>
      </c>
      <c r="AM178" s="5" t="s">
        <v>918</v>
      </c>
      <c r="AN178" s="6" t="str">
        <f>IFERROR(__xludf.DUMMYFUNCTION("TEXT(DATEVALUE(REGEXREPLACE(AM178,""(\d+)(st|nd|rd|th)"",""$1"")),""yyyy-mm-dd"")"),"2024-03-28")</f>
        <v>2024-03-28</v>
      </c>
    </row>
    <row r="179">
      <c r="A179" s="4" t="s">
        <v>919</v>
      </c>
      <c r="B179" s="5" t="s">
        <v>108</v>
      </c>
      <c r="C179" s="5" t="s">
        <v>920</v>
      </c>
      <c r="D179" s="6" t="str">
        <f>IFERROR(__xludf.DUMMYFUNCTION("GOOGLETRANSLATE(C179,""auto"",""en"")"),"SA4238")</f>
        <v>SA4238</v>
      </c>
      <c r="E179" s="5" t="s">
        <v>921</v>
      </c>
      <c r="F179" s="5">
        <f>IFERROR(__xludf.DUMMYFUNCTION("SPLIT(E179,""-"")
"),1350.0)</f>
        <v>1350</v>
      </c>
      <c r="G179" s="5">
        <f>IFERROR(__xludf.DUMMYFUNCTION("""COMPUTED_VALUE"""),1550.0)</f>
        <v>1550</v>
      </c>
      <c r="H179" s="5">
        <f t="shared" si="4"/>
        <v>1450</v>
      </c>
      <c r="I179" s="5" t="s">
        <v>922</v>
      </c>
      <c r="J179" s="5" t="str">
        <f t="shared" si="2"/>
        <v>Oriente</v>
      </c>
      <c r="K179" s="4" t="s">
        <v>364</v>
      </c>
      <c r="L179" s="5">
        <v>69.0</v>
      </c>
      <c r="M179" s="5" t="s">
        <v>46</v>
      </c>
      <c r="N179" s="5" t="str">
        <f>IFERROR(__xludf.DUMMYFUNCTION("PROPER(GOOGLETRANSLATE(M179, ""auto"", ""en""))"),"Japan Coffee Exchange")</f>
        <v>Japan Coffee Exchange</v>
      </c>
      <c r="O179" s="5" t="s">
        <v>47</v>
      </c>
      <c r="P179" s="5" t="str">
        <f t="shared" si="3"/>
        <v>2021</v>
      </c>
      <c r="Q179" s="5" t="s">
        <v>923</v>
      </c>
      <c r="R179" s="6" t="str">
        <f>IFERROR(__xludf.DUMMYFUNCTION("TEXT(DATEVALUE(REGEXREPLACE(Q179,""(\d+)(st|nd|rd|th)"",""$1"")),""yyyy-mm-dd"")"),"2022-11-28")</f>
        <v>2022-11-28</v>
      </c>
      <c r="S179" s="7" t="s">
        <v>234</v>
      </c>
      <c r="T179" s="5" t="s">
        <v>50</v>
      </c>
      <c r="U179" s="5" t="s">
        <v>69</v>
      </c>
      <c r="V179" s="4" t="s">
        <v>611</v>
      </c>
      <c r="W179" s="4" t="s">
        <v>611</v>
      </c>
      <c r="X179" s="4" t="s">
        <v>611</v>
      </c>
      <c r="Y179" s="4" t="s">
        <v>724</v>
      </c>
      <c r="Z179" s="4" t="s">
        <v>439</v>
      </c>
      <c r="AA179" s="4" t="s">
        <v>611</v>
      </c>
      <c r="AB179" s="4" t="s">
        <v>56</v>
      </c>
      <c r="AC179" s="4" t="s">
        <v>56</v>
      </c>
      <c r="AD179" s="4" t="s">
        <v>56</v>
      </c>
      <c r="AE179" s="4" t="s">
        <v>439</v>
      </c>
      <c r="AF179" s="4" t="s">
        <v>40</v>
      </c>
      <c r="AG179" s="4" t="s">
        <v>529</v>
      </c>
      <c r="AH179" s="4" t="s">
        <v>155</v>
      </c>
      <c r="AI179" s="4" t="s">
        <v>40</v>
      </c>
      <c r="AJ179" s="4" t="s">
        <v>45</v>
      </c>
      <c r="AK179" s="5" t="s">
        <v>74</v>
      </c>
      <c r="AL179" s="4" t="s">
        <v>76</v>
      </c>
      <c r="AM179" s="5" t="s">
        <v>924</v>
      </c>
      <c r="AN179" s="6" t="str">
        <f>IFERROR(__xludf.DUMMYFUNCTION("TEXT(DATEVALUE(REGEXREPLACE(AM179,""(\d+)(st|nd|rd|th)"",""$1"")),""yyyy-mm-dd"")"),"2023-11-28")</f>
        <v>2023-11-28</v>
      </c>
    </row>
    <row r="180">
      <c r="A180" s="4" t="s">
        <v>925</v>
      </c>
      <c r="B180" s="5" t="s">
        <v>380</v>
      </c>
      <c r="C180" s="5" t="s">
        <v>926</v>
      </c>
      <c r="D180" s="6" t="str">
        <f>IFERROR(__xludf.DUMMYFUNCTION("GOOGLETRANSLATE(C180,""auto"",""en"")"),"015/1686/057")</f>
        <v>015/1686/057</v>
      </c>
      <c r="E180" s="4" t="s">
        <v>231</v>
      </c>
      <c r="F180" s="5">
        <f>IFERROR(__xludf.DUMMYFUNCTION("SPLIT(E180,""-"")
"),1350.0)</f>
        <v>1350</v>
      </c>
      <c r="G180" s="5"/>
      <c r="H180" s="5">
        <f t="shared" si="4"/>
        <v>1350</v>
      </c>
      <c r="I180" s="5" t="s">
        <v>927</v>
      </c>
      <c r="J180" s="5" t="str">
        <f t="shared" si="2"/>
        <v>Sumatra</v>
      </c>
      <c r="K180" s="4" t="s">
        <v>134</v>
      </c>
      <c r="L180" s="5">
        <v>60.0</v>
      </c>
      <c r="M180" s="5" t="s">
        <v>383</v>
      </c>
      <c r="N180" s="5" t="str">
        <f>IFERROR(__xludf.DUMMYFUNCTION("PROPER(GOOGLETRANSLATE(M180, ""auto"", ""en""))"),"Nkg Quality Service (A Division Of Bernhard Rothfos Intercafé Ag)")</f>
        <v>Nkg Quality Service (A Division Of Bernhard Rothfos Intercafé Ag)</v>
      </c>
      <c r="O180" s="4" t="s">
        <v>94</v>
      </c>
      <c r="P180" s="5" t="str">
        <f t="shared" si="3"/>
        <v>2022</v>
      </c>
      <c r="Q180" s="5" t="s">
        <v>928</v>
      </c>
      <c r="R180" s="6" t="str">
        <f>IFERROR(__xludf.DUMMYFUNCTION("TEXT(DATEVALUE(REGEXREPLACE(Q180,""(\d+)(st|nd|rd|th)"",""$1"")),""yyyy-mm-dd"")"),"2022-08-22")</f>
        <v>2022-08-22</v>
      </c>
      <c r="S180" s="7" t="s">
        <v>234</v>
      </c>
      <c r="T180" s="5" t="s">
        <v>50</v>
      </c>
      <c r="U180" s="5" t="s">
        <v>180</v>
      </c>
      <c r="V180" s="4" t="s">
        <v>167</v>
      </c>
      <c r="W180" s="4" t="s">
        <v>724</v>
      </c>
      <c r="X180" s="4" t="s">
        <v>807</v>
      </c>
      <c r="Y180" s="4" t="s">
        <v>167</v>
      </c>
      <c r="Z180" s="4" t="s">
        <v>611</v>
      </c>
      <c r="AA180" s="4" t="s">
        <v>807</v>
      </c>
      <c r="AB180" s="4" t="s">
        <v>56</v>
      </c>
      <c r="AC180" s="4" t="s">
        <v>56</v>
      </c>
      <c r="AD180" s="4" t="s">
        <v>56</v>
      </c>
      <c r="AE180" s="4" t="s">
        <v>611</v>
      </c>
      <c r="AF180" s="4" t="s">
        <v>40</v>
      </c>
      <c r="AG180" s="4" t="s">
        <v>529</v>
      </c>
      <c r="AH180" s="4" t="s">
        <v>929</v>
      </c>
      <c r="AI180" s="4" t="s">
        <v>40</v>
      </c>
      <c r="AJ180" s="4" t="s">
        <v>40</v>
      </c>
      <c r="AK180" s="5" t="s">
        <v>74</v>
      </c>
      <c r="AL180" s="4" t="s">
        <v>40</v>
      </c>
      <c r="AM180" s="5" t="s">
        <v>930</v>
      </c>
      <c r="AN180" s="6" t="str">
        <f>IFERROR(__xludf.DUMMYFUNCTION("TEXT(DATEVALUE(REGEXREPLACE(AM180,""(\d+)(st|nd|rd|th)"",""$1"")),""yyyy-mm-dd"")"),"2023-08-22")</f>
        <v>2023-08-22</v>
      </c>
    </row>
    <row r="181">
      <c r="A181" s="4" t="s">
        <v>931</v>
      </c>
      <c r="B181" s="5" t="s">
        <v>387</v>
      </c>
      <c r="C181" s="5" t="s">
        <v>932</v>
      </c>
      <c r="D181" s="6" t="str">
        <f>IFERROR(__xludf.DUMMYFUNCTION("GOOGLETRANSLATE(C181,""auto"",""en"")"),"301R")</f>
        <v>301R</v>
      </c>
      <c r="E181" s="4" t="s">
        <v>348</v>
      </c>
      <c r="F181" s="5">
        <f>IFERROR(__xludf.DUMMYFUNCTION("SPLIT(E181,""-"")
"),1600.0)</f>
        <v>1600</v>
      </c>
      <c r="G181" s="5"/>
      <c r="H181" s="5">
        <f t="shared" si="4"/>
        <v>1600</v>
      </c>
      <c r="I181" s="5" t="s">
        <v>887</v>
      </c>
      <c r="J181" s="5" t="str">
        <f t="shared" si="2"/>
        <v>Chanchamayo, La Merced</v>
      </c>
      <c r="K181" s="4" t="s">
        <v>364</v>
      </c>
      <c r="L181" s="5">
        <v>69.0</v>
      </c>
      <c r="M181" s="5" t="s">
        <v>46</v>
      </c>
      <c r="N181" s="5" t="str">
        <f>IFERROR(__xludf.DUMMYFUNCTION("PROPER(GOOGLETRANSLATE(M181, ""auto"", ""en""))"),"Japan Coffee Exchange")</f>
        <v>Japan Coffee Exchange</v>
      </c>
      <c r="O181" s="5" t="s">
        <v>136</v>
      </c>
      <c r="P181" s="5" t="str">
        <f t="shared" si="3"/>
        <v>2022</v>
      </c>
      <c r="Q181" s="5" t="s">
        <v>815</v>
      </c>
      <c r="R181" s="6" t="str">
        <f>IFERROR(__xludf.DUMMYFUNCTION("TEXT(DATEVALUE(REGEXREPLACE(Q181,""(\d+)(st|nd|rd|th)"",""$1"")),""yyyy-mm-dd"")"),"2022-07-11")</f>
        <v>2022-07-11</v>
      </c>
      <c r="S181" s="7" t="s">
        <v>175</v>
      </c>
      <c r="T181" s="5" t="s">
        <v>50</v>
      </c>
      <c r="U181" s="5" t="s">
        <v>69</v>
      </c>
      <c r="V181" s="4" t="s">
        <v>439</v>
      </c>
      <c r="W181" s="4" t="s">
        <v>439</v>
      </c>
      <c r="X181" s="4" t="s">
        <v>724</v>
      </c>
      <c r="Y181" s="4" t="s">
        <v>439</v>
      </c>
      <c r="Z181" s="4" t="s">
        <v>724</v>
      </c>
      <c r="AA181" s="4" t="s">
        <v>724</v>
      </c>
      <c r="AB181" s="4" t="s">
        <v>56</v>
      </c>
      <c r="AC181" s="4" t="s">
        <v>56</v>
      </c>
      <c r="AD181" s="4" t="s">
        <v>56</v>
      </c>
      <c r="AE181" s="4" t="s">
        <v>611</v>
      </c>
      <c r="AF181" s="4" t="s">
        <v>40</v>
      </c>
      <c r="AG181" s="4" t="s">
        <v>933</v>
      </c>
      <c r="AH181" s="4" t="s">
        <v>104</v>
      </c>
      <c r="AI181" s="4" t="s">
        <v>40</v>
      </c>
      <c r="AJ181" s="4" t="s">
        <v>76</v>
      </c>
      <c r="AK181" s="5" t="s">
        <v>59</v>
      </c>
      <c r="AL181" s="4" t="s">
        <v>76</v>
      </c>
      <c r="AM181" s="5" t="s">
        <v>817</v>
      </c>
      <c r="AN181" s="6" t="str">
        <f>IFERROR(__xludf.DUMMYFUNCTION("TEXT(DATEVALUE(REGEXREPLACE(AM181,""(\d+)(st|nd|rd|th)"",""$1"")),""yyyy-mm-dd"")"),"2023-07-11")</f>
        <v>2023-07-11</v>
      </c>
    </row>
    <row r="182">
      <c r="A182" s="4" t="s">
        <v>934</v>
      </c>
      <c r="B182" s="5" t="s">
        <v>108</v>
      </c>
      <c r="C182" s="5" t="s">
        <v>935</v>
      </c>
      <c r="D182" s="6" t="str">
        <f>IFERROR(__xludf.DUMMYFUNCTION("GOOGLETRANSLATE(C182,""auto"",""en"")"),"GF-23392")</f>
        <v>GF-23392</v>
      </c>
      <c r="E182" s="5" t="s">
        <v>936</v>
      </c>
      <c r="F182" s="5">
        <f>IFERROR(__xludf.DUMMYFUNCTION("SPLIT(E182,""-"")
"),1200.0)</f>
        <v>1200</v>
      </c>
      <c r="G182" s="5">
        <f>IFERROR(__xludf.DUMMYFUNCTION("""COMPUTED_VALUE"""),1600.0)</f>
        <v>1600</v>
      </c>
      <c r="H182" s="5">
        <f t="shared" si="4"/>
        <v>1400</v>
      </c>
      <c r="I182" s="5" t="s">
        <v>349</v>
      </c>
      <c r="J182" s="5" t="str">
        <f t="shared" si="2"/>
        <v>Antigua</v>
      </c>
      <c r="K182" s="4" t="s">
        <v>937</v>
      </c>
      <c r="L182" s="5">
        <v>30.0</v>
      </c>
      <c r="M182" s="5" t="s">
        <v>66</v>
      </c>
      <c r="N182" s="5" t="str">
        <f>IFERROR(__xludf.DUMMYFUNCTION("PROPER(GOOGLETRANSLATE(M182, ""auto"", ""en""))"),"Taiwan Coffee Laboratory")</f>
        <v>Taiwan Coffee Laboratory</v>
      </c>
      <c r="O182" s="4" t="s">
        <v>94</v>
      </c>
      <c r="P182" s="5" t="str">
        <f t="shared" si="3"/>
        <v>2022</v>
      </c>
      <c r="Q182" s="5" t="s">
        <v>853</v>
      </c>
      <c r="R182" s="6" t="str">
        <f>IFERROR(__xludf.DUMMYFUNCTION("TEXT(DATEVALUE(REGEXREPLACE(Q182,""(\d+)(st|nd|rd|th)"",""$1"")),""yyyy-mm-dd"")"),"2022-11-03")</f>
        <v>2022-11-03</v>
      </c>
      <c r="S182" s="7" t="s">
        <v>175</v>
      </c>
      <c r="T182" s="5" t="s">
        <v>50</v>
      </c>
      <c r="U182" s="5" t="s">
        <v>69</v>
      </c>
      <c r="V182" s="4" t="s">
        <v>724</v>
      </c>
      <c r="W182" s="4" t="s">
        <v>611</v>
      </c>
      <c r="X182" s="4" t="s">
        <v>724</v>
      </c>
      <c r="Y182" s="4" t="s">
        <v>611</v>
      </c>
      <c r="Z182" s="4" t="s">
        <v>250</v>
      </c>
      <c r="AA182" s="4" t="s">
        <v>611</v>
      </c>
      <c r="AB182" s="4" t="s">
        <v>56</v>
      </c>
      <c r="AC182" s="4" t="s">
        <v>56</v>
      </c>
      <c r="AD182" s="4" t="s">
        <v>56</v>
      </c>
      <c r="AE182" s="4" t="s">
        <v>611</v>
      </c>
      <c r="AF182" s="4" t="s">
        <v>40</v>
      </c>
      <c r="AG182" s="4" t="s">
        <v>933</v>
      </c>
      <c r="AH182" s="4" t="s">
        <v>196</v>
      </c>
      <c r="AI182" s="4" t="s">
        <v>40</v>
      </c>
      <c r="AJ182" s="4" t="s">
        <v>40</v>
      </c>
      <c r="AK182" s="5" t="s">
        <v>59</v>
      </c>
      <c r="AL182" s="4" t="s">
        <v>45</v>
      </c>
      <c r="AM182" s="5" t="s">
        <v>854</v>
      </c>
      <c r="AN182" s="6" t="str">
        <f>IFERROR(__xludf.DUMMYFUNCTION("TEXT(DATEVALUE(REGEXREPLACE(AM182,""(\d+)(st|nd|rd|th)"",""$1"")),""yyyy-mm-dd"")"),"2023-11-03")</f>
        <v>2023-11-03</v>
      </c>
    </row>
    <row r="183">
      <c r="A183" s="4" t="s">
        <v>938</v>
      </c>
      <c r="B183" s="5" t="s">
        <v>62</v>
      </c>
      <c r="C183" s="5" t="s">
        <v>939</v>
      </c>
      <c r="D183" s="6" t="str">
        <f>IFERROR(__xludf.DUMMYFUNCTION("GOOGLETRANSLATE(C183,""auto"",""en"")"),"A10-Northern Taiwan Specialty Coffee Evaluation")</f>
        <v>A10-Northern Taiwan Specialty Coffee Evaluation</v>
      </c>
      <c r="E183" s="4" t="s">
        <v>305</v>
      </c>
      <c r="F183" s="5">
        <f>IFERROR(__xludf.DUMMYFUNCTION("SPLIT(E183,""-"")
"),300.0)</f>
        <v>300</v>
      </c>
      <c r="G183" s="5"/>
      <c r="H183" s="5">
        <f t="shared" si="4"/>
        <v>300</v>
      </c>
      <c r="I183" s="5" t="s">
        <v>713</v>
      </c>
      <c r="J183" s="5" t="str">
        <f t="shared" si="2"/>
        <v>桃園市</v>
      </c>
      <c r="K183" s="4" t="s">
        <v>45</v>
      </c>
      <c r="L183" s="5">
        <v>6.0</v>
      </c>
      <c r="M183" s="5" t="s">
        <v>66</v>
      </c>
      <c r="N183" s="5" t="str">
        <f>IFERROR(__xludf.DUMMYFUNCTION("PROPER(GOOGLETRANSLATE(M183, ""auto"", ""en""))"),"Taiwan Coffee Laboratory")</f>
        <v>Taiwan Coffee Laboratory</v>
      </c>
      <c r="O183" s="5" t="s">
        <v>47</v>
      </c>
      <c r="P183" s="5" t="str">
        <f t="shared" si="3"/>
        <v>2021</v>
      </c>
      <c r="Q183" s="5" t="s">
        <v>243</v>
      </c>
      <c r="R183" s="6" t="str">
        <f>IFERROR(__xludf.DUMMYFUNCTION("TEXT(DATEVALUE(REGEXREPLACE(Q183,""(\d+)(st|nd|rd|th)"",""$1"")),""yyyy-mm-dd"")"),"2023-01-06")</f>
        <v>2023-01-06</v>
      </c>
      <c r="S183" s="7" t="s">
        <v>216</v>
      </c>
      <c r="T183" s="5" t="s">
        <v>50</v>
      </c>
      <c r="U183" s="5" t="s">
        <v>180</v>
      </c>
      <c r="V183" s="4" t="s">
        <v>807</v>
      </c>
      <c r="W183" s="4" t="s">
        <v>611</v>
      </c>
      <c r="X183" s="4" t="s">
        <v>611</v>
      </c>
      <c r="Y183" s="4" t="s">
        <v>439</v>
      </c>
      <c r="Z183" s="4" t="s">
        <v>611</v>
      </c>
      <c r="AA183" s="4" t="s">
        <v>611</v>
      </c>
      <c r="AB183" s="4" t="s">
        <v>56</v>
      </c>
      <c r="AC183" s="4" t="s">
        <v>56</v>
      </c>
      <c r="AD183" s="4" t="s">
        <v>56</v>
      </c>
      <c r="AE183" s="4" t="s">
        <v>611</v>
      </c>
      <c r="AF183" s="4" t="s">
        <v>40</v>
      </c>
      <c r="AG183" s="4" t="s">
        <v>940</v>
      </c>
      <c r="AH183" s="4" t="s">
        <v>189</v>
      </c>
      <c r="AI183" s="4" t="s">
        <v>40</v>
      </c>
      <c r="AJ183" s="4" t="s">
        <v>40</v>
      </c>
      <c r="AK183" s="5" t="s">
        <v>59</v>
      </c>
      <c r="AL183" s="4" t="s">
        <v>40</v>
      </c>
      <c r="AM183" s="5" t="s">
        <v>245</v>
      </c>
      <c r="AN183" s="6" t="str">
        <f>IFERROR(__xludf.DUMMYFUNCTION("TEXT(DATEVALUE(REGEXREPLACE(AM183,""(\d+)(st|nd|rd|th)"",""$1"")),""yyyy-mm-dd"")"),"2024-01-06")</f>
        <v>2024-01-06</v>
      </c>
    </row>
    <row r="184">
      <c r="A184" s="4" t="s">
        <v>941</v>
      </c>
      <c r="B184" s="5" t="s">
        <v>461</v>
      </c>
      <c r="C184" s="4" t="s">
        <v>942</v>
      </c>
      <c r="D184" s="6" t="str">
        <f>IFERROR(__xludf.DUMMYFUNCTION("GOOGLETRANSLATE(C184,""auto"",""en"")"),"221221")</f>
        <v>221221</v>
      </c>
      <c r="E184" s="4" t="s">
        <v>943</v>
      </c>
      <c r="F184" s="5">
        <f>IFERROR(__xludf.DUMMYFUNCTION("SPLIT(E184,""-"")
"),5400.0)</f>
        <v>5400</v>
      </c>
      <c r="G184" s="5"/>
      <c r="H184" s="5">
        <f t="shared" si="4"/>
        <v>5400</v>
      </c>
      <c r="I184" s="5" t="s">
        <v>944</v>
      </c>
      <c r="J184" s="5" t="str">
        <f t="shared" si="2"/>
        <v>Lam Dong Province</v>
      </c>
      <c r="K184" s="4" t="s">
        <v>45</v>
      </c>
      <c r="L184" s="5">
        <v>1.0</v>
      </c>
      <c r="M184" s="5" t="s">
        <v>945</v>
      </c>
      <c r="N184" s="5" t="str">
        <f>IFERROR(__xludf.DUMMYFUNCTION("PROPER(GOOGLETRANSLATE(M184, ""auto"", ""en""))"),"Firedancer Coffee Consultants")</f>
        <v>Firedancer Coffee Consultants</v>
      </c>
      <c r="O184" s="5" t="s">
        <v>136</v>
      </c>
      <c r="P184" s="5" t="str">
        <f t="shared" si="3"/>
        <v>2022</v>
      </c>
      <c r="Q184" s="5" t="s">
        <v>946</v>
      </c>
      <c r="R184" s="6" t="str">
        <f>IFERROR(__xludf.DUMMYFUNCTION("TEXT(DATEVALUE(REGEXREPLACE(Q184,""(\d+)(st|nd|rd|th)"",""$1"")),""yyyy-mm-dd"")"),"2023-04-10")</f>
        <v>2023-04-10</v>
      </c>
      <c r="S184" s="7" t="s">
        <v>225</v>
      </c>
      <c r="T184" s="5" t="s">
        <v>50</v>
      </c>
      <c r="U184" s="5" t="s">
        <v>180</v>
      </c>
      <c r="V184" s="4" t="s">
        <v>439</v>
      </c>
      <c r="W184" s="4" t="s">
        <v>439</v>
      </c>
      <c r="X184" s="4" t="s">
        <v>807</v>
      </c>
      <c r="Y184" s="4" t="s">
        <v>611</v>
      </c>
      <c r="Z184" s="4" t="s">
        <v>611</v>
      </c>
      <c r="AA184" s="4" t="s">
        <v>611</v>
      </c>
      <c r="AB184" s="4" t="s">
        <v>56</v>
      </c>
      <c r="AC184" s="4" t="s">
        <v>56</v>
      </c>
      <c r="AD184" s="4" t="s">
        <v>56</v>
      </c>
      <c r="AE184" s="4" t="s">
        <v>724</v>
      </c>
      <c r="AF184" s="4" t="s">
        <v>40</v>
      </c>
      <c r="AG184" s="4" t="s">
        <v>940</v>
      </c>
      <c r="AH184" s="4" t="s">
        <v>397</v>
      </c>
      <c r="AI184" s="4" t="s">
        <v>40</v>
      </c>
      <c r="AJ184" s="4" t="s">
        <v>40</v>
      </c>
      <c r="AK184" s="5" t="s">
        <v>59</v>
      </c>
      <c r="AL184" s="4" t="s">
        <v>96</v>
      </c>
      <c r="AM184" s="5" t="s">
        <v>947</v>
      </c>
      <c r="AN184" s="6" t="str">
        <f>IFERROR(__xludf.DUMMYFUNCTION("TEXT(DATEVALUE(REGEXREPLACE(AM184,""(\d+)(st|nd|rd|th)"",""$1"")),""yyyy-mm-dd"")"),"2024-04-09")</f>
        <v>2024-04-09</v>
      </c>
    </row>
    <row r="185">
      <c r="A185" s="4" t="s">
        <v>948</v>
      </c>
      <c r="B185" s="5" t="s">
        <v>239</v>
      </c>
      <c r="C185" s="5" t="s">
        <v>949</v>
      </c>
      <c r="D185" s="6" t="str">
        <f>IFERROR(__xludf.DUMMYFUNCTION("GOOGLETRANSLATE(C185,""auto"",""en"")"),"CQU2023007")</f>
        <v>CQU2023007</v>
      </c>
      <c r="E185" s="4" t="s">
        <v>320</v>
      </c>
      <c r="F185" s="5">
        <f>IFERROR(__xludf.DUMMYFUNCTION("SPLIT(E185,""-"")
"),1000.0)</f>
        <v>1000</v>
      </c>
      <c r="G185" s="5"/>
      <c r="H185" s="5">
        <f t="shared" si="4"/>
        <v>1000</v>
      </c>
      <c r="I185" s="5" t="s">
        <v>950</v>
      </c>
      <c r="J185" s="5" t="str">
        <f t="shared" si="2"/>
        <v>Mantiquira De Minas</v>
      </c>
      <c r="K185" s="4" t="s">
        <v>170</v>
      </c>
      <c r="L185" s="5">
        <v>5.0</v>
      </c>
      <c r="M185" s="5" t="s">
        <v>46</v>
      </c>
      <c r="N185" s="5" t="str">
        <f>IFERROR(__xludf.DUMMYFUNCTION("PROPER(GOOGLETRANSLATE(M185, ""auto"", ""en""))"),"Japan Coffee Exchange")</f>
        <v>Japan Coffee Exchange</v>
      </c>
      <c r="O185" s="4" t="s">
        <v>94</v>
      </c>
      <c r="P185" s="5" t="str">
        <f t="shared" si="3"/>
        <v>2022</v>
      </c>
      <c r="Q185" s="5" t="s">
        <v>187</v>
      </c>
      <c r="R185" s="6" t="str">
        <f>IFERROR(__xludf.DUMMYFUNCTION("TEXT(DATEVALUE(REGEXREPLACE(Q185,""(\d+)(st|nd|rd|th)"",""$1"")),""yyyy-mm-dd"")"),"2023-04-07")</f>
        <v>2023-04-07</v>
      </c>
      <c r="S185" s="7" t="s">
        <v>951</v>
      </c>
      <c r="T185" s="5" t="s">
        <v>50</v>
      </c>
      <c r="U185" s="5" t="s">
        <v>180</v>
      </c>
      <c r="V185" s="4" t="s">
        <v>439</v>
      </c>
      <c r="W185" s="4" t="s">
        <v>439</v>
      </c>
      <c r="X185" s="4" t="s">
        <v>611</v>
      </c>
      <c r="Y185" s="4" t="s">
        <v>724</v>
      </c>
      <c r="Z185" s="4" t="s">
        <v>724</v>
      </c>
      <c r="AA185" s="4" t="s">
        <v>724</v>
      </c>
      <c r="AB185" s="4" t="s">
        <v>56</v>
      </c>
      <c r="AC185" s="4" t="s">
        <v>56</v>
      </c>
      <c r="AD185" s="4" t="s">
        <v>56</v>
      </c>
      <c r="AE185" s="4" t="s">
        <v>611</v>
      </c>
      <c r="AF185" s="4" t="s">
        <v>40</v>
      </c>
      <c r="AG185" s="4" t="s">
        <v>940</v>
      </c>
      <c r="AH185" s="4" t="s">
        <v>189</v>
      </c>
      <c r="AI185" s="4" t="s">
        <v>40</v>
      </c>
      <c r="AJ185" s="4" t="s">
        <v>40</v>
      </c>
      <c r="AK185" s="5" t="s">
        <v>328</v>
      </c>
      <c r="AL185" s="4" t="s">
        <v>76</v>
      </c>
      <c r="AM185" s="5" t="s">
        <v>190</v>
      </c>
      <c r="AN185" s="6" t="str">
        <f>IFERROR(__xludf.DUMMYFUNCTION("TEXT(DATEVALUE(REGEXREPLACE(AM185,""(\d+)(st|nd|rd|th)"",""$1"")),""yyyy-mm-dd"")"),"2024-04-06")</f>
        <v>2024-04-06</v>
      </c>
    </row>
    <row r="186">
      <c r="A186" s="4" t="s">
        <v>898</v>
      </c>
      <c r="B186" s="5" t="s">
        <v>239</v>
      </c>
      <c r="C186" s="4" t="s">
        <v>45</v>
      </c>
      <c r="D186" s="6" t="str">
        <f>IFERROR(__xludf.DUMMYFUNCTION("GOOGLETRANSLATE(C186,""auto"",""en"")"),"1")</f>
        <v>1</v>
      </c>
      <c r="E186" s="5" t="s">
        <v>952</v>
      </c>
      <c r="F186" s="5">
        <f>IFERROR(__xludf.DUMMYFUNCTION("SPLIT(E186,""-"")
"),900.0)</f>
        <v>900</v>
      </c>
      <c r="G186" s="5">
        <f>IFERROR(__xludf.DUMMYFUNCTION("""COMPUTED_VALUE"""),1000.0)</f>
        <v>1000</v>
      </c>
      <c r="H186" s="5">
        <f t="shared" si="4"/>
        <v>950</v>
      </c>
      <c r="I186" s="5" t="s">
        <v>731</v>
      </c>
      <c r="J186" s="5" t="str">
        <f t="shared" si="2"/>
        <v>Sul De Minas</v>
      </c>
      <c r="K186" s="4" t="s">
        <v>767</v>
      </c>
      <c r="L186" s="5">
        <v>59.0</v>
      </c>
      <c r="M186" s="5" t="s">
        <v>66</v>
      </c>
      <c r="N186" s="5" t="str">
        <f>IFERROR(__xludf.DUMMYFUNCTION("PROPER(GOOGLETRANSLATE(M186, ""auto"", ""en""))"),"Taiwan Coffee Laboratory")</f>
        <v>Taiwan Coffee Laboratory</v>
      </c>
      <c r="O186" s="4" t="s">
        <v>153</v>
      </c>
      <c r="P186" s="5" t="str">
        <f t="shared" si="3"/>
        <v>2021</v>
      </c>
      <c r="Q186" s="5" t="s">
        <v>322</v>
      </c>
      <c r="R186" s="6" t="str">
        <f>IFERROR(__xludf.DUMMYFUNCTION("TEXT(DATEVALUE(REGEXREPLACE(Q186,""(\d+)(st|nd|rd|th)"",""$1"")),""yyyy-mm-dd"")"),"2022-12-30")</f>
        <v>2022-12-30</v>
      </c>
      <c r="S186" s="7" t="s">
        <v>953</v>
      </c>
      <c r="T186" s="5" t="s">
        <v>50</v>
      </c>
      <c r="U186" s="5" t="s">
        <v>123</v>
      </c>
      <c r="V186" s="4" t="s">
        <v>611</v>
      </c>
      <c r="W186" s="4" t="s">
        <v>439</v>
      </c>
      <c r="X186" s="4" t="s">
        <v>250</v>
      </c>
      <c r="Y186" s="4" t="s">
        <v>724</v>
      </c>
      <c r="Z186" s="4" t="s">
        <v>724</v>
      </c>
      <c r="AA186" s="4" t="s">
        <v>807</v>
      </c>
      <c r="AB186" s="4" t="s">
        <v>56</v>
      </c>
      <c r="AC186" s="4" t="s">
        <v>56</v>
      </c>
      <c r="AD186" s="4" t="s">
        <v>56</v>
      </c>
      <c r="AE186" s="4" t="s">
        <v>724</v>
      </c>
      <c r="AF186" s="4" t="s">
        <v>40</v>
      </c>
      <c r="AG186" s="4" t="s">
        <v>954</v>
      </c>
      <c r="AH186" s="4" t="s">
        <v>649</v>
      </c>
      <c r="AI186" s="4" t="s">
        <v>40</v>
      </c>
      <c r="AJ186" s="4" t="s">
        <v>40</v>
      </c>
      <c r="AK186" s="5" t="s">
        <v>105</v>
      </c>
      <c r="AL186" s="4" t="s">
        <v>40</v>
      </c>
      <c r="AM186" s="5" t="s">
        <v>323</v>
      </c>
      <c r="AN186" s="6" t="str">
        <f>IFERROR(__xludf.DUMMYFUNCTION("TEXT(DATEVALUE(REGEXREPLACE(AM186,""(\d+)(st|nd|rd|th)"",""$1"")),""yyyy-mm-dd"")"),"2023-12-30")</f>
        <v>2023-12-30</v>
      </c>
    </row>
    <row r="187">
      <c r="A187" s="4" t="s">
        <v>864</v>
      </c>
      <c r="B187" s="5" t="s">
        <v>41</v>
      </c>
      <c r="C187" s="4" t="s">
        <v>45</v>
      </c>
      <c r="D187" s="6" t="str">
        <f>IFERROR(__xludf.DUMMYFUNCTION("GOOGLETRANSLATE(C187,""auto"",""en"")"),"1")</f>
        <v>1</v>
      </c>
      <c r="E187" s="4" t="s">
        <v>955</v>
      </c>
      <c r="F187" s="5">
        <f>IFERROR(__xludf.DUMMYFUNCTION("SPLIT(E187,""-"")
"),1574.0)</f>
        <v>1574</v>
      </c>
      <c r="G187" s="5"/>
      <c r="H187" s="5">
        <f t="shared" si="4"/>
        <v>1574</v>
      </c>
      <c r="I187" s="5" t="s">
        <v>956</v>
      </c>
      <c r="J187" s="5" t="str">
        <f t="shared" si="2"/>
        <v>Santander</v>
      </c>
      <c r="K187" s="4" t="s">
        <v>364</v>
      </c>
      <c r="L187" s="5">
        <v>70.0</v>
      </c>
      <c r="M187" s="5" t="s">
        <v>66</v>
      </c>
      <c r="N187" s="5" t="str">
        <f>IFERROR(__xludf.DUMMYFUNCTION("PROPER(GOOGLETRANSLATE(M187, ""auto"", ""en""))"),"Taiwan Coffee Laboratory")</f>
        <v>Taiwan Coffee Laboratory</v>
      </c>
      <c r="O187" s="4" t="s">
        <v>153</v>
      </c>
      <c r="P187" s="5" t="str">
        <f t="shared" si="3"/>
        <v>2021</v>
      </c>
      <c r="Q187" s="5" t="s">
        <v>322</v>
      </c>
      <c r="R187" s="6" t="str">
        <f>IFERROR(__xludf.DUMMYFUNCTION("TEXT(DATEVALUE(REGEXREPLACE(Q187,""(\d+)(st|nd|rd|th)"",""$1"")),""yyyy-mm-dd"")"),"2022-12-30")</f>
        <v>2022-12-30</v>
      </c>
      <c r="S187" s="7" t="s">
        <v>956</v>
      </c>
      <c r="T187" s="5" t="s">
        <v>50</v>
      </c>
      <c r="U187" s="5" t="s">
        <v>69</v>
      </c>
      <c r="V187" s="4" t="s">
        <v>724</v>
      </c>
      <c r="W187" s="4" t="s">
        <v>439</v>
      </c>
      <c r="X187" s="4" t="s">
        <v>724</v>
      </c>
      <c r="Y187" s="4" t="s">
        <v>611</v>
      </c>
      <c r="Z187" s="4" t="s">
        <v>611</v>
      </c>
      <c r="AA187" s="4" t="s">
        <v>611</v>
      </c>
      <c r="AB187" s="4" t="s">
        <v>56</v>
      </c>
      <c r="AC187" s="4" t="s">
        <v>56</v>
      </c>
      <c r="AD187" s="4" t="s">
        <v>56</v>
      </c>
      <c r="AE187" s="4" t="s">
        <v>724</v>
      </c>
      <c r="AF187" s="4" t="s">
        <v>40</v>
      </c>
      <c r="AG187" s="4" t="s">
        <v>954</v>
      </c>
      <c r="AH187" s="4" t="s">
        <v>397</v>
      </c>
      <c r="AI187" s="4" t="s">
        <v>40</v>
      </c>
      <c r="AJ187" s="4" t="s">
        <v>40</v>
      </c>
      <c r="AK187" s="5" t="s">
        <v>105</v>
      </c>
      <c r="AL187" s="4" t="s">
        <v>40</v>
      </c>
      <c r="AM187" s="5" t="s">
        <v>323</v>
      </c>
      <c r="AN187" s="6" t="str">
        <f>IFERROR(__xludf.DUMMYFUNCTION("TEXT(DATEVALUE(REGEXREPLACE(AM187,""(\d+)(st|nd|rd|th)"",""$1"")),""yyyy-mm-dd"")"),"2023-12-30")</f>
        <v>2023-12-30</v>
      </c>
    </row>
    <row r="188">
      <c r="A188" s="4" t="s">
        <v>957</v>
      </c>
      <c r="B188" s="5" t="s">
        <v>623</v>
      </c>
      <c r="C188" s="4" t="s">
        <v>76</v>
      </c>
      <c r="D188" s="6" t="str">
        <f>IFERROR(__xludf.DUMMYFUNCTION("GOOGLETRANSLATE(C188,""auto"",""en"")"),"2")</f>
        <v>2</v>
      </c>
      <c r="E188" s="4" t="s">
        <v>64</v>
      </c>
      <c r="F188" s="5">
        <f>IFERROR(__xludf.DUMMYFUNCTION("SPLIT(E188,""-"")
"),1200.0)</f>
        <v>1200</v>
      </c>
      <c r="G188" s="5"/>
      <c r="H188" s="5">
        <f t="shared" si="4"/>
        <v>1200</v>
      </c>
      <c r="I188" s="5" t="s">
        <v>958</v>
      </c>
      <c r="J188" s="5" t="str">
        <f t="shared" si="2"/>
        <v>Coatepec, Veracruz</v>
      </c>
      <c r="K188" s="4" t="s">
        <v>270</v>
      </c>
      <c r="L188" s="5">
        <v>69.0</v>
      </c>
      <c r="M188" s="5" t="s">
        <v>562</v>
      </c>
      <c r="N188" s="5" t="str">
        <f>IFERROR(__xludf.DUMMYFUNCTION("PROPER(GOOGLETRANSLATE(M188, ""auto"", ""en""))"),"Agroecological Coffee Center A.C.")</f>
        <v>Agroecological Coffee Center A.C.</v>
      </c>
      <c r="O188" s="5" t="s">
        <v>47</v>
      </c>
      <c r="P188" s="5" t="str">
        <f t="shared" si="3"/>
        <v>2021</v>
      </c>
      <c r="Q188" s="5" t="s">
        <v>780</v>
      </c>
      <c r="R188" s="6" t="str">
        <f>IFERROR(__xludf.DUMMYFUNCTION("TEXT(DATEVALUE(REGEXREPLACE(Q188,""(\d+)(st|nd|rd|th)"",""$1"")),""yyyy-mm-dd"")"),"2022-08-11")</f>
        <v>2022-08-11</v>
      </c>
      <c r="S188" s="7" t="s">
        <v>216</v>
      </c>
      <c r="T188" s="5" t="s">
        <v>50</v>
      </c>
      <c r="U188" s="5" t="s">
        <v>69</v>
      </c>
      <c r="V188" s="4" t="s">
        <v>250</v>
      </c>
      <c r="W188" s="4" t="s">
        <v>611</v>
      </c>
      <c r="X188" s="4" t="s">
        <v>807</v>
      </c>
      <c r="Y188" s="4" t="s">
        <v>807</v>
      </c>
      <c r="Z188" s="4" t="s">
        <v>439</v>
      </c>
      <c r="AA188" s="4" t="s">
        <v>724</v>
      </c>
      <c r="AB188" s="4" t="s">
        <v>56</v>
      </c>
      <c r="AC188" s="4" t="s">
        <v>56</v>
      </c>
      <c r="AD188" s="4" t="s">
        <v>56</v>
      </c>
      <c r="AE188" s="4" t="s">
        <v>724</v>
      </c>
      <c r="AF188" s="4" t="s">
        <v>40</v>
      </c>
      <c r="AG188" s="4" t="s">
        <v>959</v>
      </c>
      <c r="AH188" s="4" t="s">
        <v>58</v>
      </c>
      <c r="AI188" s="4" t="s">
        <v>76</v>
      </c>
      <c r="AJ188" s="4" t="s">
        <v>40</v>
      </c>
      <c r="AK188" s="5" t="s">
        <v>59</v>
      </c>
      <c r="AL188" s="4" t="s">
        <v>76</v>
      </c>
      <c r="AM188" s="5" t="s">
        <v>781</v>
      </c>
      <c r="AN188" s="6" t="str">
        <f>IFERROR(__xludf.DUMMYFUNCTION("TEXT(DATEVALUE(REGEXREPLACE(AM188,""(\d+)(st|nd|rd|th)"",""$1"")),""yyyy-mm-dd"")"),"2023-08-11")</f>
        <v>2023-08-11</v>
      </c>
    </row>
    <row r="189">
      <c r="A189" s="4" t="s">
        <v>760</v>
      </c>
      <c r="B189" s="5" t="s">
        <v>90</v>
      </c>
      <c r="C189" s="5" t="s">
        <v>960</v>
      </c>
      <c r="D189" s="6" t="str">
        <f>IFERROR(__xludf.DUMMYFUNCTION("GOOGLETRANSLATE(C189,""auto"",""en"")"),"OIC 5-019-0037 / Container: DRYU3106597 / Client: O COFFEE")</f>
        <v>OIC 5-019-0037 / Container: DRYU3106597 / Client: O COFFEE</v>
      </c>
      <c r="E189" s="4" t="s">
        <v>64</v>
      </c>
      <c r="F189" s="5">
        <f>IFERROR(__xludf.DUMMYFUNCTION("SPLIT(E189,""-"")
"),1200.0)</f>
        <v>1200</v>
      </c>
      <c r="G189" s="5"/>
      <c r="H189" s="5">
        <f t="shared" si="4"/>
        <v>1200</v>
      </c>
      <c r="I189" s="5" t="s">
        <v>961</v>
      </c>
      <c r="J189" s="5" t="str">
        <f t="shared" si="2"/>
        <v>Occidente</v>
      </c>
      <c r="K189" s="4" t="s">
        <v>603</v>
      </c>
      <c r="L189" s="5">
        <v>69.0</v>
      </c>
      <c r="M189" s="5" t="s">
        <v>416</v>
      </c>
      <c r="N189" s="5" t="str">
        <f>IFERROR(__xludf.DUMMYFUNCTION("PROPER(GOOGLETRANSLATE(M189, ""auto"", ""en""))"),"Specialty Coffee Association Of Costa Rica")</f>
        <v>Specialty Coffee Association Of Costa Rica</v>
      </c>
      <c r="O189" s="5" t="s">
        <v>136</v>
      </c>
      <c r="P189" s="5" t="str">
        <f t="shared" si="3"/>
        <v>2022</v>
      </c>
      <c r="Q189" s="5" t="s">
        <v>917</v>
      </c>
      <c r="R189" s="6" t="str">
        <f>IFERROR(__xludf.DUMMYFUNCTION("TEXT(DATEVALUE(REGEXREPLACE(Q189,""(\d+)(st|nd|rd|th)"",""$1"")),""yyyy-mm-dd"")"),"2023-03-29")</f>
        <v>2023-03-29</v>
      </c>
      <c r="S189" s="7" t="s">
        <v>175</v>
      </c>
      <c r="T189" s="5" t="s">
        <v>50</v>
      </c>
      <c r="U189" s="5" t="s">
        <v>69</v>
      </c>
      <c r="V189" s="4" t="s">
        <v>724</v>
      </c>
      <c r="W189" s="4" t="s">
        <v>611</v>
      </c>
      <c r="X189" s="4" t="s">
        <v>807</v>
      </c>
      <c r="Y189" s="4" t="s">
        <v>611</v>
      </c>
      <c r="Z189" s="4" t="s">
        <v>611</v>
      </c>
      <c r="AA189" s="4" t="s">
        <v>724</v>
      </c>
      <c r="AB189" s="4" t="s">
        <v>56</v>
      </c>
      <c r="AC189" s="4" t="s">
        <v>56</v>
      </c>
      <c r="AD189" s="4" t="s">
        <v>56</v>
      </c>
      <c r="AE189" s="4" t="s">
        <v>611</v>
      </c>
      <c r="AF189" s="4" t="s">
        <v>40</v>
      </c>
      <c r="AG189" s="4" t="s">
        <v>962</v>
      </c>
      <c r="AH189" s="4" t="s">
        <v>378</v>
      </c>
      <c r="AI189" s="4" t="s">
        <v>40</v>
      </c>
      <c r="AJ189" s="4" t="s">
        <v>76</v>
      </c>
      <c r="AK189" s="5" t="s">
        <v>59</v>
      </c>
      <c r="AL189" s="4" t="s">
        <v>96</v>
      </c>
      <c r="AM189" s="5" t="s">
        <v>918</v>
      </c>
      <c r="AN189" s="6" t="str">
        <f>IFERROR(__xludf.DUMMYFUNCTION("TEXT(DATEVALUE(REGEXREPLACE(AM189,""(\d+)(st|nd|rd|th)"",""$1"")),""yyyy-mm-dd"")"),"2024-03-28")</f>
        <v>2024-03-28</v>
      </c>
    </row>
    <row r="190">
      <c r="A190" s="4" t="s">
        <v>963</v>
      </c>
      <c r="B190" s="5" t="s">
        <v>62</v>
      </c>
      <c r="C190" s="5" t="s">
        <v>964</v>
      </c>
      <c r="D190" s="6" t="str">
        <f>IFERROR(__xludf.DUMMYFUNCTION("GOOGLETRANSLATE(C190,""auto"",""en"")"),"A46-Northern Taiwan Specialty Coffee Evaluation")</f>
        <v>A46-Northern Taiwan Specialty Coffee Evaluation</v>
      </c>
      <c r="E190" s="4" t="s">
        <v>305</v>
      </c>
      <c r="F190" s="5">
        <f>IFERROR(__xludf.DUMMYFUNCTION("SPLIT(E190,""-"")
"),300.0)</f>
        <v>300</v>
      </c>
      <c r="G190" s="5"/>
      <c r="H190" s="5">
        <f t="shared" si="4"/>
        <v>300</v>
      </c>
      <c r="I190" s="5" t="s">
        <v>537</v>
      </c>
      <c r="J190" s="5" t="str">
        <f t="shared" si="2"/>
        <v>新北市</v>
      </c>
      <c r="K190" s="4" t="s">
        <v>45</v>
      </c>
      <c r="L190" s="5">
        <v>100.0</v>
      </c>
      <c r="M190" s="5" t="s">
        <v>66</v>
      </c>
      <c r="N190" s="5" t="str">
        <f>IFERROR(__xludf.DUMMYFUNCTION("PROPER(GOOGLETRANSLATE(M190, ""auto"", ""en""))"),"Taiwan Coffee Laboratory")</f>
        <v>Taiwan Coffee Laboratory</v>
      </c>
      <c r="O190" s="5" t="s">
        <v>47</v>
      </c>
      <c r="P190" s="5" t="str">
        <f t="shared" si="3"/>
        <v>2021</v>
      </c>
      <c r="Q190" s="5" t="s">
        <v>243</v>
      </c>
      <c r="R190" s="6" t="str">
        <f>IFERROR(__xludf.DUMMYFUNCTION("TEXT(DATEVALUE(REGEXREPLACE(Q190,""(\d+)(st|nd|rd|th)"",""$1"")),""yyyy-mm-dd"")"),"2023-01-06")</f>
        <v>2023-01-06</v>
      </c>
      <c r="S190" s="7" t="s">
        <v>216</v>
      </c>
      <c r="T190" s="5" t="s">
        <v>50</v>
      </c>
      <c r="U190" s="5" t="s">
        <v>180</v>
      </c>
      <c r="V190" s="4" t="s">
        <v>611</v>
      </c>
      <c r="W190" s="4" t="s">
        <v>439</v>
      </c>
      <c r="X190" s="4" t="s">
        <v>724</v>
      </c>
      <c r="Y190" s="4" t="s">
        <v>724</v>
      </c>
      <c r="Z190" s="4" t="s">
        <v>724</v>
      </c>
      <c r="AA190" s="4" t="s">
        <v>724</v>
      </c>
      <c r="AB190" s="4" t="s">
        <v>56</v>
      </c>
      <c r="AC190" s="4" t="s">
        <v>56</v>
      </c>
      <c r="AD190" s="4" t="s">
        <v>56</v>
      </c>
      <c r="AE190" s="4" t="s">
        <v>724</v>
      </c>
      <c r="AF190" s="4" t="s">
        <v>40</v>
      </c>
      <c r="AG190" s="4" t="s">
        <v>962</v>
      </c>
      <c r="AH190" s="4" t="s">
        <v>129</v>
      </c>
      <c r="AI190" s="4" t="s">
        <v>40</v>
      </c>
      <c r="AJ190" s="4" t="s">
        <v>40</v>
      </c>
      <c r="AK190" s="5" t="s">
        <v>105</v>
      </c>
      <c r="AL190" s="4" t="s">
        <v>40</v>
      </c>
      <c r="AM190" s="5" t="s">
        <v>245</v>
      </c>
      <c r="AN190" s="6" t="str">
        <f>IFERROR(__xludf.DUMMYFUNCTION("TEXT(DATEVALUE(REGEXREPLACE(AM190,""(\d+)(st|nd|rd|th)"",""$1"")),""yyyy-mm-dd"")"),"2024-01-06")</f>
        <v>2024-01-06</v>
      </c>
    </row>
    <row r="191">
      <c r="A191" s="4" t="s">
        <v>965</v>
      </c>
      <c r="B191" s="5" t="s">
        <v>62</v>
      </c>
      <c r="C191" s="5" t="s">
        <v>966</v>
      </c>
      <c r="D191" s="6" t="str">
        <f>IFERROR(__xludf.DUMMYFUNCTION("GOOGLETRANSLATE(C191,""auto"",""en"")"),"A38-Northern Taiwan Specialty Coffee Evaluation")</f>
        <v>A38-Northern Taiwan Specialty Coffee Evaluation</v>
      </c>
      <c r="E191" s="4" t="s">
        <v>967</v>
      </c>
      <c r="F191" s="5">
        <f>IFERROR(__xludf.DUMMYFUNCTION("SPLIT(E191,""-"")
"),435.0)</f>
        <v>435</v>
      </c>
      <c r="G191" s="5"/>
      <c r="H191" s="5">
        <f t="shared" si="4"/>
        <v>435</v>
      </c>
      <c r="I191" s="5" t="s">
        <v>968</v>
      </c>
      <c r="J191" s="5" t="str">
        <f t="shared" si="2"/>
        <v>臺北市</v>
      </c>
      <c r="K191" s="4" t="s">
        <v>45</v>
      </c>
      <c r="L191" s="5">
        <v>8.0</v>
      </c>
      <c r="M191" s="5" t="s">
        <v>66</v>
      </c>
      <c r="N191" s="5" t="str">
        <f>IFERROR(__xludf.DUMMYFUNCTION("PROPER(GOOGLETRANSLATE(M191, ""auto"", ""en""))"),"Taiwan Coffee Laboratory")</f>
        <v>Taiwan Coffee Laboratory</v>
      </c>
      <c r="O191" s="5" t="s">
        <v>47</v>
      </c>
      <c r="P191" s="5" t="str">
        <f t="shared" si="3"/>
        <v>2021</v>
      </c>
      <c r="Q191" s="5" t="s">
        <v>243</v>
      </c>
      <c r="R191" s="6" t="str">
        <f>IFERROR(__xludf.DUMMYFUNCTION("TEXT(DATEVALUE(REGEXREPLACE(Q191,""(\d+)(st|nd|rd|th)"",""$1"")),""yyyy-mm-dd"")"),"2023-01-06")</f>
        <v>2023-01-06</v>
      </c>
      <c r="S191" s="7" t="s">
        <v>234</v>
      </c>
      <c r="T191" s="5" t="s">
        <v>50</v>
      </c>
      <c r="U191" s="5" t="s">
        <v>180</v>
      </c>
      <c r="V191" s="4" t="s">
        <v>724</v>
      </c>
      <c r="W191" s="4" t="s">
        <v>439</v>
      </c>
      <c r="X191" s="4" t="s">
        <v>611</v>
      </c>
      <c r="Y191" s="4" t="s">
        <v>724</v>
      </c>
      <c r="Z191" s="4" t="s">
        <v>724</v>
      </c>
      <c r="AA191" s="4" t="s">
        <v>807</v>
      </c>
      <c r="AB191" s="4" t="s">
        <v>56</v>
      </c>
      <c r="AC191" s="4" t="s">
        <v>56</v>
      </c>
      <c r="AD191" s="4" t="s">
        <v>56</v>
      </c>
      <c r="AE191" s="4" t="s">
        <v>724</v>
      </c>
      <c r="AF191" s="4" t="s">
        <v>40</v>
      </c>
      <c r="AG191" s="4" t="s">
        <v>969</v>
      </c>
      <c r="AH191" s="4" t="s">
        <v>53</v>
      </c>
      <c r="AI191" s="4" t="s">
        <v>40</v>
      </c>
      <c r="AJ191" s="4" t="s">
        <v>40</v>
      </c>
      <c r="AK191" s="5" t="s">
        <v>59</v>
      </c>
      <c r="AL191" s="4" t="s">
        <v>40</v>
      </c>
      <c r="AM191" s="5" t="s">
        <v>245</v>
      </c>
      <c r="AN191" s="6" t="str">
        <f>IFERROR(__xludf.DUMMYFUNCTION("TEXT(DATEVALUE(REGEXREPLACE(AM191,""(\d+)(st|nd|rd|th)"",""$1"")),""yyyy-mm-dd"")"),"2024-01-06")</f>
        <v>2024-01-06</v>
      </c>
    </row>
    <row r="192">
      <c r="A192" s="4" t="s">
        <v>970</v>
      </c>
      <c r="B192" s="5" t="s">
        <v>220</v>
      </c>
      <c r="C192" s="5" t="s">
        <v>971</v>
      </c>
      <c r="D192" s="6" t="str">
        <f>IFERROR(__xludf.DUMMYFUNCTION("GOOGLETRANSLATE(C192,""auto"",""en"")"),"JAVA 21/22 (Coffea Arabica)")</f>
        <v>JAVA 21/22 (Coffea Arabica)</v>
      </c>
      <c r="E192" s="5" t="s">
        <v>723</v>
      </c>
      <c r="F192" s="5">
        <f>IFERROR(__xludf.DUMMYFUNCTION("SPLIT(E192,""-"")
"),1300.0)</f>
        <v>1300</v>
      </c>
      <c r="G192" s="5">
        <f>IFERROR(__xludf.DUMMYFUNCTION("""COMPUTED_VALUE"""),1500.0)</f>
        <v>1500</v>
      </c>
      <c r="H192" s="5">
        <f t="shared" si="4"/>
        <v>1400</v>
      </c>
      <c r="I192" s="5" t="s">
        <v>677</v>
      </c>
      <c r="J192" s="5" t="str">
        <f t="shared" si="2"/>
        <v>North Of Thailand</v>
      </c>
      <c r="K192" s="4" t="s">
        <v>76</v>
      </c>
      <c r="L192" s="5">
        <v>1.0</v>
      </c>
      <c r="M192" s="5" t="s">
        <v>223</v>
      </c>
      <c r="N192" s="5" t="str">
        <f>IFERROR(__xludf.DUMMYFUNCTION("PROPER(GOOGLETRANSLATE(M192, ""auto"", ""en""))"),"Fabb Academy Of Coffee")</f>
        <v>Fabb Academy Of Coffee</v>
      </c>
      <c r="O192" s="4" t="s">
        <v>94</v>
      </c>
      <c r="P192" s="5" t="str">
        <f t="shared" si="3"/>
        <v>2022</v>
      </c>
      <c r="Q192" s="5" t="s">
        <v>678</v>
      </c>
      <c r="R192" s="6" t="str">
        <f>IFERROR(__xludf.DUMMYFUNCTION("TEXT(DATEVALUE(REGEXREPLACE(Q192,""(\d+)(st|nd|rd|th)"",""$1"")),""yyyy-mm-dd"")"),"2022-07-14")</f>
        <v>2022-07-14</v>
      </c>
      <c r="S192" s="7" t="s">
        <v>82</v>
      </c>
      <c r="T192" s="5" t="s">
        <v>50</v>
      </c>
      <c r="U192" s="5" t="s">
        <v>69</v>
      </c>
      <c r="V192" s="4" t="s">
        <v>724</v>
      </c>
      <c r="W192" s="4" t="s">
        <v>611</v>
      </c>
      <c r="X192" s="4" t="s">
        <v>807</v>
      </c>
      <c r="Y192" s="4" t="s">
        <v>724</v>
      </c>
      <c r="Z192" s="4" t="s">
        <v>439</v>
      </c>
      <c r="AA192" s="4" t="s">
        <v>611</v>
      </c>
      <c r="AB192" s="4" t="s">
        <v>56</v>
      </c>
      <c r="AC192" s="4" t="s">
        <v>56</v>
      </c>
      <c r="AD192" s="4" t="s">
        <v>56</v>
      </c>
      <c r="AE192" s="4" t="s">
        <v>795</v>
      </c>
      <c r="AF192" s="4" t="s">
        <v>40</v>
      </c>
      <c r="AG192" s="4" t="s">
        <v>972</v>
      </c>
      <c r="AH192" s="4" t="s">
        <v>104</v>
      </c>
      <c r="AI192" s="4" t="s">
        <v>76</v>
      </c>
      <c r="AJ192" s="4" t="s">
        <v>40</v>
      </c>
      <c r="AK192" s="5" t="s">
        <v>59</v>
      </c>
      <c r="AL192" s="4" t="s">
        <v>45</v>
      </c>
      <c r="AM192" s="5" t="s">
        <v>680</v>
      </c>
      <c r="AN192" s="6" t="str">
        <f>IFERROR(__xludf.DUMMYFUNCTION("TEXT(DATEVALUE(REGEXREPLACE(AM192,""(\d+)(st|nd|rd|th)"",""$1"")),""yyyy-mm-dd"")"),"2023-07-14")</f>
        <v>2023-07-14</v>
      </c>
    </row>
    <row r="193">
      <c r="A193" s="4" t="s">
        <v>973</v>
      </c>
      <c r="B193" s="5" t="s">
        <v>220</v>
      </c>
      <c r="C193" s="5" t="s">
        <v>974</v>
      </c>
      <c r="D193" s="6" t="str">
        <f>IFERROR(__xludf.DUMMYFUNCTION("GOOGLETRANSLATE(C193,""auto"",""en"")"),"The 2022 Pacific Rim Coffee Summit,TH07")</f>
        <v>The 2022 Pacific Rim Coffee Summit,TH07</v>
      </c>
      <c r="E193" s="4" t="s">
        <v>403</v>
      </c>
      <c r="F193" s="5">
        <f>IFERROR(__xludf.DUMMYFUNCTION("SPLIT(E193,""-"")
"),1400.0)</f>
        <v>1400</v>
      </c>
      <c r="G193" s="5"/>
      <c r="H193" s="5">
        <f t="shared" si="4"/>
        <v>1400</v>
      </c>
      <c r="I193" s="5" t="s">
        <v>975</v>
      </c>
      <c r="J193" s="5" t="str">
        <f t="shared" si="2"/>
        <v>Chiang Rai</v>
      </c>
      <c r="K193" s="4" t="s">
        <v>107</v>
      </c>
      <c r="L193" s="5">
        <v>15.0</v>
      </c>
      <c r="M193" s="5" t="s">
        <v>66</v>
      </c>
      <c r="N193" s="5" t="str">
        <f>IFERROR(__xludf.DUMMYFUNCTION("PROPER(GOOGLETRANSLATE(M193, ""auto"", ""en""))"),"Taiwan Coffee Laboratory")</f>
        <v>Taiwan Coffee Laboratory</v>
      </c>
      <c r="O193" s="4" t="s">
        <v>153</v>
      </c>
      <c r="P193" s="5" t="str">
        <f t="shared" si="3"/>
        <v>2021</v>
      </c>
      <c r="Q193" s="5" t="s">
        <v>67</v>
      </c>
      <c r="R193" s="6" t="str">
        <f>IFERROR(__xludf.DUMMYFUNCTION("TEXT(DATEVALUE(REGEXREPLACE(Q193,""(\d+)(st|nd|rd|th)"",""$1"")),""yyyy-mm-dd"")"),"2022-11-15")</f>
        <v>2022-11-15</v>
      </c>
      <c r="S193" s="7" t="s">
        <v>976</v>
      </c>
      <c r="T193" s="5" t="s">
        <v>50</v>
      </c>
      <c r="U193" s="5" t="s">
        <v>123</v>
      </c>
      <c r="V193" s="4" t="s">
        <v>611</v>
      </c>
      <c r="W193" s="4" t="s">
        <v>807</v>
      </c>
      <c r="X193" s="4" t="s">
        <v>724</v>
      </c>
      <c r="Y193" s="4" t="s">
        <v>611</v>
      </c>
      <c r="Z193" s="4" t="s">
        <v>724</v>
      </c>
      <c r="AA193" s="4" t="s">
        <v>724</v>
      </c>
      <c r="AB193" s="4" t="s">
        <v>56</v>
      </c>
      <c r="AC193" s="4" t="s">
        <v>56</v>
      </c>
      <c r="AD193" s="4" t="s">
        <v>56</v>
      </c>
      <c r="AE193" s="4" t="s">
        <v>807</v>
      </c>
      <c r="AF193" s="4" t="s">
        <v>40</v>
      </c>
      <c r="AG193" s="4" t="s">
        <v>977</v>
      </c>
      <c r="AH193" s="4" t="s">
        <v>73</v>
      </c>
      <c r="AI193" s="4" t="s">
        <v>40</v>
      </c>
      <c r="AJ193" s="4" t="s">
        <v>40</v>
      </c>
      <c r="AK193" s="5" t="s">
        <v>89</v>
      </c>
      <c r="AL193" s="4" t="s">
        <v>107</v>
      </c>
      <c r="AM193" s="5" t="s">
        <v>75</v>
      </c>
      <c r="AN193" s="6" t="str">
        <f>IFERROR(__xludf.DUMMYFUNCTION("TEXT(DATEVALUE(REGEXREPLACE(AM193,""(\d+)(st|nd|rd|th)"",""$1"")),""yyyy-mm-dd"")"),"2023-11-15")</f>
        <v>2023-11-15</v>
      </c>
    </row>
    <row r="194">
      <c r="A194" s="4" t="s">
        <v>978</v>
      </c>
      <c r="B194" s="5" t="s">
        <v>220</v>
      </c>
      <c r="C194" s="5" t="s">
        <v>979</v>
      </c>
      <c r="D194" s="6" t="str">
        <f>IFERROR(__xludf.DUMMYFUNCTION("GOOGLETRANSLATE(C194,""auto"",""en"")"),"MIXED 21/22 (Coffea Arabica)")</f>
        <v>MIXED 21/22 (Coffea Arabica)</v>
      </c>
      <c r="E194" s="5" t="s">
        <v>980</v>
      </c>
      <c r="F194" s="5">
        <f>IFERROR(__xludf.DUMMYFUNCTION("SPLIT(E194,""-"")
"),600.0)</f>
        <v>600</v>
      </c>
      <c r="G194" s="5">
        <f>IFERROR(__xludf.DUMMYFUNCTION("""COMPUTED_VALUE"""),800.0)</f>
        <v>800</v>
      </c>
      <c r="H194" s="5">
        <f t="shared" si="4"/>
        <v>700</v>
      </c>
      <c r="I194" s="5" t="s">
        <v>677</v>
      </c>
      <c r="J194" s="5" t="str">
        <f t="shared" si="2"/>
        <v>North Of Thailand</v>
      </c>
      <c r="K194" s="4" t="s">
        <v>76</v>
      </c>
      <c r="L194" s="5">
        <v>1.0</v>
      </c>
      <c r="M194" s="5" t="s">
        <v>223</v>
      </c>
      <c r="N194" s="5" t="str">
        <f>IFERROR(__xludf.DUMMYFUNCTION("PROPER(GOOGLETRANSLATE(M194, ""auto"", ""en""))"),"Fabb Academy Of Coffee")</f>
        <v>Fabb Academy Of Coffee</v>
      </c>
      <c r="O194" s="4" t="s">
        <v>94</v>
      </c>
      <c r="P194" s="5" t="str">
        <f t="shared" si="3"/>
        <v>2022</v>
      </c>
      <c r="Q194" s="5" t="s">
        <v>678</v>
      </c>
      <c r="R194" s="6" t="str">
        <f>IFERROR(__xludf.DUMMYFUNCTION("TEXT(DATEVALUE(REGEXREPLACE(Q194,""(\d+)(st|nd|rd|th)"",""$1"")),""yyyy-mm-dd"")"),"2022-07-14")</f>
        <v>2022-07-14</v>
      </c>
      <c r="S194" s="7" t="s">
        <v>225</v>
      </c>
      <c r="T194" s="5" t="s">
        <v>50</v>
      </c>
      <c r="U194" s="5" t="s">
        <v>69</v>
      </c>
      <c r="V194" s="4" t="s">
        <v>807</v>
      </c>
      <c r="W194" s="4" t="s">
        <v>807</v>
      </c>
      <c r="X194" s="4" t="s">
        <v>611</v>
      </c>
      <c r="Y194" s="4" t="s">
        <v>807</v>
      </c>
      <c r="Z194" s="4" t="s">
        <v>611</v>
      </c>
      <c r="AA194" s="4" t="s">
        <v>611</v>
      </c>
      <c r="AB194" s="4" t="s">
        <v>56</v>
      </c>
      <c r="AC194" s="4" t="s">
        <v>56</v>
      </c>
      <c r="AD194" s="4" t="s">
        <v>56</v>
      </c>
      <c r="AE194" s="4" t="s">
        <v>795</v>
      </c>
      <c r="AF194" s="4" t="s">
        <v>40</v>
      </c>
      <c r="AG194" s="4" t="s">
        <v>981</v>
      </c>
      <c r="AH194" s="4" t="s">
        <v>88</v>
      </c>
      <c r="AI194" s="4" t="s">
        <v>40</v>
      </c>
      <c r="AJ194" s="4" t="s">
        <v>40</v>
      </c>
      <c r="AK194" s="5" t="s">
        <v>59</v>
      </c>
      <c r="AL194" s="4" t="s">
        <v>40</v>
      </c>
      <c r="AM194" s="5" t="s">
        <v>680</v>
      </c>
      <c r="AN194" s="6" t="str">
        <f>IFERROR(__xludf.DUMMYFUNCTION("TEXT(DATEVALUE(REGEXREPLACE(AM194,""(\d+)(st|nd|rd|th)"",""$1"")),""yyyy-mm-dd"")"),"2023-07-14")</f>
        <v>2023-07-14</v>
      </c>
    </row>
    <row r="195">
      <c r="A195" s="4" t="s">
        <v>982</v>
      </c>
      <c r="B195" s="5" t="s">
        <v>41</v>
      </c>
      <c r="C195" s="5" t="s">
        <v>983</v>
      </c>
      <c r="D195" s="6" t="str">
        <f>IFERROR(__xludf.DUMMYFUNCTION("GOOGLETRANSLATE(C195,""auto"",""en"")"),"CQU2022019")</f>
        <v>CQU2022019</v>
      </c>
      <c r="E195" s="5" t="s">
        <v>984</v>
      </c>
      <c r="F195" s="5">
        <f>IFERROR(__xludf.DUMMYFUNCTION("SPLIT(E195,""-"")
"),1300.0)</f>
        <v>1300</v>
      </c>
      <c r="G195" s="5">
        <f>IFERROR(__xludf.DUMMYFUNCTION("""COMPUTED_VALUE"""),1800.0)</f>
        <v>1800</v>
      </c>
      <c r="H195" s="5">
        <f t="shared" si="4"/>
        <v>1550</v>
      </c>
      <c r="I195" s="5" t="s">
        <v>608</v>
      </c>
      <c r="J195" s="5" t="str">
        <f t="shared" si="2"/>
        <v>Cauca</v>
      </c>
      <c r="K195" s="4" t="s">
        <v>45</v>
      </c>
      <c r="L195" s="5">
        <v>30.0</v>
      </c>
      <c r="M195" s="5" t="s">
        <v>46</v>
      </c>
      <c r="N195" s="5" t="str">
        <f>IFERROR(__xludf.DUMMYFUNCTION("PROPER(GOOGLETRANSLATE(M195, ""auto"", ""en""))"),"Japan Coffee Exchange")</f>
        <v>Japan Coffee Exchange</v>
      </c>
      <c r="O195" s="5" t="s">
        <v>47</v>
      </c>
      <c r="P195" s="5" t="str">
        <f t="shared" si="3"/>
        <v>2021</v>
      </c>
      <c r="Q195" s="5" t="s">
        <v>985</v>
      </c>
      <c r="R195" s="6" t="str">
        <f>IFERROR(__xludf.DUMMYFUNCTION("TEXT(DATEVALUE(REGEXREPLACE(Q195,""(\d+)(st|nd|rd|th)"",""$1"")),""yyyy-mm-dd"")"),"2022-12-22")</f>
        <v>2022-12-22</v>
      </c>
      <c r="S195" s="7" t="s">
        <v>986</v>
      </c>
      <c r="T195" s="5" t="s">
        <v>50</v>
      </c>
      <c r="U195" s="5" t="s">
        <v>69</v>
      </c>
      <c r="V195" s="4" t="s">
        <v>611</v>
      </c>
      <c r="W195" s="4" t="s">
        <v>807</v>
      </c>
      <c r="X195" s="4" t="s">
        <v>807</v>
      </c>
      <c r="Y195" s="4" t="s">
        <v>611</v>
      </c>
      <c r="Z195" s="4" t="s">
        <v>795</v>
      </c>
      <c r="AA195" s="4" t="s">
        <v>724</v>
      </c>
      <c r="AB195" s="4" t="s">
        <v>56</v>
      </c>
      <c r="AC195" s="4" t="s">
        <v>56</v>
      </c>
      <c r="AD195" s="4" t="s">
        <v>56</v>
      </c>
      <c r="AE195" s="4" t="s">
        <v>724</v>
      </c>
      <c r="AF195" s="4" t="s">
        <v>40</v>
      </c>
      <c r="AG195" s="4" t="s">
        <v>981</v>
      </c>
      <c r="AH195" s="4" t="s">
        <v>266</v>
      </c>
      <c r="AI195" s="4" t="s">
        <v>40</v>
      </c>
      <c r="AJ195" s="4" t="s">
        <v>76</v>
      </c>
      <c r="AK195" s="5" t="s">
        <v>59</v>
      </c>
      <c r="AL195" s="4" t="s">
        <v>76</v>
      </c>
      <c r="AM195" s="5" t="s">
        <v>987</v>
      </c>
      <c r="AN195" s="6" t="str">
        <f>IFERROR(__xludf.DUMMYFUNCTION("TEXT(DATEVALUE(REGEXREPLACE(AM195,""(\d+)(st|nd|rd|th)"",""$1"")),""yyyy-mm-dd"")"),"2023-12-22")</f>
        <v>2023-12-22</v>
      </c>
    </row>
    <row r="196">
      <c r="A196" s="4" t="s">
        <v>988</v>
      </c>
      <c r="B196" s="5" t="s">
        <v>239</v>
      </c>
      <c r="C196" s="4" t="s">
        <v>300</v>
      </c>
      <c r="D196" s="6" t="str">
        <f>IFERROR(__xludf.DUMMYFUNCTION("GOOGLETRANSLATE(C196,""auto"",""en"")"),"38")</f>
        <v>38</v>
      </c>
      <c r="E196" s="4" t="s">
        <v>64</v>
      </c>
      <c r="F196" s="5">
        <f>IFERROR(__xludf.DUMMYFUNCTION("SPLIT(E196,""-"")
"),1200.0)</f>
        <v>1200</v>
      </c>
      <c r="G196" s="5"/>
      <c r="H196" s="5">
        <f t="shared" si="4"/>
        <v>1200</v>
      </c>
      <c r="I196" s="5" t="s">
        <v>989</v>
      </c>
      <c r="J196" s="5" t="str">
        <f t="shared" si="2"/>
        <v>Alta Mogiana-Ibiraci</v>
      </c>
      <c r="K196" s="4" t="s">
        <v>990</v>
      </c>
      <c r="L196" s="5">
        <v>60.0</v>
      </c>
      <c r="M196" s="5" t="s">
        <v>46</v>
      </c>
      <c r="N196" s="5" t="str">
        <f>IFERROR(__xludf.DUMMYFUNCTION("PROPER(GOOGLETRANSLATE(M196, ""auto"", ""en""))"),"Japan Coffee Exchange")</f>
        <v>Japan Coffee Exchange</v>
      </c>
      <c r="O196" s="5" t="s">
        <v>136</v>
      </c>
      <c r="P196" s="5" t="str">
        <f t="shared" si="3"/>
        <v>2022</v>
      </c>
      <c r="Q196" s="5" t="s">
        <v>351</v>
      </c>
      <c r="R196" s="6" t="str">
        <f>IFERROR(__xludf.DUMMYFUNCTION("TEXT(DATEVALUE(REGEXREPLACE(Q196,""(\d+)(st|nd|rd|th)"",""$1"")),""yyyy-mm-dd"")"),"2023-04-17")</f>
        <v>2023-04-17</v>
      </c>
      <c r="S196" s="7" t="s">
        <v>234</v>
      </c>
      <c r="T196" s="5" t="s">
        <v>50</v>
      </c>
      <c r="U196" s="5" t="s">
        <v>123</v>
      </c>
      <c r="V196" s="4" t="s">
        <v>611</v>
      </c>
      <c r="W196" s="4" t="s">
        <v>611</v>
      </c>
      <c r="X196" s="4" t="s">
        <v>807</v>
      </c>
      <c r="Y196" s="4" t="s">
        <v>807</v>
      </c>
      <c r="Z196" s="4" t="s">
        <v>795</v>
      </c>
      <c r="AA196" s="4" t="s">
        <v>807</v>
      </c>
      <c r="AB196" s="4" t="s">
        <v>56</v>
      </c>
      <c r="AC196" s="4" t="s">
        <v>56</v>
      </c>
      <c r="AD196" s="4" t="s">
        <v>56</v>
      </c>
      <c r="AE196" s="4" t="s">
        <v>807</v>
      </c>
      <c r="AF196" s="4" t="s">
        <v>40</v>
      </c>
      <c r="AG196" s="4" t="s">
        <v>525</v>
      </c>
      <c r="AH196" s="4" t="s">
        <v>176</v>
      </c>
      <c r="AI196" s="4" t="s">
        <v>40</v>
      </c>
      <c r="AJ196" s="4" t="s">
        <v>76</v>
      </c>
      <c r="AK196" s="5" t="s">
        <v>59</v>
      </c>
      <c r="AL196" s="4" t="s">
        <v>45</v>
      </c>
      <c r="AM196" s="5" t="s">
        <v>352</v>
      </c>
      <c r="AN196" s="6" t="str">
        <f>IFERROR(__xludf.DUMMYFUNCTION("TEXT(DATEVALUE(REGEXREPLACE(AM196,""(\d+)(st|nd|rd|th)"",""$1"")),""yyyy-mm-dd"")"),"2024-04-16")</f>
        <v>2024-04-16</v>
      </c>
    </row>
    <row r="197">
      <c r="A197" s="4" t="s">
        <v>991</v>
      </c>
      <c r="B197" s="5" t="s">
        <v>504</v>
      </c>
      <c r="C197" s="5" t="s">
        <v>992</v>
      </c>
      <c r="D197" s="6" t="str">
        <f>IFERROR(__xludf.DUMMYFUNCTION("GOOGLETRANSLATE(C197,""auto"",""en"")"),"0623C01")</f>
        <v>0623C01</v>
      </c>
      <c r="E197" s="4" t="s">
        <v>403</v>
      </c>
      <c r="F197" s="5">
        <f>IFERROR(__xludf.DUMMYFUNCTION("SPLIT(E197,""-"")
"),1400.0)</f>
        <v>1400</v>
      </c>
      <c r="G197" s="5"/>
      <c r="H197" s="5">
        <f t="shared" si="4"/>
        <v>1400</v>
      </c>
      <c r="I197" s="5" t="s">
        <v>993</v>
      </c>
      <c r="J197" s="5" t="str">
        <f t="shared" si="2"/>
        <v>Volcan Chinchontepek, San Vicente, El Salvador</v>
      </c>
      <c r="K197" s="4" t="s">
        <v>45</v>
      </c>
      <c r="L197" s="5">
        <v>2.0</v>
      </c>
      <c r="M197" s="5" t="s">
        <v>842</v>
      </c>
      <c r="N197" s="5" t="str">
        <f>IFERROR(__xludf.DUMMYFUNCTION("PROPER(GOOGLETRANSLATE(M197, ""auto"", ""en""))"),"Salvadoran Coffee Council")</f>
        <v>Salvadoran Coffee Council</v>
      </c>
      <c r="O197" s="4" t="s">
        <v>994</v>
      </c>
      <c r="P197" s="5" t="str">
        <f t="shared" si="3"/>
        <v>2023</v>
      </c>
      <c r="Q197" s="5" t="s">
        <v>995</v>
      </c>
      <c r="R197" s="6" t="str">
        <f>IFERROR(__xludf.DUMMYFUNCTION("TEXT(DATEVALUE(REGEXREPLACE(Q197,""(\d+)(st|nd|rd|th)"",""$1"")),""yyyy-mm-dd"")"),"2023-03-08")</f>
        <v>2023-03-08</v>
      </c>
      <c r="S197" s="7" t="s">
        <v>138</v>
      </c>
      <c r="T197" s="5" t="s">
        <v>50</v>
      </c>
      <c r="U197" s="5" t="s">
        <v>123</v>
      </c>
      <c r="V197" s="4" t="s">
        <v>611</v>
      </c>
      <c r="W197" s="4" t="s">
        <v>724</v>
      </c>
      <c r="X197" s="4" t="s">
        <v>724</v>
      </c>
      <c r="Y197" s="4" t="s">
        <v>439</v>
      </c>
      <c r="Z197" s="4" t="s">
        <v>996</v>
      </c>
      <c r="AA197" s="4" t="s">
        <v>120</v>
      </c>
      <c r="AB197" s="4" t="s">
        <v>56</v>
      </c>
      <c r="AC197" s="4" t="s">
        <v>56</v>
      </c>
      <c r="AD197" s="4" t="s">
        <v>56</v>
      </c>
      <c r="AE197" s="4" t="s">
        <v>795</v>
      </c>
      <c r="AF197" s="4" t="s">
        <v>40</v>
      </c>
      <c r="AG197" s="4" t="s">
        <v>997</v>
      </c>
      <c r="AH197" s="4" t="s">
        <v>73</v>
      </c>
      <c r="AI197" s="4" t="s">
        <v>40</v>
      </c>
      <c r="AJ197" s="4" t="s">
        <v>71</v>
      </c>
      <c r="AK197" s="5" t="s">
        <v>74</v>
      </c>
      <c r="AL197" s="4" t="s">
        <v>120</v>
      </c>
      <c r="AM197" s="5" t="s">
        <v>998</v>
      </c>
      <c r="AN197" s="6" t="str">
        <f>IFERROR(__xludf.DUMMYFUNCTION("TEXT(DATEVALUE(REGEXREPLACE(AM197,""(\d+)(st|nd|rd|th)"",""$1"")),""yyyy-mm-dd"")"),"2024-03-07")</f>
        <v>2024-03-07</v>
      </c>
    </row>
    <row r="198">
      <c r="A198" s="4" t="s">
        <v>999</v>
      </c>
      <c r="B198" s="5" t="s">
        <v>449</v>
      </c>
      <c r="C198" s="5" t="s">
        <v>1000</v>
      </c>
      <c r="D198" s="6" t="str">
        <f>IFERROR(__xludf.DUMMYFUNCTION("GOOGLETRANSLATE(C198,""auto"",""en"")"),"017/053/0603")</f>
        <v>017/053/0603</v>
      </c>
      <c r="E198" s="4" t="s">
        <v>179</v>
      </c>
      <c r="F198" s="5">
        <f>IFERROR(__xludf.DUMMYFUNCTION("SPLIT(E198,""-"")
"),1100.0)</f>
        <v>1100</v>
      </c>
      <c r="G198" s="5"/>
      <c r="H198" s="5">
        <f t="shared" si="4"/>
        <v>1100</v>
      </c>
      <c r="I198" s="5" t="s">
        <v>234</v>
      </c>
      <c r="J198" s="5" t="str">
        <f t="shared" si="2"/>
        <v>Not Available</v>
      </c>
      <c r="K198" s="4" t="s">
        <v>364</v>
      </c>
      <c r="L198" s="5">
        <v>69.0</v>
      </c>
      <c r="M198" s="5" t="s">
        <v>46</v>
      </c>
      <c r="N198" s="5" t="str">
        <f>IFERROR(__xludf.DUMMYFUNCTION("PROPER(GOOGLETRANSLATE(M198, ""auto"", ""en""))"),"Japan Coffee Exchange")</f>
        <v>Japan Coffee Exchange</v>
      </c>
      <c r="O198" s="4" t="s">
        <v>153</v>
      </c>
      <c r="P198" s="5" t="str">
        <f t="shared" si="3"/>
        <v>2021</v>
      </c>
      <c r="Q198" s="5" t="s">
        <v>815</v>
      </c>
      <c r="R198" s="6" t="str">
        <f>IFERROR(__xludf.DUMMYFUNCTION("TEXT(DATEVALUE(REGEXREPLACE(Q198,""(\d+)(st|nd|rd|th)"",""$1"")),""yyyy-mm-dd"")"),"2022-07-11")</f>
        <v>2022-07-11</v>
      </c>
      <c r="S198" s="7" t="s">
        <v>175</v>
      </c>
      <c r="T198" s="5" t="s">
        <v>50</v>
      </c>
      <c r="U198" s="5" t="s">
        <v>69</v>
      </c>
      <c r="V198" s="4" t="s">
        <v>807</v>
      </c>
      <c r="W198" s="4" t="s">
        <v>807</v>
      </c>
      <c r="X198" s="4" t="s">
        <v>795</v>
      </c>
      <c r="Y198" s="4" t="s">
        <v>724</v>
      </c>
      <c r="Z198" s="4" t="s">
        <v>996</v>
      </c>
      <c r="AA198" s="4" t="s">
        <v>807</v>
      </c>
      <c r="AB198" s="4" t="s">
        <v>56</v>
      </c>
      <c r="AC198" s="4" t="s">
        <v>56</v>
      </c>
      <c r="AD198" s="4" t="s">
        <v>56</v>
      </c>
      <c r="AE198" s="4" t="s">
        <v>795</v>
      </c>
      <c r="AF198" s="4" t="s">
        <v>40</v>
      </c>
      <c r="AG198" s="4" t="s">
        <v>1001</v>
      </c>
      <c r="AH198" s="4" t="s">
        <v>155</v>
      </c>
      <c r="AI198" s="4" t="s">
        <v>40</v>
      </c>
      <c r="AJ198" s="4" t="s">
        <v>45</v>
      </c>
      <c r="AK198" s="5" t="s">
        <v>59</v>
      </c>
      <c r="AL198" s="4" t="s">
        <v>60</v>
      </c>
      <c r="AM198" s="5" t="s">
        <v>817</v>
      </c>
      <c r="AN198" s="6" t="str">
        <f>IFERROR(__xludf.DUMMYFUNCTION("TEXT(DATEVALUE(REGEXREPLACE(AM198,""(\d+)(st|nd|rd|th)"",""$1"")),""yyyy-mm-dd"")"),"2023-07-11")</f>
        <v>2023-07-11</v>
      </c>
    </row>
    <row r="199">
      <c r="A199" s="4" t="s">
        <v>826</v>
      </c>
      <c r="B199" s="5" t="s">
        <v>449</v>
      </c>
      <c r="C199" s="4" t="s">
        <v>45</v>
      </c>
      <c r="D199" s="6" t="str">
        <f>IFERROR(__xludf.DUMMYFUNCTION("GOOGLETRANSLATE(C199,""auto"",""en"")"),"1")</f>
        <v>1</v>
      </c>
      <c r="E199" s="4" t="s">
        <v>320</v>
      </c>
      <c r="F199" s="5">
        <f>IFERROR(__xludf.DUMMYFUNCTION("SPLIT(E199,""-"")
"),1000.0)</f>
        <v>1000</v>
      </c>
      <c r="G199" s="5"/>
      <c r="H199" s="5">
        <f t="shared" si="4"/>
        <v>1000</v>
      </c>
      <c r="I199" s="5" t="s">
        <v>1002</v>
      </c>
      <c r="J199" s="5" t="str">
        <f t="shared" si="2"/>
        <v>Jinotega</v>
      </c>
      <c r="K199" s="4" t="s">
        <v>364</v>
      </c>
      <c r="L199" s="5">
        <v>69.0</v>
      </c>
      <c r="M199" s="5" t="s">
        <v>805</v>
      </c>
      <c r="N199" s="5" t="str">
        <f>IFERROR(__xludf.DUMMYFUNCTION("PROPER(GOOGLETRANSLATE(M199, ""auto"", ""en""))"),"Nicaraguan Specialty Coffee Association")</f>
        <v>Nicaraguan Specialty Coffee Association</v>
      </c>
      <c r="O199" s="5" t="s">
        <v>136</v>
      </c>
      <c r="P199" s="5" t="str">
        <f t="shared" si="3"/>
        <v>2022</v>
      </c>
      <c r="Q199" s="5" t="s">
        <v>1003</v>
      </c>
      <c r="R199" s="6" t="str">
        <f>IFERROR(__xludf.DUMMYFUNCTION("TEXT(DATEVALUE(REGEXREPLACE(Q199,""(\d+)(st|nd|rd|th)"",""$1"")),""yyyy-mm-dd"")"),"2023-04-20")</f>
        <v>2023-04-20</v>
      </c>
      <c r="S199" s="7" t="s">
        <v>627</v>
      </c>
      <c r="T199" s="5" t="s">
        <v>50</v>
      </c>
      <c r="U199" s="5" t="s">
        <v>69</v>
      </c>
      <c r="V199" s="4" t="s">
        <v>611</v>
      </c>
      <c r="W199" s="4" t="s">
        <v>795</v>
      </c>
      <c r="X199" s="4" t="s">
        <v>120</v>
      </c>
      <c r="Y199" s="4" t="s">
        <v>996</v>
      </c>
      <c r="Z199" s="4" t="s">
        <v>611</v>
      </c>
      <c r="AA199" s="4" t="s">
        <v>795</v>
      </c>
      <c r="AB199" s="4" t="s">
        <v>56</v>
      </c>
      <c r="AC199" s="4" t="s">
        <v>56</v>
      </c>
      <c r="AD199" s="4" t="s">
        <v>56</v>
      </c>
      <c r="AE199" s="4" t="s">
        <v>795</v>
      </c>
      <c r="AF199" s="4" t="s">
        <v>40</v>
      </c>
      <c r="AG199" s="4" t="s">
        <v>1004</v>
      </c>
      <c r="AH199" s="4" t="s">
        <v>397</v>
      </c>
      <c r="AI199" s="4" t="s">
        <v>40</v>
      </c>
      <c r="AJ199" s="4" t="s">
        <v>40</v>
      </c>
      <c r="AK199" s="5" t="s">
        <v>59</v>
      </c>
      <c r="AL199" s="4" t="s">
        <v>107</v>
      </c>
      <c r="AM199" s="5" t="s">
        <v>1005</v>
      </c>
      <c r="AN199" s="6" t="str">
        <f>IFERROR(__xludf.DUMMYFUNCTION("TEXT(DATEVALUE(REGEXREPLACE(AM199,""(\d+)(st|nd|rd|th)"",""$1"")),""yyyy-mm-dd"")"),"2024-04-19")</f>
        <v>2024-04-19</v>
      </c>
    </row>
    <row r="200">
      <c r="A200" s="4" t="s">
        <v>765</v>
      </c>
      <c r="B200" s="5" t="s">
        <v>41</v>
      </c>
      <c r="C200" s="5" t="s">
        <v>1006</v>
      </c>
      <c r="D200" s="6" t="str">
        <f>IFERROR(__xludf.DUMMYFUNCTION("GOOGLETRANSLATE(C200,""auto"",""en"")"),"CQU2023001")</f>
        <v>CQU2023001</v>
      </c>
      <c r="E200" s="4" t="s">
        <v>348</v>
      </c>
      <c r="F200" s="5">
        <f>IFERROR(__xludf.DUMMYFUNCTION("SPLIT(E200,""-"")
"),1600.0)</f>
        <v>1600</v>
      </c>
      <c r="G200" s="5"/>
      <c r="H200" s="5">
        <f t="shared" si="4"/>
        <v>1600</v>
      </c>
      <c r="I200" s="5" t="s">
        <v>1007</v>
      </c>
      <c r="J200" s="5" t="str">
        <f t="shared" si="2"/>
        <v>Caicedonia,Valle Del Cauca</v>
      </c>
      <c r="K200" s="4" t="s">
        <v>60</v>
      </c>
      <c r="L200" s="5">
        <v>10.0</v>
      </c>
      <c r="M200" s="5" t="s">
        <v>46</v>
      </c>
      <c r="N200" s="5" t="str">
        <f>IFERROR(__xludf.DUMMYFUNCTION("PROPER(GOOGLETRANSLATE(M200, ""auto"", ""en""))"),"Japan Coffee Exchange")</f>
        <v>Japan Coffee Exchange</v>
      </c>
      <c r="O200" s="4" t="s">
        <v>94</v>
      </c>
      <c r="P200" s="5" t="str">
        <f t="shared" si="3"/>
        <v>2022</v>
      </c>
      <c r="Q200" s="5" t="s">
        <v>100</v>
      </c>
      <c r="R200" s="6" t="str">
        <f>IFERROR(__xludf.DUMMYFUNCTION("TEXT(DATEVALUE(REGEXREPLACE(Q200,""(\d+)(st|nd|rd|th)"",""$1"")),""yyyy-mm-dd"")"),"2023-03-06")</f>
        <v>2023-03-06</v>
      </c>
      <c r="S200" s="7" t="s">
        <v>1008</v>
      </c>
      <c r="T200" s="5" t="s">
        <v>50</v>
      </c>
      <c r="U200" s="5" t="s">
        <v>69</v>
      </c>
      <c r="V200" s="4" t="s">
        <v>807</v>
      </c>
      <c r="W200" s="4" t="s">
        <v>807</v>
      </c>
      <c r="X200" s="4" t="s">
        <v>795</v>
      </c>
      <c r="Y200" s="4" t="s">
        <v>724</v>
      </c>
      <c r="Z200" s="4" t="s">
        <v>120</v>
      </c>
      <c r="AA200" s="4" t="s">
        <v>795</v>
      </c>
      <c r="AB200" s="4" t="s">
        <v>56</v>
      </c>
      <c r="AC200" s="4" t="s">
        <v>56</v>
      </c>
      <c r="AD200" s="4" t="s">
        <v>56</v>
      </c>
      <c r="AE200" s="4" t="s">
        <v>807</v>
      </c>
      <c r="AF200" s="4" t="s">
        <v>40</v>
      </c>
      <c r="AG200" s="4" t="s">
        <v>1004</v>
      </c>
      <c r="AH200" s="4" t="s">
        <v>140</v>
      </c>
      <c r="AI200" s="4" t="s">
        <v>40</v>
      </c>
      <c r="AJ200" s="4" t="s">
        <v>60</v>
      </c>
      <c r="AK200" s="5" t="s">
        <v>59</v>
      </c>
      <c r="AL200" s="4" t="s">
        <v>60</v>
      </c>
      <c r="AM200" s="5" t="s">
        <v>106</v>
      </c>
      <c r="AN200" s="6" t="str">
        <f>IFERROR(__xludf.DUMMYFUNCTION("TEXT(DATEVALUE(REGEXREPLACE(AM200,""(\d+)(st|nd|rd|th)"",""$1"")),""yyyy-mm-dd"")"),"2024-03-05")</f>
        <v>2024-03-05</v>
      </c>
    </row>
    <row r="201">
      <c r="A201" s="4" t="s">
        <v>1009</v>
      </c>
      <c r="B201" s="5" t="s">
        <v>387</v>
      </c>
      <c r="C201" s="5" t="s">
        <v>1010</v>
      </c>
      <c r="D201" s="6" t="str">
        <f>IFERROR(__xludf.DUMMYFUNCTION("GOOGLETRANSLATE(C201,""auto"",""en"")"),"PR137")</f>
        <v>PR137</v>
      </c>
      <c r="E201" s="4" t="s">
        <v>348</v>
      </c>
      <c r="F201" s="5">
        <f>IFERROR(__xludf.DUMMYFUNCTION("SPLIT(E201,""-"")
"),1600.0)</f>
        <v>1600</v>
      </c>
      <c r="G201" s="5"/>
      <c r="H201" s="5">
        <f t="shared" si="4"/>
        <v>1600</v>
      </c>
      <c r="I201" s="5" t="s">
        <v>1011</v>
      </c>
      <c r="J201" s="5" t="str">
        <f t="shared" si="2"/>
        <v>Chanchamayo, Lamerced</v>
      </c>
      <c r="K201" s="4" t="s">
        <v>364</v>
      </c>
      <c r="L201" s="5">
        <v>69.0</v>
      </c>
      <c r="M201" s="5" t="s">
        <v>46</v>
      </c>
      <c r="N201" s="5" t="str">
        <f>IFERROR(__xludf.DUMMYFUNCTION("PROPER(GOOGLETRANSLATE(M201, ""auto"", ""en""))"),"Japan Coffee Exchange")</f>
        <v>Japan Coffee Exchange</v>
      </c>
      <c r="O201" s="5" t="s">
        <v>136</v>
      </c>
      <c r="P201" s="5" t="str">
        <f t="shared" si="3"/>
        <v>2022</v>
      </c>
      <c r="Q201" s="5" t="s">
        <v>1012</v>
      </c>
      <c r="R201" s="6" t="str">
        <f>IFERROR(__xludf.DUMMYFUNCTION("TEXT(DATEVALUE(REGEXREPLACE(Q201,""(\d+)(st|nd|rd|th)"",""$1"")),""yyyy-mm-dd"")"),"2022-06-10")</f>
        <v>2022-06-10</v>
      </c>
      <c r="S201" s="7" t="s">
        <v>175</v>
      </c>
      <c r="T201" s="5" t="s">
        <v>50</v>
      </c>
      <c r="U201" s="5" t="s">
        <v>69</v>
      </c>
      <c r="V201" s="4" t="s">
        <v>439</v>
      </c>
      <c r="W201" s="4" t="s">
        <v>807</v>
      </c>
      <c r="X201" s="4" t="s">
        <v>795</v>
      </c>
      <c r="Y201" s="4" t="s">
        <v>795</v>
      </c>
      <c r="Z201" s="4" t="s">
        <v>795</v>
      </c>
      <c r="AA201" s="4" t="s">
        <v>996</v>
      </c>
      <c r="AB201" s="4" t="s">
        <v>56</v>
      </c>
      <c r="AC201" s="4" t="s">
        <v>56</v>
      </c>
      <c r="AD201" s="4" t="s">
        <v>56</v>
      </c>
      <c r="AE201" s="4" t="s">
        <v>120</v>
      </c>
      <c r="AF201" s="4" t="s">
        <v>40</v>
      </c>
      <c r="AG201" s="4" t="s">
        <v>1013</v>
      </c>
      <c r="AH201" s="4" t="s">
        <v>58</v>
      </c>
      <c r="AI201" s="4" t="s">
        <v>40</v>
      </c>
      <c r="AJ201" s="4" t="s">
        <v>115</v>
      </c>
      <c r="AK201" s="5" t="s">
        <v>59</v>
      </c>
      <c r="AL201" s="4" t="s">
        <v>140</v>
      </c>
      <c r="AM201" s="5" t="s">
        <v>1014</v>
      </c>
      <c r="AN201" s="6" t="str">
        <f>IFERROR(__xludf.DUMMYFUNCTION("TEXT(DATEVALUE(REGEXREPLACE(AM201,""(\d+)(st|nd|rd|th)"",""$1"")),""yyyy-mm-dd"")"),"2023-06-10")</f>
        <v>2023-06-10</v>
      </c>
    </row>
    <row r="202">
      <c r="A202" s="4" t="s">
        <v>205</v>
      </c>
      <c r="B202" s="5" t="s">
        <v>504</v>
      </c>
      <c r="C202" s="5" t="s">
        <v>1015</v>
      </c>
      <c r="D202" s="6" t="str">
        <f>IFERROR(__xludf.DUMMYFUNCTION("GOOGLETRANSLATE(C202,""auto"",""en"")"),"0523B01")</f>
        <v>0523B01</v>
      </c>
      <c r="E202" s="4" t="s">
        <v>79</v>
      </c>
      <c r="F202" s="5">
        <f>IFERROR(__xludf.DUMMYFUNCTION("SPLIT(E202,""-"")
"),1300.0)</f>
        <v>1300</v>
      </c>
      <c r="G202" s="5"/>
      <c r="H202" s="5">
        <f t="shared" si="4"/>
        <v>1300</v>
      </c>
      <c r="I202" s="5" t="s">
        <v>993</v>
      </c>
      <c r="J202" s="5" t="str">
        <f t="shared" si="2"/>
        <v>Volcan Chinchontepek, San Vicente, El Salvador</v>
      </c>
      <c r="K202" s="4" t="s">
        <v>45</v>
      </c>
      <c r="L202" s="5">
        <v>2.0</v>
      </c>
      <c r="M202" s="5" t="s">
        <v>842</v>
      </c>
      <c r="N202" s="5" t="str">
        <f>IFERROR(__xludf.DUMMYFUNCTION("PROPER(GOOGLETRANSLATE(M202, ""auto"", ""en""))"),"Salvadoran Coffee Council")</f>
        <v>Salvadoran Coffee Council</v>
      </c>
      <c r="O202" s="4" t="s">
        <v>994</v>
      </c>
      <c r="P202" s="5" t="str">
        <f t="shared" si="3"/>
        <v>2023</v>
      </c>
      <c r="Q202" s="5" t="s">
        <v>995</v>
      </c>
      <c r="R202" s="6" t="str">
        <f>IFERROR(__xludf.DUMMYFUNCTION("TEXT(DATEVALUE(REGEXREPLACE(Q202,""(\d+)(st|nd|rd|th)"",""$1"")),""yyyy-mm-dd"")"),"2023-03-08")</f>
        <v>2023-03-08</v>
      </c>
      <c r="S202" s="7" t="s">
        <v>1016</v>
      </c>
      <c r="T202" s="5" t="s">
        <v>50</v>
      </c>
      <c r="U202" s="5" t="s">
        <v>123</v>
      </c>
      <c r="V202" s="4" t="s">
        <v>996</v>
      </c>
      <c r="W202" s="4" t="s">
        <v>807</v>
      </c>
      <c r="X202" s="4" t="s">
        <v>996</v>
      </c>
      <c r="Y202" s="4" t="s">
        <v>611</v>
      </c>
      <c r="Z202" s="4" t="s">
        <v>611</v>
      </c>
      <c r="AA202" s="4" t="s">
        <v>996</v>
      </c>
      <c r="AB202" s="4" t="s">
        <v>56</v>
      </c>
      <c r="AC202" s="4" t="s">
        <v>56</v>
      </c>
      <c r="AD202" s="4" t="s">
        <v>56</v>
      </c>
      <c r="AE202" s="4" t="s">
        <v>120</v>
      </c>
      <c r="AF202" s="4" t="s">
        <v>40</v>
      </c>
      <c r="AG202" s="4" t="s">
        <v>1013</v>
      </c>
      <c r="AH202" s="4" t="s">
        <v>155</v>
      </c>
      <c r="AI202" s="4" t="s">
        <v>40</v>
      </c>
      <c r="AJ202" s="4" t="s">
        <v>56</v>
      </c>
      <c r="AK202" s="5" t="s">
        <v>74</v>
      </c>
      <c r="AL202" s="4" t="s">
        <v>120</v>
      </c>
      <c r="AM202" s="5" t="s">
        <v>998</v>
      </c>
      <c r="AN202" s="6" t="str">
        <f>IFERROR(__xludf.DUMMYFUNCTION("TEXT(DATEVALUE(REGEXREPLACE(AM202,""(\d+)(st|nd|rd|th)"",""$1"")),""yyyy-mm-dd"")"),"2024-03-07")</f>
        <v>2024-03-07</v>
      </c>
    </row>
    <row r="203">
      <c r="A203" s="4" t="s">
        <v>1017</v>
      </c>
      <c r="B203" s="5" t="s">
        <v>239</v>
      </c>
      <c r="C203" s="5" t="s">
        <v>1018</v>
      </c>
      <c r="D203" s="6" t="str">
        <f>IFERROR(__xludf.DUMMYFUNCTION("GOOGLETRANSLATE(C203,""auto"",""en"")"),"002/1738/0029")</f>
        <v>002/1738/0029</v>
      </c>
      <c r="E203" s="4" t="s">
        <v>64</v>
      </c>
      <c r="F203" s="5">
        <f>IFERROR(__xludf.DUMMYFUNCTION("SPLIT(E203,""-"")
"),1200.0)</f>
        <v>1200</v>
      </c>
      <c r="G203" s="5"/>
      <c r="H203" s="5">
        <f t="shared" si="4"/>
        <v>1200</v>
      </c>
      <c r="I203" s="5" t="s">
        <v>989</v>
      </c>
      <c r="J203" s="5" t="str">
        <f t="shared" si="2"/>
        <v>Alta Mogiana-Ibiraci</v>
      </c>
      <c r="K203" s="4" t="s">
        <v>990</v>
      </c>
      <c r="L203" s="5">
        <v>60.0</v>
      </c>
      <c r="M203" s="5" t="s">
        <v>46</v>
      </c>
      <c r="N203" s="5" t="str">
        <f>IFERROR(__xludf.DUMMYFUNCTION("PROPER(GOOGLETRANSLATE(M203, ""auto"", ""en""))"),"Japan Coffee Exchange")</f>
        <v>Japan Coffee Exchange</v>
      </c>
      <c r="O203" s="5" t="s">
        <v>47</v>
      </c>
      <c r="P203" s="5" t="str">
        <f t="shared" si="3"/>
        <v>2021</v>
      </c>
      <c r="Q203" s="5" t="s">
        <v>1019</v>
      </c>
      <c r="R203" s="6" t="str">
        <f>IFERROR(__xludf.DUMMYFUNCTION("TEXT(DATEVALUE(REGEXREPLACE(Q203,""(\d+)(st|nd|rd|th)"",""$1"")),""yyyy-mm-dd"")"),"2022-07-20")</f>
        <v>2022-07-20</v>
      </c>
      <c r="S203" s="7" t="s">
        <v>1020</v>
      </c>
      <c r="T203" s="5" t="s">
        <v>50</v>
      </c>
      <c r="U203" s="5" t="s">
        <v>123</v>
      </c>
      <c r="V203" s="4" t="s">
        <v>807</v>
      </c>
      <c r="W203" s="4" t="s">
        <v>795</v>
      </c>
      <c r="X203" s="4" t="s">
        <v>795</v>
      </c>
      <c r="Y203" s="4" t="s">
        <v>996</v>
      </c>
      <c r="Z203" s="4" t="s">
        <v>795</v>
      </c>
      <c r="AA203" s="4" t="s">
        <v>795</v>
      </c>
      <c r="AB203" s="4" t="s">
        <v>56</v>
      </c>
      <c r="AC203" s="4" t="s">
        <v>56</v>
      </c>
      <c r="AD203" s="4" t="s">
        <v>56</v>
      </c>
      <c r="AE203" s="4" t="s">
        <v>795</v>
      </c>
      <c r="AF203" s="4" t="s">
        <v>40</v>
      </c>
      <c r="AG203" s="4" t="s">
        <v>1021</v>
      </c>
      <c r="AH203" s="4" t="s">
        <v>104</v>
      </c>
      <c r="AI203" s="4" t="s">
        <v>40</v>
      </c>
      <c r="AJ203" s="4" t="s">
        <v>45</v>
      </c>
      <c r="AK203" s="5" t="s">
        <v>59</v>
      </c>
      <c r="AL203" s="4" t="s">
        <v>76</v>
      </c>
      <c r="AM203" s="5" t="s">
        <v>1022</v>
      </c>
      <c r="AN203" s="6" t="str">
        <f>IFERROR(__xludf.DUMMYFUNCTION("TEXT(DATEVALUE(REGEXREPLACE(AM203,""(\d+)(st|nd|rd|th)"",""$1"")),""yyyy-mm-dd"")"),"2023-07-20")</f>
        <v>2023-07-20</v>
      </c>
    </row>
    <row r="204">
      <c r="A204" s="4" t="s">
        <v>1023</v>
      </c>
      <c r="B204" s="5" t="s">
        <v>239</v>
      </c>
      <c r="C204" s="5" t="s">
        <v>1024</v>
      </c>
      <c r="D204" s="6" t="str">
        <f>IFERROR(__xludf.DUMMYFUNCTION("GOOGLETRANSLATE(C204,""auto"",""en"")"),"019/22")</f>
        <v>019/22</v>
      </c>
      <c r="E204" s="4" t="s">
        <v>730</v>
      </c>
      <c r="F204" s="5">
        <f>IFERROR(__xludf.DUMMYFUNCTION("SPLIT(E204,""-"")
"),950.0)</f>
        <v>950</v>
      </c>
      <c r="G204" s="5"/>
      <c r="H204" s="5">
        <f t="shared" si="4"/>
        <v>950</v>
      </c>
      <c r="I204" s="5" t="s">
        <v>731</v>
      </c>
      <c r="J204" s="5" t="str">
        <f t="shared" si="2"/>
        <v>Sul De Minas</v>
      </c>
      <c r="K204" s="4" t="s">
        <v>1025</v>
      </c>
      <c r="L204" s="5">
        <v>60.0</v>
      </c>
      <c r="M204" s="5" t="s">
        <v>242</v>
      </c>
      <c r="N204" s="5" t="str">
        <f>IFERROR(__xludf.DUMMYFUNCTION("PROPER(GOOGLETRANSLATE(M204, ""auto"", ""en""))"),"Brazil Specialty Coffee Association")</f>
        <v>Brazil Specialty Coffee Association</v>
      </c>
      <c r="O204" s="5" t="s">
        <v>136</v>
      </c>
      <c r="P204" s="5" t="str">
        <f t="shared" si="3"/>
        <v>2022</v>
      </c>
      <c r="Q204" s="5" t="s">
        <v>1026</v>
      </c>
      <c r="R204" s="6" t="str">
        <f>IFERROR(__xludf.DUMMYFUNCTION("TEXT(DATEVALUE(REGEXREPLACE(Q204,""(\d+)(st|nd|rd|th)"",""$1"")),""yyyy-mm-dd"")"),"2023-02-02")</f>
        <v>2023-02-02</v>
      </c>
      <c r="S204" s="7" t="s">
        <v>733</v>
      </c>
      <c r="T204" s="5" t="s">
        <v>50</v>
      </c>
      <c r="U204" s="5" t="s">
        <v>123</v>
      </c>
      <c r="V204" s="4" t="s">
        <v>795</v>
      </c>
      <c r="W204" s="4" t="s">
        <v>795</v>
      </c>
      <c r="X204" s="4" t="s">
        <v>1027</v>
      </c>
      <c r="Y204" s="4" t="s">
        <v>795</v>
      </c>
      <c r="Z204" s="4" t="s">
        <v>611</v>
      </c>
      <c r="AA204" s="4" t="s">
        <v>795</v>
      </c>
      <c r="AB204" s="4" t="s">
        <v>56</v>
      </c>
      <c r="AC204" s="4" t="s">
        <v>56</v>
      </c>
      <c r="AD204" s="4" t="s">
        <v>56</v>
      </c>
      <c r="AE204" s="4" t="s">
        <v>996</v>
      </c>
      <c r="AF204" s="4" t="s">
        <v>40</v>
      </c>
      <c r="AG204" s="4" t="s">
        <v>1028</v>
      </c>
      <c r="AH204" s="4" t="s">
        <v>266</v>
      </c>
      <c r="AI204" s="4" t="s">
        <v>40</v>
      </c>
      <c r="AJ204" s="4" t="s">
        <v>40</v>
      </c>
      <c r="AK204" s="5" t="s">
        <v>59</v>
      </c>
      <c r="AL204" s="4" t="s">
        <v>96</v>
      </c>
      <c r="AM204" s="5" t="s">
        <v>1029</v>
      </c>
      <c r="AN204" s="6" t="str">
        <f>IFERROR(__xludf.DUMMYFUNCTION("TEXT(DATEVALUE(REGEXREPLACE(AM204,""(\d+)(st|nd|rd|th)"",""$1"")),""yyyy-mm-dd"")"),"2024-02-02")</f>
        <v>2024-02-02</v>
      </c>
    </row>
    <row r="205">
      <c r="A205" s="4" t="s">
        <v>1030</v>
      </c>
      <c r="B205" s="5" t="s">
        <v>449</v>
      </c>
      <c r="C205" s="5" t="s">
        <v>1031</v>
      </c>
      <c r="D205" s="6" t="str">
        <f>IFERROR(__xludf.DUMMYFUNCTION("GOOGLETRANSLATE(C205,""auto"",""en"")"),"017-053-0155")</f>
        <v>017-053-0155</v>
      </c>
      <c r="E205" s="4" t="s">
        <v>64</v>
      </c>
      <c r="F205" s="5">
        <f>IFERROR(__xludf.DUMMYFUNCTION("SPLIT(E205,""-"")
"),1200.0)</f>
        <v>1200</v>
      </c>
      <c r="G205" s="5"/>
      <c r="H205" s="5">
        <f t="shared" si="4"/>
        <v>1200</v>
      </c>
      <c r="I205" s="5" t="s">
        <v>804</v>
      </c>
      <c r="J205" s="5" t="str">
        <f t="shared" si="2"/>
        <v>Matagalpa</v>
      </c>
      <c r="K205" s="4" t="s">
        <v>305</v>
      </c>
      <c r="L205" s="5">
        <v>30.0</v>
      </c>
      <c r="M205" s="5" t="s">
        <v>805</v>
      </c>
      <c r="N205" s="5" t="str">
        <f>IFERROR(__xludf.DUMMYFUNCTION("PROPER(GOOGLETRANSLATE(M205, ""auto"", ""en""))"),"Nicaraguan Specialty Coffee Association")</f>
        <v>Nicaraguan Specialty Coffee Association</v>
      </c>
      <c r="O205" s="5" t="s">
        <v>136</v>
      </c>
      <c r="P205" s="5" t="str">
        <f t="shared" si="3"/>
        <v>2022</v>
      </c>
      <c r="Q205" s="5" t="s">
        <v>843</v>
      </c>
      <c r="R205" s="6" t="str">
        <f>IFERROR(__xludf.DUMMYFUNCTION("TEXT(DATEVALUE(REGEXREPLACE(Q205,""(\d+)(st|nd|rd|th)"",""$1"")),""yyyy-mm-dd"")"),"2023-03-03")</f>
        <v>2023-03-03</v>
      </c>
      <c r="S205" s="7" t="s">
        <v>665</v>
      </c>
      <c r="T205" s="5" t="s">
        <v>50</v>
      </c>
      <c r="U205" s="5" t="s">
        <v>123</v>
      </c>
      <c r="V205" s="4" t="s">
        <v>724</v>
      </c>
      <c r="W205" s="4" t="s">
        <v>996</v>
      </c>
      <c r="X205" s="4" t="s">
        <v>1032</v>
      </c>
      <c r="Y205" s="4" t="s">
        <v>795</v>
      </c>
      <c r="Z205" s="4" t="s">
        <v>611</v>
      </c>
      <c r="AA205" s="4" t="s">
        <v>795</v>
      </c>
      <c r="AB205" s="4" t="s">
        <v>56</v>
      </c>
      <c r="AC205" s="4" t="s">
        <v>56</v>
      </c>
      <c r="AD205" s="4" t="s">
        <v>56</v>
      </c>
      <c r="AE205" s="4" t="s">
        <v>996</v>
      </c>
      <c r="AF205" s="4" t="s">
        <v>40</v>
      </c>
      <c r="AG205" s="4" t="s">
        <v>259</v>
      </c>
      <c r="AH205" s="4" t="s">
        <v>88</v>
      </c>
      <c r="AI205" s="4" t="s">
        <v>40</v>
      </c>
      <c r="AJ205" s="4" t="s">
        <v>76</v>
      </c>
      <c r="AK205" s="5" t="s">
        <v>59</v>
      </c>
      <c r="AL205" s="4" t="s">
        <v>157</v>
      </c>
      <c r="AM205" s="5" t="s">
        <v>845</v>
      </c>
      <c r="AN205" s="6" t="str">
        <f>IFERROR(__xludf.DUMMYFUNCTION("TEXT(DATEVALUE(REGEXREPLACE(AM205,""(\d+)(st|nd|rd|th)"",""$1"")),""yyyy-mm-dd"")"),"2024-03-02")</f>
        <v>2024-03-02</v>
      </c>
    </row>
    <row r="206">
      <c r="A206" s="4" t="s">
        <v>1033</v>
      </c>
      <c r="B206" s="5" t="s">
        <v>77</v>
      </c>
      <c r="C206" s="5" t="s">
        <v>1034</v>
      </c>
      <c r="D206" s="6" t="str">
        <f>IFERROR(__xludf.DUMMYFUNCTION("GOOGLETRANSLATE(C206,""auto"",""en"")"),"105/3/VL7285-005")</f>
        <v>105/3/VL7285-005</v>
      </c>
      <c r="E206" s="4" t="s">
        <v>79</v>
      </c>
      <c r="F206" s="5">
        <f>IFERROR(__xludf.DUMMYFUNCTION("SPLIT(E206,""-"")
"),1300.0)</f>
        <v>1300</v>
      </c>
      <c r="G206" s="5"/>
      <c r="H206" s="5">
        <f t="shared" si="4"/>
        <v>1300</v>
      </c>
      <c r="I206" s="5" t="s">
        <v>1035</v>
      </c>
      <c r="J206" s="5" t="str">
        <f t="shared" si="2"/>
        <v>Bolaven Plateau</v>
      </c>
      <c r="K206" s="4" t="s">
        <v>1036</v>
      </c>
      <c r="L206" s="5">
        <v>60.0</v>
      </c>
      <c r="M206" s="5" t="s">
        <v>46</v>
      </c>
      <c r="N206" s="5" t="str">
        <f>IFERROR(__xludf.DUMMYFUNCTION("PROPER(GOOGLETRANSLATE(M206, ""auto"", ""en""))"),"Japan Coffee Exchange")</f>
        <v>Japan Coffee Exchange</v>
      </c>
      <c r="O206" s="5" t="s">
        <v>47</v>
      </c>
      <c r="P206" s="5" t="str">
        <f t="shared" si="3"/>
        <v>2021</v>
      </c>
      <c r="Q206" s="5" t="s">
        <v>1037</v>
      </c>
      <c r="R206" s="6" t="str">
        <f>IFERROR(__xludf.DUMMYFUNCTION("TEXT(DATEVALUE(REGEXREPLACE(Q206,""(\d+)(st|nd|rd|th)"",""$1"")),""yyyy-mm-dd"")"),"2022-11-11")</f>
        <v>2022-11-11</v>
      </c>
      <c r="S206" s="7" t="s">
        <v>225</v>
      </c>
      <c r="T206" s="5" t="s">
        <v>50</v>
      </c>
      <c r="U206" s="5" t="s">
        <v>69</v>
      </c>
      <c r="V206" s="4" t="s">
        <v>807</v>
      </c>
      <c r="W206" s="4" t="s">
        <v>795</v>
      </c>
      <c r="X206" s="4" t="s">
        <v>996</v>
      </c>
      <c r="Y206" s="4" t="s">
        <v>120</v>
      </c>
      <c r="Z206" s="4" t="s">
        <v>996</v>
      </c>
      <c r="AA206" s="4" t="s">
        <v>996</v>
      </c>
      <c r="AB206" s="4" t="s">
        <v>56</v>
      </c>
      <c r="AC206" s="4" t="s">
        <v>56</v>
      </c>
      <c r="AD206" s="4" t="s">
        <v>56</v>
      </c>
      <c r="AE206" s="4" t="s">
        <v>120</v>
      </c>
      <c r="AF206" s="4" t="s">
        <v>40</v>
      </c>
      <c r="AG206" s="4" t="s">
        <v>1038</v>
      </c>
      <c r="AH206" s="4" t="s">
        <v>104</v>
      </c>
      <c r="AI206" s="4" t="s">
        <v>40</v>
      </c>
      <c r="AJ206" s="4" t="s">
        <v>129</v>
      </c>
      <c r="AK206" s="5" t="s">
        <v>59</v>
      </c>
      <c r="AL206" s="4" t="s">
        <v>140</v>
      </c>
      <c r="AM206" s="5" t="s">
        <v>1039</v>
      </c>
      <c r="AN206" s="6" t="str">
        <f>IFERROR(__xludf.DUMMYFUNCTION("TEXT(DATEVALUE(REGEXREPLACE(AM206,""(\d+)(st|nd|rd|th)"",""$1"")),""yyyy-mm-dd"")"),"2023-11-11")</f>
        <v>2023-11-11</v>
      </c>
    </row>
    <row r="207">
      <c r="A207" s="4" t="s">
        <v>1040</v>
      </c>
      <c r="B207" s="5" t="s">
        <v>504</v>
      </c>
      <c r="C207" s="5" t="s">
        <v>1041</v>
      </c>
      <c r="D207" s="6" t="str">
        <f>IFERROR(__xludf.DUMMYFUNCTION("GOOGLETRANSLATE(C207,""auto"",""en"")"),"0423A01")</f>
        <v>0423A01</v>
      </c>
      <c r="E207" s="4" t="s">
        <v>64</v>
      </c>
      <c r="F207" s="5">
        <f>IFERROR(__xludf.DUMMYFUNCTION("SPLIT(E207,""-"")
"),1200.0)</f>
        <v>1200</v>
      </c>
      <c r="G207" s="5"/>
      <c r="H207" s="5">
        <f t="shared" si="4"/>
        <v>1200</v>
      </c>
      <c r="I207" s="5" t="s">
        <v>1042</v>
      </c>
      <c r="J207" s="5" t="str">
        <f t="shared" si="2"/>
        <v>Volcan De San Vicente, La Paz, El Salvador</v>
      </c>
      <c r="K207" s="4" t="s">
        <v>45</v>
      </c>
      <c r="L207" s="5">
        <v>2.0</v>
      </c>
      <c r="M207" s="5" t="s">
        <v>842</v>
      </c>
      <c r="N207" s="5" t="str">
        <f>IFERROR(__xludf.DUMMYFUNCTION("PROPER(GOOGLETRANSLATE(M207, ""auto"", ""en""))"),"Salvadoran Coffee Council")</f>
        <v>Salvadoran Coffee Council</v>
      </c>
      <c r="O207" s="4" t="s">
        <v>994</v>
      </c>
      <c r="P207" s="5" t="str">
        <f t="shared" si="3"/>
        <v>2023</v>
      </c>
      <c r="Q207" s="5" t="s">
        <v>995</v>
      </c>
      <c r="R207" s="6" t="str">
        <f>IFERROR(__xludf.DUMMYFUNCTION("TEXT(DATEVALUE(REGEXREPLACE(Q207,""(\d+)(st|nd|rd|th)"",""$1"")),""yyyy-mm-dd"")"),"2023-03-08")</f>
        <v>2023-03-08</v>
      </c>
      <c r="S207" s="7" t="s">
        <v>858</v>
      </c>
      <c r="T207" s="5" t="s">
        <v>50</v>
      </c>
      <c r="U207" s="5" t="s">
        <v>123</v>
      </c>
      <c r="V207" s="4" t="s">
        <v>1043</v>
      </c>
      <c r="W207" s="4" t="s">
        <v>1032</v>
      </c>
      <c r="X207" s="4" t="s">
        <v>1032</v>
      </c>
      <c r="Y207" s="4" t="s">
        <v>795</v>
      </c>
      <c r="Z207" s="4" t="s">
        <v>996</v>
      </c>
      <c r="AA207" s="4" t="s">
        <v>120</v>
      </c>
      <c r="AB207" s="4" t="s">
        <v>56</v>
      </c>
      <c r="AC207" s="4" t="s">
        <v>56</v>
      </c>
      <c r="AD207" s="4" t="s">
        <v>56</v>
      </c>
      <c r="AE207" s="4" t="s">
        <v>1044</v>
      </c>
      <c r="AF207" s="4" t="s">
        <v>40</v>
      </c>
      <c r="AG207" s="4" t="s">
        <v>1045</v>
      </c>
      <c r="AH207" s="4" t="s">
        <v>140</v>
      </c>
      <c r="AI207" s="4" t="s">
        <v>40</v>
      </c>
      <c r="AJ207" s="4" t="s">
        <v>157</v>
      </c>
      <c r="AK207" s="5" t="s">
        <v>74</v>
      </c>
      <c r="AL207" s="4" t="s">
        <v>161</v>
      </c>
      <c r="AM207" s="5" t="s">
        <v>998</v>
      </c>
      <c r="AN207" s="6" t="str">
        <f>IFERROR(__xludf.DUMMYFUNCTION("TEXT(DATEVALUE(REGEXREPLACE(AM207,""(\d+)(st|nd|rd|th)"",""$1"")),""yyyy-mm-dd"")"),"2024-03-07")</f>
        <v>2024-03-07</v>
      </c>
    </row>
    <row r="208">
      <c r="A208" s="4" t="s">
        <v>1046</v>
      </c>
      <c r="B208" s="5" t="s">
        <v>239</v>
      </c>
      <c r="C208" s="5" t="s">
        <v>1047</v>
      </c>
      <c r="D208" s="6" t="str">
        <f>IFERROR(__xludf.DUMMYFUNCTION("GOOGLETRANSLATE(C208,""auto"",""en"")"),"1058 and 1059")</f>
        <v>1058 and 1059</v>
      </c>
      <c r="E208" s="5" t="s">
        <v>1048</v>
      </c>
      <c r="F208" s="5">
        <f>IFERROR(__xludf.DUMMYFUNCTION("SPLIT(E208,""-"")
"),850.0)</f>
        <v>850</v>
      </c>
      <c r="G208" s="5">
        <f>IFERROR(__xludf.DUMMYFUNCTION("""COMPUTED_VALUE"""),1100.0)</f>
        <v>1100</v>
      </c>
      <c r="H208" s="5">
        <f t="shared" si="4"/>
        <v>975</v>
      </c>
      <c r="I208" s="5" t="s">
        <v>1049</v>
      </c>
      <c r="J208" s="5" t="str">
        <f t="shared" si="2"/>
        <v>Minas Gerais</v>
      </c>
      <c r="K208" s="4" t="s">
        <v>257</v>
      </c>
      <c r="L208" s="5">
        <v>60.0</v>
      </c>
      <c r="M208" s="5" t="s">
        <v>562</v>
      </c>
      <c r="N208" s="5" t="str">
        <f>IFERROR(__xludf.DUMMYFUNCTION("PROPER(GOOGLETRANSLATE(M208, ""auto"", ""en""))"),"Agroecological Coffee Center A.C.")</f>
        <v>Agroecological Coffee Center A.C.</v>
      </c>
      <c r="O208" s="5" t="s">
        <v>47</v>
      </c>
      <c r="P208" s="5" t="str">
        <f t="shared" si="3"/>
        <v>2021</v>
      </c>
      <c r="Q208" s="5" t="s">
        <v>563</v>
      </c>
      <c r="R208" s="6" t="str">
        <f>IFERROR(__xludf.DUMMYFUNCTION("TEXT(DATEVALUE(REGEXREPLACE(Q208,""(\d+)(st|nd|rd|th)"",""$1"")),""yyyy-mm-dd"")"),"2022-11-18")</f>
        <v>2022-11-18</v>
      </c>
      <c r="S208" s="7" t="s">
        <v>733</v>
      </c>
      <c r="T208" s="5" t="s">
        <v>50</v>
      </c>
      <c r="U208" s="6" t="s">
        <v>1050</v>
      </c>
      <c r="V208" s="4" t="s">
        <v>807</v>
      </c>
      <c r="W208" s="4" t="s">
        <v>996</v>
      </c>
      <c r="X208" s="4" t="s">
        <v>1051</v>
      </c>
      <c r="Y208" s="4" t="s">
        <v>1044</v>
      </c>
      <c r="Z208" s="4" t="s">
        <v>1044</v>
      </c>
      <c r="AA208" s="4" t="s">
        <v>1051</v>
      </c>
      <c r="AB208" s="4" t="s">
        <v>56</v>
      </c>
      <c r="AC208" s="4" t="s">
        <v>56</v>
      </c>
      <c r="AD208" s="4" t="s">
        <v>56</v>
      </c>
      <c r="AE208" s="4" t="s">
        <v>1051</v>
      </c>
      <c r="AF208" s="4" t="s">
        <v>40</v>
      </c>
      <c r="AG208" s="4" t="s">
        <v>509</v>
      </c>
      <c r="AH208" s="4" t="s">
        <v>189</v>
      </c>
      <c r="AI208" s="4" t="s">
        <v>40</v>
      </c>
      <c r="AJ208" s="4" t="s">
        <v>40</v>
      </c>
      <c r="AK208" s="5" t="s">
        <v>59</v>
      </c>
      <c r="AL208" s="4" t="s">
        <v>45</v>
      </c>
      <c r="AM208" s="5" t="s">
        <v>564</v>
      </c>
      <c r="AN208" s="6" t="str">
        <f>IFERROR(__xludf.DUMMYFUNCTION("TEXT(DATEVALUE(REGEXREPLACE(AM208,""(\d+)(st|nd|rd|th)"",""$1"")),""yyyy-mm-dd"")"),"2023-11-18")</f>
        <v>2023-11-18</v>
      </c>
    </row>
  </sheetData>
  <autoFilter ref="$A$1:$AN$208"/>
  <drawing r:id="rId1"/>
</worksheet>
</file>