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 firstSheet="2" activeTab="19"/>
  </bookViews>
  <sheets>
    <sheet name="Muscovite" sheetId="1" r:id="rId1"/>
    <sheet name="Muscovite_no_B" sheetId="2" r:id="rId2"/>
    <sheet name="Biotite" sheetId="3" r:id="rId3"/>
    <sheet name="Glauconite" sheetId="4" r:id="rId4"/>
    <sheet name="Glauconite_no_B" sheetId="5" r:id="rId5"/>
    <sheet name="Kaolinite" sheetId="6" r:id="rId6"/>
    <sheet name="Illite_1" sheetId="7" r:id="rId7"/>
    <sheet name="Illite_1b" sheetId="8" r:id="rId8"/>
    <sheet name="Illite_2" sheetId="9" r:id="rId9"/>
    <sheet name="Smectite" sheetId="10" r:id="rId10"/>
    <sheet name="Chlorite" sheetId="11" r:id="rId11"/>
    <sheet name="Chlorite_2" sheetId="12" r:id="rId12"/>
    <sheet name="water" sheetId="13" r:id="rId13"/>
    <sheet name="quartz" sheetId="14" r:id="rId14"/>
    <sheet name="K-feldspar" sheetId="15" r:id="rId15"/>
    <sheet name="plagioclase" sheetId="16" r:id="rId16"/>
    <sheet name="calcite" sheetId="17" r:id="rId17"/>
    <sheet name="siderite" sheetId="18" r:id="rId18"/>
    <sheet name="pyrite" sheetId="19" r:id="rId19"/>
    <sheet name="XD-2-1" sheetId="20" r:id="rId20"/>
  </sheets>
  <definedNames>
    <definedName name="_xlnm.Print_Area" localSheetId="0">#REF!</definedName>
    <definedName name="_xlnm.Sheet_Title" localSheetId="0">"Sheet1"</definedName>
  </definedNames>
  <calcPr calcId="145621" iterate="1" iterateDelta="1E-4"/>
</workbook>
</file>

<file path=xl/calcChain.xml><?xml version="1.0" encoding="utf-8"?>
<calcChain xmlns="http://schemas.openxmlformats.org/spreadsheetml/2006/main">
  <c r="I18" i="20" l="1"/>
  <c r="I17" i="20"/>
  <c r="B17" i="20"/>
  <c r="C16" i="20" s="1"/>
  <c r="I16" i="20"/>
  <c r="I15" i="20"/>
  <c r="C15" i="20"/>
  <c r="I14" i="20"/>
  <c r="C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I5" i="20"/>
  <c r="I4" i="20"/>
  <c r="I3" i="20"/>
  <c r="C3" i="20"/>
  <c r="F3" i="20" s="1"/>
  <c r="C2" i="20"/>
  <c r="C1" i="20"/>
  <c r="C39" i="19"/>
  <c r="D39" i="19" s="1"/>
  <c r="E39" i="19" s="1"/>
  <c r="D38" i="19"/>
  <c r="E38" i="19" s="1"/>
  <c r="C38" i="19"/>
  <c r="D36" i="19"/>
  <c r="E36" i="19" s="1"/>
  <c r="C36" i="19"/>
  <c r="C35" i="19"/>
  <c r="D35" i="19" s="1"/>
  <c r="E35" i="19" s="1"/>
  <c r="D34" i="19"/>
  <c r="E34" i="19" s="1"/>
  <c r="C34" i="19"/>
  <c r="C33" i="19"/>
  <c r="D32" i="19"/>
  <c r="E32" i="19" s="1"/>
  <c r="C32" i="19"/>
  <c r="C31" i="19"/>
  <c r="D31" i="19" s="1"/>
  <c r="E31" i="19" s="1"/>
  <c r="D30" i="19"/>
  <c r="E30" i="19" s="1"/>
  <c r="C30" i="19"/>
  <c r="C29" i="19"/>
  <c r="D28" i="19"/>
  <c r="E28" i="19" s="1"/>
  <c r="C28" i="19"/>
  <c r="D26" i="19"/>
  <c r="E26" i="19" s="1"/>
  <c r="C26" i="19"/>
  <c r="B20" i="19"/>
  <c r="B19" i="19"/>
  <c r="B18" i="19"/>
  <c r="C17" i="19"/>
  <c r="C37" i="19" s="1"/>
  <c r="B17" i="19"/>
  <c r="B16" i="19"/>
  <c r="B15" i="19"/>
  <c r="B14" i="19"/>
  <c r="B13" i="19"/>
  <c r="B12" i="19"/>
  <c r="B11" i="19"/>
  <c r="B10" i="19"/>
  <c r="B9" i="19"/>
  <c r="B8" i="19"/>
  <c r="C24" i="19" s="1"/>
  <c r="B7" i="19"/>
  <c r="C6" i="19"/>
  <c r="C27" i="19" s="1"/>
  <c r="B6" i="19"/>
  <c r="E5" i="19"/>
  <c r="B5" i="19"/>
  <c r="C38" i="18"/>
  <c r="D38" i="18" s="1"/>
  <c r="E38" i="18" s="1"/>
  <c r="D37" i="18"/>
  <c r="E37" i="18" s="1"/>
  <c r="C37" i="18"/>
  <c r="C36" i="18"/>
  <c r="D35" i="18"/>
  <c r="E35" i="18" s="1"/>
  <c r="C35" i="18"/>
  <c r="C34" i="18"/>
  <c r="D34" i="18" s="1"/>
  <c r="E34" i="18" s="1"/>
  <c r="D33" i="18"/>
  <c r="E33" i="18" s="1"/>
  <c r="C33" i="18"/>
  <c r="C32" i="18"/>
  <c r="D31" i="18"/>
  <c r="E31" i="18" s="1"/>
  <c r="C31" i="18"/>
  <c r="C30" i="18"/>
  <c r="D30" i="18" s="1"/>
  <c r="E30" i="18" s="1"/>
  <c r="D29" i="18"/>
  <c r="E29" i="18" s="1"/>
  <c r="C29" i="18"/>
  <c r="C28" i="18"/>
  <c r="C26" i="18"/>
  <c r="D26" i="18" s="1"/>
  <c r="E26" i="18" s="1"/>
  <c r="C24" i="18"/>
  <c r="B46" i="18" s="1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E5" i="18" s="1"/>
  <c r="B5" i="18"/>
  <c r="D38" i="17"/>
  <c r="E38" i="17" s="1"/>
  <c r="C38" i="17"/>
  <c r="C37" i="17"/>
  <c r="D36" i="17"/>
  <c r="E36" i="17" s="1"/>
  <c r="C36" i="17"/>
  <c r="D34" i="17"/>
  <c r="E34" i="17" s="1"/>
  <c r="C34" i="17"/>
  <c r="C33" i="17"/>
  <c r="C32" i="17"/>
  <c r="C31" i="17"/>
  <c r="D30" i="17"/>
  <c r="E30" i="17" s="1"/>
  <c r="C30" i="17"/>
  <c r="C29" i="17"/>
  <c r="C28" i="17"/>
  <c r="C27" i="17"/>
  <c r="E26" i="17"/>
  <c r="D26" i="17"/>
  <c r="C26" i="17"/>
  <c r="B20" i="17"/>
  <c r="B19" i="17"/>
  <c r="C19" i="17" s="1"/>
  <c r="C39" i="17" s="1"/>
  <c r="B18" i="17"/>
  <c r="B17" i="17"/>
  <c r="B16" i="17"/>
  <c r="B15" i="17"/>
  <c r="B14" i="17"/>
  <c r="B13" i="17"/>
  <c r="B12" i="17"/>
  <c r="B11" i="17"/>
  <c r="B10" i="17"/>
  <c r="B9" i="17"/>
  <c r="B8" i="17"/>
  <c r="C24" i="17" s="1"/>
  <c r="B7" i="17"/>
  <c r="B6" i="17"/>
  <c r="E5" i="17"/>
  <c r="C15" i="17" s="1"/>
  <c r="B5" i="17"/>
  <c r="C37" i="16"/>
  <c r="C36" i="16"/>
  <c r="E35" i="16"/>
  <c r="D35" i="16"/>
  <c r="C35" i="16"/>
  <c r="C33" i="16"/>
  <c r="C32" i="16"/>
  <c r="E31" i="16"/>
  <c r="D31" i="16"/>
  <c r="C31" i="16"/>
  <c r="C29" i="16"/>
  <c r="E27" i="16"/>
  <c r="D27" i="16"/>
  <c r="C27" i="16"/>
  <c r="D26" i="16"/>
  <c r="E26" i="16" s="1"/>
  <c r="C26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C23" i="16" s="1"/>
  <c r="B7" i="16"/>
  <c r="B6" i="16"/>
  <c r="B5" i="16"/>
  <c r="C37" i="15"/>
  <c r="E36" i="15"/>
  <c r="D36" i="15"/>
  <c r="C36" i="15"/>
  <c r="D35" i="15"/>
  <c r="E35" i="15" s="1"/>
  <c r="C35" i="15"/>
  <c r="C34" i="15"/>
  <c r="C33" i="15"/>
  <c r="D31" i="15"/>
  <c r="E31" i="15" s="1"/>
  <c r="C31" i="15"/>
  <c r="C29" i="15"/>
  <c r="D27" i="15"/>
  <c r="E27" i="15" s="1"/>
  <c r="C27" i="15"/>
  <c r="C26" i="15"/>
  <c r="C25" i="15"/>
  <c r="D23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C23" i="15" s="1"/>
  <c r="B7" i="15"/>
  <c r="B6" i="15"/>
  <c r="B5" i="15"/>
  <c r="C37" i="14"/>
  <c r="D36" i="14"/>
  <c r="E36" i="14" s="1"/>
  <c r="C36" i="14"/>
  <c r="C35" i="14"/>
  <c r="C34" i="14"/>
  <c r="C33" i="14"/>
  <c r="D32" i="14"/>
  <c r="E32" i="14" s="1"/>
  <c r="C32" i="14"/>
  <c r="C31" i="14"/>
  <c r="C29" i="14"/>
  <c r="D28" i="14"/>
  <c r="E28" i="14" s="1"/>
  <c r="C28" i="14"/>
  <c r="C27" i="14"/>
  <c r="C26" i="14"/>
  <c r="C25" i="14"/>
  <c r="C23" i="14"/>
  <c r="B19" i="14"/>
  <c r="B18" i="14"/>
  <c r="B17" i="14"/>
  <c r="B16" i="14"/>
  <c r="B15" i="14"/>
  <c r="B14" i="14"/>
  <c r="B13" i="14"/>
  <c r="B12" i="14"/>
  <c r="B11" i="14"/>
  <c r="C11" i="14" s="1"/>
  <c r="B10" i="14"/>
  <c r="B9" i="14"/>
  <c r="B8" i="14"/>
  <c r="B7" i="14"/>
  <c r="B6" i="14"/>
  <c r="B5" i="14"/>
  <c r="D37" i="13"/>
  <c r="E37" i="13" s="1"/>
  <c r="C37" i="13"/>
  <c r="C36" i="13"/>
  <c r="C35" i="13"/>
  <c r="C34" i="13"/>
  <c r="D33" i="13"/>
  <c r="E33" i="13" s="1"/>
  <c r="C33" i="13"/>
  <c r="C32" i="13"/>
  <c r="C31" i="13"/>
  <c r="C30" i="13"/>
  <c r="D29" i="13"/>
  <c r="E29" i="13" s="1"/>
  <c r="C29" i="13"/>
  <c r="C28" i="13"/>
  <c r="C27" i="13"/>
  <c r="C26" i="13"/>
  <c r="D25" i="13"/>
  <c r="E25" i="13" s="1"/>
  <c r="C25" i="13"/>
  <c r="C19" i="13"/>
  <c r="C24" i="13" s="1"/>
  <c r="B19" i="13"/>
  <c r="B18" i="13"/>
  <c r="B17" i="13"/>
  <c r="B16" i="13"/>
  <c r="B15" i="13"/>
  <c r="B14" i="13"/>
  <c r="B13" i="13"/>
  <c r="B12" i="13"/>
  <c r="B11" i="13"/>
  <c r="B10" i="13"/>
  <c r="B9" i="13"/>
  <c r="B8" i="13"/>
  <c r="C23" i="13" s="1"/>
  <c r="B7" i="13"/>
  <c r="B6" i="13"/>
  <c r="B5" i="13"/>
  <c r="C37" i="12"/>
  <c r="C36" i="12"/>
  <c r="D35" i="12"/>
  <c r="E35" i="12" s="1"/>
  <c r="C35" i="12"/>
  <c r="C34" i="12"/>
  <c r="C33" i="12"/>
  <c r="C32" i="12"/>
  <c r="D31" i="12"/>
  <c r="E31" i="12" s="1"/>
  <c r="C31" i="12"/>
  <c r="C30" i="12"/>
  <c r="C29" i="12"/>
  <c r="C28" i="12"/>
  <c r="D27" i="12"/>
  <c r="E27" i="12" s="1"/>
  <c r="C27" i="12"/>
  <c r="D26" i="12"/>
  <c r="E26" i="12" s="1"/>
  <c r="C26" i="12"/>
  <c r="C25" i="12"/>
  <c r="C19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C23" i="12" s="1"/>
  <c r="D23" i="12" s="1"/>
  <c r="B7" i="12"/>
  <c r="B6" i="12"/>
  <c r="B5" i="12"/>
  <c r="D35" i="11"/>
  <c r="E35" i="11" s="1"/>
  <c r="C35" i="11"/>
  <c r="C34" i="11"/>
  <c r="D34" i="11" s="1"/>
  <c r="E34" i="11" s="1"/>
  <c r="D33" i="11"/>
  <c r="E33" i="11" s="1"/>
  <c r="C33" i="11"/>
  <c r="C32" i="11"/>
  <c r="D32" i="11" s="1"/>
  <c r="E32" i="11" s="1"/>
  <c r="D31" i="11"/>
  <c r="E31" i="11" s="1"/>
  <c r="C31" i="11"/>
  <c r="C30" i="11"/>
  <c r="D30" i="11" s="1"/>
  <c r="E30" i="11" s="1"/>
  <c r="D29" i="11"/>
  <c r="E29" i="11" s="1"/>
  <c r="C29" i="11"/>
  <c r="C28" i="11"/>
  <c r="D28" i="11" s="1"/>
  <c r="E28" i="11" s="1"/>
  <c r="D27" i="11"/>
  <c r="E27" i="11" s="1"/>
  <c r="C27" i="11"/>
  <c r="C26" i="11"/>
  <c r="D26" i="11" s="1"/>
  <c r="E26" i="11" s="1"/>
  <c r="D25" i="11"/>
  <c r="E25" i="11" s="1"/>
  <c r="C25" i="11"/>
  <c r="C24" i="11"/>
  <c r="D24" i="11" s="1"/>
  <c r="E24" i="11" s="1"/>
  <c r="C18" i="11"/>
  <c r="C23" i="11" s="1"/>
  <c r="D23" i="11" s="1"/>
  <c r="E23" i="11" s="1"/>
  <c r="B18" i="11"/>
  <c r="B17" i="11"/>
  <c r="B16" i="11"/>
  <c r="B15" i="11"/>
  <c r="B14" i="11"/>
  <c r="B13" i="11"/>
  <c r="B12" i="11"/>
  <c r="B11" i="11"/>
  <c r="B10" i="11"/>
  <c r="B9" i="11"/>
  <c r="B8" i="11"/>
  <c r="C22" i="11" s="1"/>
  <c r="B7" i="11"/>
  <c r="B6" i="11"/>
  <c r="B5" i="11"/>
  <c r="D35" i="10"/>
  <c r="E35" i="10" s="1"/>
  <c r="C35" i="10"/>
  <c r="C34" i="10"/>
  <c r="D34" i="10" s="1"/>
  <c r="E34" i="10" s="1"/>
  <c r="D33" i="10"/>
  <c r="E33" i="10" s="1"/>
  <c r="C33" i="10"/>
  <c r="C32" i="10"/>
  <c r="D31" i="10"/>
  <c r="E31" i="10" s="1"/>
  <c r="C31" i="10"/>
  <c r="C30" i="10"/>
  <c r="D30" i="10" s="1"/>
  <c r="E30" i="10" s="1"/>
  <c r="D29" i="10"/>
  <c r="E29" i="10" s="1"/>
  <c r="C29" i="10"/>
  <c r="C28" i="10"/>
  <c r="D27" i="10"/>
  <c r="E27" i="10" s="1"/>
  <c r="C27" i="10"/>
  <c r="C26" i="10"/>
  <c r="D26" i="10" s="1"/>
  <c r="E26" i="10" s="1"/>
  <c r="D25" i="10"/>
  <c r="E25" i="10" s="1"/>
  <c r="C25" i="10"/>
  <c r="C24" i="10"/>
  <c r="C18" i="10"/>
  <c r="C23" i="10" s="1"/>
  <c r="B18" i="10"/>
  <c r="B17" i="10"/>
  <c r="B16" i="10"/>
  <c r="B15" i="10"/>
  <c r="B14" i="10"/>
  <c r="B13" i="10"/>
  <c r="B12" i="10"/>
  <c r="B11" i="10"/>
  <c r="B10" i="10"/>
  <c r="B9" i="10"/>
  <c r="B8" i="10"/>
  <c r="C22" i="10" s="1"/>
  <c r="B7" i="10"/>
  <c r="B6" i="10"/>
  <c r="B5" i="10"/>
  <c r="D35" i="9"/>
  <c r="E35" i="9" s="1"/>
  <c r="C35" i="9"/>
  <c r="C34" i="9"/>
  <c r="D34" i="9" s="1"/>
  <c r="E34" i="9" s="1"/>
  <c r="C33" i="9"/>
  <c r="D33" i="9" s="1"/>
  <c r="E33" i="9" s="1"/>
  <c r="C32" i="9"/>
  <c r="D32" i="9" s="1"/>
  <c r="E32" i="9" s="1"/>
  <c r="D31" i="9"/>
  <c r="E31" i="9" s="1"/>
  <c r="C31" i="9"/>
  <c r="C30" i="9"/>
  <c r="D30" i="9" s="1"/>
  <c r="E30" i="9" s="1"/>
  <c r="C29" i="9"/>
  <c r="D29" i="9" s="1"/>
  <c r="E29" i="9" s="1"/>
  <c r="C28" i="9"/>
  <c r="D28" i="9" s="1"/>
  <c r="E28" i="9" s="1"/>
  <c r="D27" i="9"/>
  <c r="E27" i="9" s="1"/>
  <c r="C27" i="9"/>
  <c r="C26" i="9"/>
  <c r="D26" i="9" s="1"/>
  <c r="E26" i="9" s="1"/>
  <c r="C25" i="9"/>
  <c r="D25" i="9" s="1"/>
  <c r="E25" i="9" s="1"/>
  <c r="E24" i="9"/>
  <c r="D24" i="9"/>
  <c r="C24" i="9"/>
  <c r="C18" i="9"/>
  <c r="C23" i="9" s="1"/>
  <c r="D23" i="9" s="1"/>
  <c r="E23" i="9" s="1"/>
  <c r="B18" i="9"/>
  <c r="B17" i="9"/>
  <c r="B16" i="9"/>
  <c r="B15" i="9"/>
  <c r="B14" i="9"/>
  <c r="B13" i="9"/>
  <c r="B12" i="9"/>
  <c r="B11" i="9"/>
  <c r="B10" i="9"/>
  <c r="B9" i="9"/>
  <c r="B8" i="9"/>
  <c r="C22" i="9" s="1"/>
  <c r="B7" i="9"/>
  <c r="B6" i="9"/>
  <c r="B5" i="9"/>
  <c r="C35" i="8"/>
  <c r="D35" i="8" s="1"/>
  <c r="E35" i="8" s="1"/>
  <c r="C34" i="8"/>
  <c r="D34" i="8" s="1"/>
  <c r="E34" i="8" s="1"/>
  <c r="D33" i="8"/>
  <c r="E33" i="8" s="1"/>
  <c r="C33" i="8"/>
  <c r="C32" i="8"/>
  <c r="D32" i="8" s="1"/>
  <c r="E32" i="8" s="1"/>
  <c r="C31" i="8"/>
  <c r="D31" i="8" s="1"/>
  <c r="E31" i="8" s="1"/>
  <c r="C30" i="8"/>
  <c r="D30" i="8" s="1"/>
  <c r="E30" i="8" s="1"/>
  <c r="D29" i="8"/>
  <c r="E29" i="8" s="1"/>
  <c r="C29" i="8"/>
  <c r="C28" i="8"/>
  <c r="D28" i="8" s="1"/>
  <c r="E28" i="8" s="1"/>
  <c r="C27" i="8"/>
  <c r="D27" i="8" s="1"/>
  <c r="E27" i="8" s="1"/>
  <c r="C26" i="8"/>
  <c r="D26" i="8" s="1"/>
  <c r="E26" i="8" s="1"/>
  <c r="D25" i="8"/>
  <c r="E25" i="8" s="1"/>
  <c r="C25" i="8"/>
  <c r="C24" i="8"/>
  <c r="D24" i="8" s="1"/>
  <c r="E24" i="8" s="1"/>
  <c r="C18" i="8"/>
  <c r="C23" i="8" s="1"/>
  <c r="D23" i="8" s="1"/>
  <c r="E23" i="8" s="1"/>
  <c r="B18" i="8"/>
  <c r="B17" i="8"/>
  <c r="B16" i="8"/>
  <c r="B15" i="8"/>
  <c r="B14" i="8"/>
  <c r="B13" i="8"/>
  <c r="B12" i="8"/>
  <c r="B11" i="8"/>
  <c r="B10" i="8"/>
  <c r="B9" i="8"/>
  <c r="B8" i="8"/>
  <c r="C22" i="8" s="1"/>
  <c r="B7" i="8"/>
  <c r="B6" i="8"/>
  <c r="B5" i="8"/>
  <c r="D35" i="7"/>
  <c r="E35" i="7" s="1"/>
  <c r="C35" i="7"/>
  <c r="C34" i="7"/>
  <c r="C33" i="7"/>
  <c r="E32" i="7"/>
  <c r="D32" i="7"/>
  <c r="C32" i="7"/>
  <c r="D31" i="7"/>
  <c r="E31" i="7" s="1"/>
  <c r="C31" i="7"/>
  <c r="C30" i="7"/>
  <c r="C29" i="7"/>
  <c r="E28" i="7"/>
  <c r="D28" i="7"/>
  <c r="C28" i="7"/>
  <c r="D27" i="7"/>
  <c r="E27" i="7" s="1"/>
  <c r="C27" i="7"/>
  <c r="C26" i="7"/>
  <c r="C25" i="7"/>
  <c r="E24" i="7"/>
  <c r="D24" i="7"/>
  <c r="C24" i="7"/>
  <c r="C18" i="7"/>
  <c r="C23" i="7" s="1"/>
  <c r="B18" i="7"/>
  <c r="B17" i="7"/>
  <c r="B16" i="7"/>
  <c r="B15" i="7"/>
  <c r="B14" i="7"/>
  <c r="B13" i="7"/>
  <c r="B12" i="7"/>
  <c r="B11" i="7"/>
  <c r="B10" i="7"/>
  <c r="B9" i="7"/>
  <c r="B8" i="7"/>
  <c r="C22" i="7" s="1"/>
  <c r="B7" i="7"/>
  <c r="B6" i="7"/>
  <c r="B5" i="7"/>
  <c r="C35" i="6"/>
  <c r="E34" i="6"/>
  <c r="D34" i="6"/>
  <c r="C34" i="6"/>
  <c r="D33" i="6"/>
  <c r="E33" i="6" s="1"/>
  <c r="C33" i="6"/>
  <c r="C32" i="6"/>
  <c r="C31" i="6"/>
  <c r="E30" i="6"/>
  <c r="D30" i="6"/>
  <c r="C30" i="6"/>
  <c r="D29" i="6"/>
  <c r="E29" i="6" s="1"/>
  <c r="C29" i="6"/>
  <c r="C28" i="6"/>
  <c r="C27" i="6"/>
  <c r="E26" i="6"/>
  <c r="D26" i="6"/>
  <c r="C26" i="6"/>
  <c r="D25" i="6"/>
  <c r="E25" i="6" s="1"/>
  <c r="C25" i="6"/>
  <c r="C24" i="6"/>
  <c r="C18" i="6"/>
  <c r="C23" i="6" s="1"/>
  <c r="B18" i="6"/>
  <c r="B17" i="6"/>
  <c r="B16" i="6"/>
  <c r="B15" i="6"/>
  <c r="B14" i="6"/>
  <c r="B13" i="6"/>
  <c r="B12" i="6"/>
  <c r="B11" i="6"/>
  <c r="B10" i="6"/>
  <c r="B9" i="6"/>
  <c r="B8" i="6"/>
  <c r="C22" i="6" s="1"/>
  <c r="B7" i="6"/>
  <c r="B6" i="6"/>
  <c r="B5" i="6"/>
  <c r="D35" i="5"/>
  <c r="E35" i="5" s="1"/>
  <c r="C35" i="5"/>
  <c r="C34" i="5"/>
  <c r="D34" i="5" s="1"/>
  <c r="E34" i="5" s="1"/>
  <c r="C33" i="5"/>
  <c r="D33" i="5" s="1"/>
  <c r="E33" i="5" s="1"/>
  <c r="E32" i="5"/>
  <c r="D32" i="5"/>
  <c r="C32" i="5"/>
  <c r="D31" i="5"/>
  <c r="E31" i="5" s="1"/>
  <c r="C31" i="5"/>
  <c r="C30" i="5"/>
  <c r="D30" i="5" s="1"/>
  <c r="E30" i="5" s="1"/>
  <c r="C29" i="5"/>
  <c r="D29" i="5" s="1"/>
  <c r="E29" i="5" s="1"/>
  <c r="C28" i="5"/>
  <c r="D28" i="5" s="1"/>
  <c r="E28" i="5" s="1"/>
  <c r="D27" i="5"/>
  <c r="E27" i="5" s="1"/>
  <c r="C27" i="5"/>
  <c r="C26" i="5"/>
  <c r="D26" i="5" s="1"/>
  <c r="E26" i="5" s="1"/>
  <c r="D25" i="5"/>
  <c r="E25" i="5" s="1"/>
  <c r="C25" i="5"/>
  <c r="C24" i="5"/>
  <c r="D24" i="5" s="1"/>
  <c r="E24" i="5" s="1"/>
  <c r="C18" i="5"/>
  <c r="C23" i="5" s="1"/>
  <c r="D23" i="5" s="1"/>
  <c r="E23" i="5" s="1"/>
  <c r="B18" i="5"/>
  <c r="B17" i="5"/>
  <c r="B16" i="5"/>
  <c r="B15" i="5"/>
  <c r="B14" i="5"/>
  <c r="B13" i="5"/>
  <c r="B12" i="5"/>
  <c r="B11" i="5"/>
  <c r="B10" i="5"/>
  <c r="B9" i="5"/>
  <c r="B8" i="5"/>
  <c r="C22" i="5" s="1"/>
  <c r="B7" i="5"/>
  <c r="B6" i="5"/>
  <c r="B5" i="5"/>
  <c r="D35" i="4"/>
  <c r="E35" i="4" s="1"/>
  <c r="C35" i="4"/>
  <c r="C34" i="4"/>
  <c r="D34" i="4" s="1"/>
  <c r="E34" i="4" s="1"/>
  <c r="D33" i="4"/>
  <c r="E33" i="4" s="1"/>
  <c r="C33" i="4"/>
  <c r="C32" i="4"/>
  <c r="D32" i="4" s="1"/>
  <c r="E32" i="4" s="1"/>
  <c r="D31" i="4"/>
  <c r="E31" i="4" s="1"/>
  <c r="C31" i="4"/>
  <c r="C30" i="4"/>
  <c r="D30" i="4" s="1"/>
  <c r="E30" i="4" s="1"/>
  <c r="D29" i="4"/>
  <c r="E29" i="4" s="1"/>
  <c r="C29" i="4"/>
  <c r="C28" i="4"/>
  <c r="D28" i="4" s="1"/>
  <c r="E28" i="4" s="1"/>
  <c r="D27" i="4"/>
  <c r="E27" i="4" s="1"/>
  <c r="C27" i="4"/>
  <c r="C26" i="4"/>
  <c r="D26" i="4" s="1"/>
  <c r="E26" i="4" s="1"/>
  <c r="D25" i="4"/>
  <c r="E25" i="4" s="1"/>
  <c r="C25" i="4"/>
  <c r="C24" i="4"/>
  <c r="D24" i="4" s="1"/>
  <c r="E24" i="4" s="1"/>
  <c r="C18" i="4"/>
  <c r="C23" i="4" s="1"/>
  <c r="D23" i="4" s="1"/>
  <c r="E23" i="4" s="1"/>
  <c r="B18" i="4"/>
  <c r="B17" i="4"/>
  <c r="B16" i="4"/>
  <c r="B15" i="4"/>
  <c r="B14" i="4"/>
  <c r="B13" i="4"/>
  <c r="B12" i="4"/>
  <c r="B11" i="4"/>
  <c r="B10" i="4"/>
  <c r="B9" i="4"/>
  <c r="B8" i="4"/>
  <c r="C22" i="4" s="1"/>
  <c r="B7" i="4"/>
  <c r="B6" i="4"/>
  <c r="B5" i="4"/>
  <c r="D35" i="3"/>
  <c r="E35" i="3" s="1"/>
  <c r="C35" i="3"/>
  <c r="C34" i="3"/>
  <c r="D34" i="3" s="1"/>
  <c r="E34" i="3" s="1"/>
  <c r="D33" i="3"/>
  <c r="E33" i="3" s="1"/>
  <c r="C33" i="3"/>
  <c r="C32" i="3"/>
  <c r="D32" i="3" s="1"/>
  <c r="E32" i="3" s="1"/>
  <c r="D31" i="3"/>
  <c r="E31" i="3" s="1"/>
  <c r="C31" i="3"/>
  <c r="C30" i="3"/>
  <c r="D30" i="3" s="1"/>
  <c r="E30" i="3" s="1"/>
  <c r="D29" i="3"/>
  <c r="E29" i="3" s="1"/>
  <c r="C29" i="3"/>
  <c r="C28" i="3"/>
  <c r="D28" i="3" s="1"/>
  <c r="E28" i="3" s="1"/>
  <c r="E27" i="3"/>
  <c r="D27" i="3"/>
  <c r="C27" i="3"/>
  <c r="E26" i="3"/>
  <c r="D26" i="3"/>
  <c r="C26" i="3"/>
  <c r="D25" i="3"/>
  <c r="E25" i="3" s="1"/>
  <c r="C25" i="3"/>
  <c r="C24" i="3"/>
  <c r="D24" i="3" s="1"/>
  <c r="E24" i="3" s="1"/>
  <c r="C18" i="3"/>
  <c r="C23" i="3" s="1"/>
  <c r="D23" i="3" s="1"/>
  <c r="E23" i="3" s="1"/>
  <c r="B18" i="3"/>
  <c r="B17" i="3"/>
  <c r="B16" i="3"/>
  <c r="B15" i="3"/>
  <c r="B14" i="3"/>
  <c r="B13" i="3"/>
  <c r="B12" i="3"/>
  <c r="B11" i="3"/>
  <c r="B10" i="3"/>
  <c r="B9" i="3"/>
  <c r="B8" i="3"/>
  <c r="C22" i="3" s="1"/>
  <c r="B7" i="3"/>
  <c r="B6" i="3"/>
  <c r="B5" i="3"/>
  <c r="D35" i="2"/>
  <c r="E35" i="2" s="1"/>
  <c r="C35" i="2"/>
  <c r="C34" i="2"/>
  <c r="D34" i="2" s="1"/>
  <c r="E34" i="2" s="1"/>
  <c r="C33" i="2"/>
  <c r="D33" i="2" s="1"/>
  <c r="E33" i="2" s="1"/>
  <c r="C32" i="2"/>
  <c r="D32" i="2" s="1"/>
  <c r="E32" i="2" s="1"/>
  <c r="D31" i="2"/>
  <c r="E31" i="2" s="1"/>
  <c r="C31" i="2"/>
  <c r="C30" i="2"/>
  <c r="D30" i="2" s="1"/>
  <c r="E30" i="2" s="1"/>
  <c r="C29" i="2"/>
  <c r="D29" i="2" s="1"/>
  <c r="E29" i="2" s="1"/>
  <c r="C28" i="2"/>
  <c r="D28" i="2" s="1"/>
  <c r="E28" i="2" s="1"/>
  <c r="D27" i="2"/>
  <c r="E27" i="2" s="1"/>
  <c r="C27" i="2"/>
  <c r="C26" i="2"/>
  <c r="D26" i="2" s="1"/>
  <c r="E26" i="2" s="1"/>
  <c r="C25" i="2"/>
  <c r="D25" i="2" s="1"/>
  <c r="E25" i="2" s="1"/>
  <c r="C24" i="2"/>
  <c r="D24" i="2" s="1"/>
  <c r="E24" i="2" s="1"/>
  <c r="C18" i="2"/>
  <c r="C23" i="2" s="1"/>
  <c r="D23" i="2" s="1"/>
  <c r="E23" i="2" s="1"/>
  <c r="B18" i="2"/>
  <c r="B17" i="2"/>
  <c r="B16" i="2"/>
  <c r="B15" i="2"/>
  <c r="B14" i="2"/>
  <c r="B13" i="2"/>
  <c r="B12" i="2"/>
  <c r="B11" i="2"/>
  <c r="B10" i="2"/>
  <c r="B9" i="2"/>
  <c r="B8" i="2"/>
  <c r="C22" i="2" s="1"/>
  <c r="B7" i="2"/>
  <c r="B6" i="2"/>
  <c r="B5" i="2"/>
  <c r="C35" i="1"/>
  <c r="E34" i="1"/>
  <c r="D34" i="1"/>
  <c r="C34" i="1"/>
  <c r="D33" i="1"/>
  <c r="E33" i="1" s="1"/>
  <c r="C33" i="1"/>
  <c r="C32" i="1"/>
  <c r="C31" i="1"/>
  <c r="E30" i="1"/>
  <c r="D30" i="1"/>
  <c r="C30" i="1"/>
  <c r="D29" i="1"/>
  <c r="E29" i="1" s="1"/>
  <c r="C29" i="1"/>
  <c r="C28" i="1"/>
  <c r="C27" i="1"/>
  <c r="E26" i="1"/>
  <c r="D26" i="1"/>
  <c r="C26" i="1"/>
  <c r="D25" i="1"/>
  <c r="E25" i="1" s="1"/>
  <c r="C25" i="1"/>
  <c r="C24" i="1"/>
  <c r="C18" i="1"/>
  <c r="C23" i="1" s="1"/>
  <c r="B18" i="1"/>
  <c r="B17" i="1"/>
  <c r="B16" i="1"/>
  <c r="B15" i="1"/>
  <c r="B14" i="1"/>
  <c r="B13" i="1"/>
  <c r="B12" i="1"/>
  <c r="B11" i="1"/>
  <c r="B10" i="1"/>
  <c r="B9" i="1"/>
  <c r="B8" i="1"/>
  <c r="C22" i="1" s="1"/>
  <c r="B7" i="1"/>
  <c r="B6" i="1"/>
  <c r="B5" i="1"/>
  <c r="D23" i="1" l="1"/>
  <c r="E23" i="1" s="1"/>
  <c r="B42" i="1"/>
  <c r="C37" i="1"/>
  <c r="D22" i="1"/>
  <c r="C37" i="2"/>
  <c r="D22" i="2"/>
  <c r="B42" i="2"/>
  <c r="B42" i="3"/>
  <c r="C37" i="3"/>
  <c r="D22" i="3"/>
  <c r="C37" i="4"/>
  <c r="D22" i="4"/>
  <c r="B42" i="4"/>
  <c r="C37" i="5"/>
  <c r="B42" i="5"/>
  <c r="D22" i="5"/>
  <c r="B42" i="6"/>
  <c r="C37" i="6"/>
  <c r="D22" i="6"/>
  <c r="C37" i="7"/>
  <c r="D22" i="7"/>
  <c r="B42" i="7"/>
  <c r="B42" i="8"/>
  <c r="C37" i="8"/>
  <c r="D22" i="8"/>
  <c r="E23" i="12"/>
  <c r="D23" i="10"/>
  <c r="E23" i="10" s="1"/>
  <c r="D24" i="1"/>
  <c r="E24" i="1" s="1"/>
  <c r="D28" i="1"/>
  <c r="E28" i="1" s="1"/>
  <c r="D32" i="1"/>
  <c r="E32" i="1" s="1"/>
  <c r="C37" i="9"/>
  <c r="D22" i="9"/>
  <c r="B42" i="9"/>
  <c r="B42" i="10"/>
  <c r="C37" i="10"/>
  <c r="D22" i="10"/>
  <c r="D27" i="1"/>
  <c r="E27" i="1" s="1"/>
  <c r="D31" i="1"/>
  <c r="E31" i="1" s="1"/>
  <c r="D35" i="1"/>
  <c r="E35" i="1" s="1"/>
  <c r="D23" i="6"/>
  <c r="E23" i="6" s="1"/>
  <c r="D23" i="7"/>
  <c r="E23" i="7" s="1"/>
  <c r="C37" i="11"/>
  <c r="D22" i="11"/>
  <c r="B42" i="11"/>
  <c r="C39" i="13"/>
  <c r="D23" i="13"/>
  <c r="B44" i="13"/>
  <c r="D24" i="13"/>
  <c r="E24" i="13" s="1"/>
  <c r="C19" i="14"/>
  <c r="C24" i="14" s="1"/>
  <c r="C30" i="14"/>
  <c r="D24" i="6"/>
  <c r="E24" i="6" s="1"/>
  <c r="D28" i="6"/>
  <c r="E28" i="6" s="1"/>
  <c r="D32" i="6"/>
  <c r="E32" i="6" s="1"/>
  <c r="D26" i="7"/>
  <c r="E26" i="7" s="1"/>
  <c r="D30" i="7"/>
  <c r="E30" i="7" s="1"/>
  <c r="D34" i="7"/>
  <c r="E34" i="7" s="1"/>
  <c r="D24" i="10"/>
  <c r="E24" i="10" s="1"/>
  <c r="D28" i="10"/>
  <c r="E28" i="10" s="1"/>
  <c r="D32" i="10"/>
  <c r="E32" i="10" s="1"/>
  <c r="D27" i="6"/>
  <c r="E27" i="6" s="1"/>
  <c r="D31" i="6"/>
  <c r="E31" i="6" s="1"/>
  <c r="D35" i="6"/>
  <c r="E35" i="6" s="1"/>
  <c r="D25" i="7"/>
  <c r="E25" i="7" s="1"/>
  <c r="D29" i="7"/>
  <c r="E29" i="7" s="1"/>
  <c r="D33" i="7"/>
  <c r="E33" i="7" s="1"/>
  <c r="B44" i="12"/>
  <c r="C39" i="12"/>
  <c r="C24" i="12"/>
  <c r="D25" i="12"/>
  <c r="E25" i="12" s="1"/>
  <c r="E23" i="15"/>
  <c r="B44" i="16"/>
  <c r="D23" i="16"/>
  <c r="B46" i="17"/>
  <c r="D24" i="17"/>
  <c r="D30" i="12"/>
  <c r="E30" i="12" s="1"/>
  <c r="D34" i="12"/>
  <c r="E34" i="12" s="1"/>
  <c r="D28" i="13"/>
  <c r="E28" i="13" s="1"/>
  <c r="D32" i="13"/>
  <c r="E32" i="13" s="1"/>
  <c r="D36" i="13"/>
  <c r="E36" i="13" s="1"/>
  <c r="D23" i="14"/>
  <c r="D27" i="14"/>
  <c r="E27" i="14" s="1"/>
  <c r="D31" i="14"/>
  <c r="E31" i="14" s="1"/>
  <c r="D35" i="14"/>
  <c r="E35" i="14" s="1"/>
  <c r="C39" i="14"/>
  <c r="B44" i="15"/>
  <c r="C35" i="17"/>
  <c r="C20" i="17"/>
  <c r="C25" i="17" s="1"/>
  <c r="D29" i="12"/>
  <c r="E29" i="12" s="1"/>
  <c r="D33" i="12"/>
  <c r="E33" i="12" s="1"/>
  <c r="D37" i="12"/>
  <c r="E37" i="12" s="1"/>
  <c r="D27" i="13"/>
  <c r="E27" i="13" s="1"/>
  <c r="D31" i="13"/>
  <c r="E31" i="13" s="1"/>
  <c r="D35" i="13"/>
  <c r="E35" i="13" s="1"/>
  <c r="D26" i="14"/>
  <c r="E26" i="14" s="1"/>
  <c r="D34" i="14"/>
  <c r="E34" i="14" s="1"/>
  <c r="E5" i="15"/>
  <c r="D26" i="15"/>
  <c r="E26" i="15" s="1"/>
  <c r="D28" i="12"/>
  <c r="E28" i="12" s="1"/>
  <c r="D32" i="12"/>
  <c r="E32" i="12" s="1"/>
  <c r="D36" i="12"/>
  <c r="E36" i="12" s="1"/>
  <c r="D26" i="13"/>
  <c r="E26" i="13" s="1"/>
  <c r="D30" i="13"/>
  <c r="E30" i="13" s="1"/>
  <c r="D34" i="13"/>
  <c r="E34" i="13" s="1"/>
  <c r="D25" i="14"/>
  <c r="E25" i="14" s="1"/>
  <c r="D29" i="14"/>
  <c r="E29" i="14" s="1"/>
  <c r="D33" i="14"/>
  <c r="E33" i="14" s="1"/>
  <c r="D37" i="14"/>
  <c r="E37" i="14" s="1"/>
  <c r="B44" i="14"/>
  <c r="D39" i="17"/>
  <c r="E39" i="17" s="1"/>
  <c r="E5" i="16"/>
  <c r="D27" i="19"/>
  <c r="E27" i="19" s="1"/>
  <c r="D37" i="19"/>
  <c r="E37" i="19" s="1"/>
  <c r="D29" i="17"/>
  <c r="E29" i="17" s="1"/>
  <c r="D33" i="17"/>
  <c r="E33" i="17" s="1"/>
  <c r="C19" i="18"/>
  <c r="C39" i="18" s="1"/>
  <c r="B20" i="20"/>
  <c r="J3" i="20" s="1"/>
  <c r="F4" i="20"/>
  <c r="F7" i="20" s="1"/>
  <c r="D34" i="15"/>
  <c r="E34" i="15" s="1"/>
  <c r="D29" i="16"/>
  <c r="E29" i="16" s="1"/>
  <c r="D33" i="16"/>
  <c r="E33" i="16" s="1"/>
  <c r="D37" i="16"/>
  <c r="E37" i="16" s="1"/>
  <c r="D28" i="17"/>
  <c r="E28" i="17" s="1"/>
  <c r="D32" i="17"/>
  <c r="E32" i="17" s="1"/>
  <c r="D24" i="19"/>
  <c r="B46" i="19"/>
  <c r="D25" i="15"/>
  <c r="E25" i="15" s="1"/>
  <c r="D29" i="15"/>
  <c r="E29" i="15" s="1"/>
  <c r="D33" i="15"/>
  <c r="E33" i="15" s="1"/>
  <c r="D37" i="15"/>
  <c r="E37" i="15" s="1"/>
  <c r="D32" i="16"/>
  <c r="E32" i="16" s="1"/>
  <c r="D36" i="16"/>
  <c r="E36" i="16" s="1"/>
  <c r="D27" i="17"/>
  <c r="E27" i="17" s="1"/>
  <c r="D31" i="17"/>
  <c r="E31" i="17" s="1"/>
  <c r="D37" i="17"/>
  <c r="E37" i="17" s="1"/>
  <c r="C6" i="18"/>
  <c r="P9" i="20"/>
  <c r="P17" i="20"/>
  <c r="B22" i="20"/>
  <c r="L18" i="20" s="1"/>
  <c r="B24" i="20"/>
  <c r="N12" i="20" s="1"/>
  <c r="B26" i="20"/>
  <c r="P6" i="20" s="1"/>
  <c r="B28" i="20"/>
  <c r="R17" i="20" s="1"/>
  <c r="C20" i="19"/>
  <c r="C25" i="19" s="1"/>
  <c r="P8" i="20"/>
  <c r="P12" i="20"/>
  <c r="B21" i="20"/>
  <c r="K3" i="20" s="1"/>
  <c r="B30" i="20"/>
  <c r="T17" i="20" s="1"/>
  <c r="D24" i="18"/>
  <c r="D28" i="18"/>
  <c r="E28" i="18" s="1"/>
  <c r="O10" i="20"/>
  <c r="D32" i="18"/>
  <c r="E32" i="18" s="1"/>
  <c r="D36" i="18"/>
  <c r="E36" i="18" s="1"/>
  <c r="P7" i="20"/>
  <c r="D29" i="19"/>
  <c r="E29" i="19" s="1"/>
  <c r="P11" i="20"/>
  <c r="D33" i="19"/>
  <c r="E33" i="19" s="1"/>
  <c r="P15" i="20"/>
  <c r="B23" i="20"/>
  <c r="M18" i="20" s="1"/>
  <c r="B25" i="20"/>
  <c r="O11" i="20" s="1"/>
  <c r="B27" i="20"/>
  <c r="Q17" i="20" s="1"/>
  <c r="B29" i="20"/>
  <c r="S3" i="20" s="1"/>
  <c r="O9" i="20"/>
  <c r="O13" i="20"/>
  <c r="O17" i="20"/>
  <c r="P10" i="20"/>
  <c r="P14" i="20"/>
  <c r="P18" i="20"/>
  <c r="B31" i="20"/>
  <c r="U17" i="20" s="1"/>
  <c r="F8" i="20"/>
  <c r="C17" i="20"/>
  <c r="P4" i="20" l="1"/>
  <c r="D25" i="19"/>
  <c r="E25" i="19" s="1"/>
  <c r="O7" i="20"/>
  <c r="O16" i="20"/>
  <c r="M7" i="20"/>
  <c r="F9" i="20"/>
  <c r="N15" i="20"/>
  <c r="N7" i="20"/>
  <c r="L14" i="20"/>
  <c r="P16" i="20"/>
  <c r="N8" i="20"/>
  <c r="L11" i="20"/>
  <c r="K5" i="20"/>
  <c r="J10" i="20"/>
  <c r="S16" i="20"/>
  <c r="S8" i="20"/>
  <c r="K6" i="20"/>
  <c r="S17" i="20"/>
  <c r="S9" i="20"/>
  <c r="N3" i="20"/>
  <c r="E23" i="16"/>
  <c r="K15" i="20"/>
  <c r="J16" i="20"/>
  <c r="S10" i="20"/>
  <c r="S4" i="20"/>
  <c r="S19" i="20" s="1"/>
  <c r="D24" i="12"/>
  <c r="T15" i="20"/>
  <c r="U13" i="20"/>
  <c r="U5" i="20"/>
  <c r="R11" i="20"/>
  <c r="T12" i="20"/>
  <c r="R12" i="20"/>
  <c r="K10" i="20"/>
  <c r="D30" i="14"/>
  <c r="E30" i="14" s="1"/>
  <c r="J4" i="20"/>
  <c r="U15" i="20"/>
  <c r="R9" i="20"/>
  <c r="U16" i="20"/>
  <c r="R10" i="20"/>
  <c r="R4" i="20"/>
  <c r="T3" i="20"/>
  <c r="Q12" i="20"/>
  <c r="Q5" i="20"/>
  <c r="E22" i="7"/>
  <c r="D37" i="7"/>
  <c r="R3" i="20"/>
  <c r="Q14" i="20"/>
  <c r="D37" i="5"/>
  <c r="E22" i="5"/>
  <c r="E22" i="2"/>
  <c r="D37" i="2"/>
  <c r="D37" i="1"/>
  <c r="E22" i="1"/>
  <c r="O14" i="20"/>
  <c r="E24" i="18"/>
  <c r="O3" i="20"/>
  <c r="O12" i="20"/>
  <c r="N9" i="20"/>
  <c r="M15" i="20"/>
  <c r="C41" i="19"/>
  <c r="N6" i="20"/>
  <c r="M12" i="20"/>
  <c r="L13" i="20"/>
  <c r="B32" i="20"/>
  <c r="M17" i="20"/>
  <c r="M6" i="20"/>
  <c r="L7" i="20"/>
  <c r="N18" i="20"/>
  <c r="V18" i="20" s="1"/>
  <c r="D50" i="20" s="1"/>
  <c r="E50" i="20" s="1"/>
  <c r="F50" i="20" s="1"/>
  <c r="K16" i="20"/>
  <c r="K8" i="20"/>
  <c r="J13" i="20"/>
  <c r="J5" i="20"/>
  <c r="S11" i="20"/>
  <c r="L6" i="20"/>
  <c r="K13" i="20"/>
  <c r="K14" i="20"/>
  <c r="E23" i="14"/>
  <c r="J11" i="20"/>
  <c r="K11" i="20"/>
  <c r="J12" i="20"/>
  <c r="T11" i="20"/>
  <c r="S6" i="20"/>
  <c r="U14" i="20"/>
  <c r="U6" i="20"/>
  <c r="K4" i="20"/>
  <c r="K19" i="20" s="1"/>
  <c r="D24" i="14"/>
  <c r="E24" i="14" s="1"/>
  <c r="T13" i="20"/>
  <c r="U11" i="20"/>
  <c r="R5" i="20"/>
  <c r="T14" i="20"/>
  <c r="U12" i="20"/>
  <c r="R6" i="20"/>
  <c r="U4" i="20"/>
  <c r="Q11" i="20"/>
  <c r="D37" i="10"/>
  <c r="E22" i="10"/>
  <c r="T4" i="20"/>
  <c r="D37" i="6"/>
  <c r="E22" i="6"/>
  <c r="Q10" i="20"/>
  <c r="E22" i="4"/>
  <c r="D37" i="4"/>
  <c r="O5" i="20"/>
  <c r="N17" i="20"/>
  <c r="O15" i="20"/>
  <c r="P13" i="20"/>
  <c r="O8" i="20"/>
  <c r="N16" i="20"/>
  <c r="L16" i="20"/>
  <c r="P3" i="20"/>
  <c r="P19" i="20" s="1"/>
  <c r="L9" i="20"/>
  <c r="N11" i="20"/>
  <c r="M13" i="20"/>
  <c r="P5" i="20"/>
  <c r="C15" i="16"/>
  <c r="C34" i="16" s="1"/>
  <c r="C9" i="16"/>
  <c r="C28" i="16" s="1"/>
  <c r="C11" i="16"/>
  <c r="C30" i="16" s="1"/>
  <c r="C9" i="15"/>
  <c r="C13" i="15"/>
  <c r="C32" i="15" s="1"/>
  <c r="K9" i="20"/>
  <c r="J14" i="20"/>
  <c r="J6" i="20"/>
  <c r="S12" i="20"/>
  <c r="N4" i="20"/>
  <c r="D25" i="17"/>
  <c r="E25" i="17" s="1"/>
  <c r="C5" i="16"/>
  <c r="L3" i="20"/>
  <c r="V3" i="20" s="1"/>
  <c r="S13" i="20"/>
  <c r="E24" i="17"/>
  <c r="K7" i="20"/>
  <c r="J8" i="20"/>
  <c r="T7" i="20"/>
  <c r="U9" i="20"/>
  <c r="R15" i="20"/>
  <c r="R7" i="20"/>
  <c r="T16" i="20"/>
  <c r="T8" i="20"/>
  <c r="R16" i="20"/>
  <c r="R8" i="20"/>
  <c r="D39" i="13"/>
  <c r="E23" i="13"/>
  <c r="T9" i="20"/>
  <c r="U7" i="20"/>
  <c r="C11" i="15"/>
  <c r="C30" i="15" s="1"/>
  <c r="T10" i="20"/>
  <c r="U8" i="20"/>
  <c r="E22" i="11"/>
  <c r="D37" i="11"/>
  <c r="E22" i="9"/>
  <c r="D37" i="9"/>
  <c r="Q16" i="20"/>
  <c r="Q8" i="20"/>
  <c r="Q13" i="20"/>
  <c r="D37" i="8"/>
  <c r="E22" i="8"/>
  <c r="U3" i="20"/>
  <c r="Q6" i="20"/>
  <c r="D37" i="3"/>
  <c r="E22" i="3"/>
  <c r="Q4" i="20"/>
  <c r="C27" i="18"/>
  <c r="C20" i="18"/>
  <c r="C25" i="18" s="1"/>
  <c r="N13" i="20"/>
  <c r="N5" i="20"/>
  <c r="M11" i="20"/>
  <c r="D41" i="19"/>
  <c r="E24" i="19"/>
  <c r="N10" i="20"/>
  <c r="M16" i="20"/>
  <c r="L17" i="20"/>
  <c r="L5" i="20"/>
  <c r="O18" i="20"/>
  <c r="D39" i="18"/>
  <c r="E39" i="18" s="1"/>
  <c r="M9" i="20"/>
  <c r="L15" i="20"/>
  <c r="K12" i="20"/>
  <c r="J17" i="20"/>
  <c r="J9" i="20"/>
  <c r="S15" i="20"/>
  <c r="S7" i="20"/>
  <c r="K17" i="20"/>
  <c r="N14" i="20"/>
  <c r="D35" i="17"/>
  <c r="E35" i="17" s="1"/>
  <c r="J15" i="20"/>
  <c r="V15" i="20" s="1"/>
  <c r="D47" i="20" s="1"/>
  <c r="E47" i="20" s="1"/>
  <c r="F47" i="20" s="1"/>
  <c r="J7" i="20"/>
  <c r="C41" i="17"/>
  <c r="M3" i="20"/>
  <c r="S14" i="20"/>
  <c r="S5" i="20"/>
  <c r="U10" i="20"/>
  <c r="T5" i="20"/>
  <c r="R13" i="20"/>
  <c r="T6" i="20"/>
  <c r="R14" i="20"/>
  <c r="Q15" i="20"/>
  <c r="Q7" i="20"/>
  <c r="Q9" i="20"/>
  <c r="Q3" i="20"/>
  <c r="Q19" i="20" s="1"/>
  <c r="D35" i="20" l="1"/>
  <c r="V17" i="20"/>
  <c r="D49" i="20" s="1"/>
  <c r="E49" i="20" s="1"/>
  <c r="F49" i="20" s="1"/>
  <c r="E41" i="19"/>
  <c r="U19" i="20"/>
  <c r="C19" i="16"/>
  <c r="C24" i="16" s="1"/>
  <c r="C25" i="16"/>
  <c r="C28" i="15"/>
  <c r="C19" i="15"/>
  <c r="C24" i="15" s="1"/>
  <c r="M14" i="20"/>
  <c r="D34" i="16"/>
  <c r="E34" i="16" s="1"/>
  <c r="E37" i="6"/>
  <c r="F22" i="6"/>
  <c r="E37" i="10"/>
  <c r="F22" i="10"/>
  <c r="V11" i="20"/>
  <c r="D43" i="20" s="1"/>
  <c r="E43" i="20" s="1"/>
  <c r="F43" i="20" s="1"/>
  <c r="E37" i="7"/>
  <c r="F22" i="7" s="1"/>
  <c r="V16" i="20"/>
  <c r="D48" i="20" s="1"/>
  <c r="E48" i="20" s="1"/>
  <c r="F48" i="20" s="1"/>
  <c r="N19" i="20"/>
  <c r="E37" i="3"/>
  <c r="F22" i="3" s="1"/>
  <c r="E37" i="8"/>
  <c r="F22" i="8" s="1"/>
  <c r="E39" i="13"/>
  <c r="F23" i="13" s="1"/>
  <c r="D41" i="17"/>
  <c r="V14" i="20"/>
  <c r="D46" i="20" s="1"/>
  <c r="E46" i="20" s="1"/>
  <c r="F46" i="20" s="1"/>
  <c r="E39" i="14"/>
  <c r="F23" i="14"/>
  <c r="E24" i="12"/>
  <c r="D39" i="12"/>
  <c r="O4" i="20"/>
  <c r="D25" i="18"/>
  <c r="C41" i="18"/>
  <c r="L10" i="20"/>
  <c r="V10" i="20" s="1"/>
  <c r="D42" i="20" s="1"/>
  <c r="E42" i="20" s="1"/>
  <c r="F42" i="20" s="1"/>
  <c r="D30" i="15"/>
  <c r="E30" i="15" s="1"/>
  <c r="E41" i="17"/>
  <c r="F24" i="17" s="1"/>
  <c r="M10" i="20"/>
  <c r="D30" i="16"/>
  <c r="E30" i="16" s="1"/>
  <c r="E37" i="4"/>
  <c r="F22" i="4" s="1"/>
  <c r="F24" i="14"/>
  <c r="D39" i="14"/>
  <c r="E37" i="2"/>
  <c r="F22" i="2"/>
  <c r="R19" i="20"/>
  <c r="T19" i="20"/>
  <c r="F35" i="17"/>
  <c r="V7" i="20"/>
  <c r="D39" i="20" s="1"/>
  <c r="E39" i="20" s="1"/>
  <c r="F39" i="20" s="1"/>
  <c r="V9" i="20"/>
  <c r="D41" i="20" s="1"/>
  <c r="E41" i="20" s="1"/>
  <c r="F41" i="20" s="1"/>
  <c r="O6" i="20"/>
  <c r="V6" i="20" s="1"/>
  <c r="D38" i="20" s="1"/>
  <c r="E38" i="20" s="1"/>
  <c r="F38" i="20" s="1"/>
  <c r="D27" i="18"/>
  <c r="E27" i="18" s="1"/>
  <c r="E37" i="9"/>
  <c r="F22" i="9"/>
  <c r="E37" i="11"/>
  <c r="F22" i="11" s="1"/>
  <c r="L12" i="20"/>
  <c r="V12" i="20" s="1"/>
  <c r="D44" i="20" s="1"/>
  <c r="E44" i="20" s="1"/>
  <c r="F44" i="20" s="1"/>
  <c r="D32" i="15"/>
  <c r="E32" i="15" s="1"/>
  <c r="M8" i="20"/>
  <c r="D28" i="16"/>
  <c r="E28" i="16" s="1"/>
  <c r="V13" i="20"/>
  <c r="D45" i="20" s="1"/>
  <c r="E45" i="20" s="1"/>
  <c r="F45" i="20" s="1"/>
  <c r="O19" i="20"/>
  <c r="E37" i="1"/>
  <c r="F22" i="1"/>
  <c r="E37" i="5"/>
  <c r="F22" i="5"/>
  <c r="F30" i="14"/>
  <c r="F25" i="19"/>
  <c r="J19" i="20"/>
  <c r="J22" i="4" l="1"/>
  <c r="I22" i="4"/>
  <c r="G22" i="4"/>
  <c r="G22" i="8"/>
  <c r="J22" i="8"/>
  <c r="I22" i="8"/>
  <c r="J22" i="7"/>
  <c r="I22" i="7"/>
  <c r="G22" i="7"/>
  <c r="G22" i="3"/>
  <c r="J22" i="3"/>
  <c r="I22" i="3"/>
  <c r="J22" i="11"/>
  <c r="I22" i="11"/>
  <c r="G22" i="11"/>
  <c r="J24" i="17"/>
  <c r="I24" i="17"/>
  <c r="G24" i="17"/>
  <c r="J23" i="13"/>
  <c r="I23" i="13"/>
  <c r="G23" i="13"/>
  <c r="J22" i="9"/>
  <c r="I22" i="9"/>
  <c r="G22" i="9"/>
  <c r="F33" i="6"/>
  <c r="F29" i="6"/>
  <c r="F34" i="6"/>
  <c r="F25" i="6"/>
  <c r="F30" i="6"/>
  <c r="F26" i="6"/>
  <c r="F31" i="6"/>
  <c r="F32" i="6"/>
  <c r="F35" i="6"/>
  <c r="F24" i="6"/>
  <c r="F23" i="6"/>
  <c r="F27" i="6"/>
  <c r="F28" i="6"/>
  <c r="L8" i="20"/>
  <c r="V8" i="20" s="1"/>
  <c r="D40" i="20" s="1"/>
  <c r="E40" i="20" s="1"/>
  <c r="F40" i="20" s="1"/>
  <c r="D28" i="15"/>
  <c r="E28" i="15" s="1"/>
  <c r="F34" i="9"/>
  <c r="F28" i="9"/>
  <c r="F29" i="9"/>
  <c r="F33" i="9"/>
  <c r="F31" i="9"/>
  <c r="F32" i="9"/>
  <c r="F24" i="9"/>
  <c r="F23" i="9"/>
  <c r="F37" i="9" s="1"/>
  <c r="F35" i="9"/>
  <c r="F27" i="9"/>
  <c r="F25" i="9"/>
  <c r="F26" i="9"/>
  <c r="F30" i="9"/>
  <c r="J22" i="2"/>
  <c r="I22" i="2"/>
  <c r="G22" i="2"/>
  <c r="J23" i="14"/>
  <c r="I23" i="14"/>
  <c r="G23" i="14"/>
  <c r="F25" i="17"/>
  <c r="F41" i="17" s="1"/>
  <c r="F37" i="13"/>
  <c r="F25" i="13"/>
  <c r="F33" i="13"/>
  <c r="F29" i="13"/>
  <c r="F32" i="13"/>
  <c r="F30" i="13"/>
  <c r="F31" i="13"/>
  <c r="F34" i="13"/>
  <c r="F35" i="13"/>
  <c r="F26" i="13"/>
  <c r="F27" i="13"/>
  <c r="F36" i="13"/>
  <c r="F24" i="13"/>
  <c r="F28" i="13"/>
  <c r="F27" i="3"/>
  <c r="F25" i="3"/>
  <c r="F32" i="3"/>
  <c r="F35" i="3"/>
  <c r="F28" i="3"/>
  <c r="F31" i="3"/>
  <c r="F33" i="3"/>
  <c r="F34" i="3"/>
  <c r="F23" i="3"/>
  <c r="F37" i="3" s="1"/>
  <c r="F24" i="3"/>
  <c r="F29" i="3"/>
  <c r="F30" i="3"/>
  <c r="F26" i="3"/>
  <c r="G22" i="10"/>
  <c r="J22" i="10"/>
  <c r="I22" i="10"/>
  <c r="F35" i="19"/>
  <c r="F30" i="19"/>
  <c r="F38" i="19"/>
  <c r="F39" i="19"/>
  <c r="F28" i="19"/>
  <c r="F34" i="19"/>
  <c r="F26" i="19"/>
  <c r="F31" i="19"/>
  <c r="F32" i="19"/>
  <c r="F36" i="19"/>
  <c r="F33" i="19"/>
  <c r="F37" i="19"/>
  <c r="F29" i="19"/>
  <c r="F27" i="19"/>
  <c r="G22" i="5"/>
  <c r="J22" i="5"/>
  <c r="I22" i="5"/>
  <c r="F33" i="5"/>
  <c r="F26" i="5"/>
  <c r="F24" i="5"/>
  <c r="F31" i="5"/>
  <c r="F25" i="5"/>
  <c r="F29" i="5"/>
  <c r="F32" i="5"/>
  <c r="F27" i="5"/>
  <c r="F28" i="5"/>
  <c r="F34" i="5"/>
  <c r="F30" i="5"/>
  <c r="F35" i="5"/>
  <c r="F23" i="5"/>
  <c r="J25" i="19"/>
  <c r="I25" i="19"/>
  <c r="G25" i="19"/>
  <c r="G22" i="1"/>
  <c r="J22" i="1"/>
  <c r="I22" i="1"/>
  <c r="G24" i="14"/>
  <c r="J24" i="14"/>
  <c r="I24" i="14"/>
  <c r="J30" i="14"/>
  <c r="I30" i="14"/>
  <c r="G30" i="14"/>
  <c r="F25" i="1"/>
  <c r="F30" i="1"/>
  <c r="F33" i="1"/>
  <c r="F26" i="1"/>
  <c r="F34" i="1"/>
  <c r="F29" i="1"/>
  <c r="F31" i="1"/>
  <c r="F28" i="1"/>
  <c r="F35" i="1"/>
  <c r="F32" i="1"/>
  <c r="F24" i="1"/>
  <c r="F23" i="1"/>
  <c r="F27" i="1"/>
  <c r="F28" i="2"/>
  <c r="F29" i="2"/>
  <c r="F23" i="2"/>
  <c r="F37" i="2" s="1"/>
  <c r="F24" i="2"/>
  <c r="F31" i="2"/>
  <c r="F32" i="2"/>
  <c r="F30" i="2"/>
  <c r="F27" i="2"/>
  <c r="F35" i="2"/>
  <c r="F33" i="2"/>
  <c r="F34" i="2"/>
  <c r="F25" i="2"/>
  <c r="F26" i="2"/>
  <c r="E39" i="12"/>
  <c r="F36" i="14"/>
  <c r="F28" i="14"/>
  <c r="F32" i="14"/>
  <c r="F29" i="14"/>
  <c r="F26" i="14"/>
  <c r="F34" i="14"/>
  <c r="F31" i="14"/>
  <c r="F35" i="14"/>
  <c r="F33" i="14"/>
  <c r="F27" i="14"/>
  <c r="F37" i="14"/>
  <c r="F25" i="14"/>
  <c r="F26" i="10"/>
  <c r="F25" i="10"/>
  <c r="F31" i="10"/>
  <c r="F27" i="10"/>
  <c r="F33" i="10"/>
  <c r="F34" i="10"/>
  <c r="F30" i="10"/>
  <c r="F29" i="10"/>
  <c r="F35" i="10"/>
  <c r="F23" i="10"/>
  <c r="F28" i="10"/>
  <c r="F32" i="10"/>
  <c r="F24" i="10"/>
  <c r="M5" i="20"/>
  <c r="V5" i="20" s="1"/>
  <c r="D37" i="20" s="1"/>
  <c r="E37" i="20" s="1"/>
  <c r="F37" i="20" s="1"/>
  <c r="D25" i="16"/>
  <c r="E25" i="16" s="1"/>
  <c r="F24" i="19"/>
  <c r="E35" i="20"/>
  <c r="F30" i="11"/>
  <c r="F28" i="11"/>
  <c r="F23" i="11"/>
  <c r="F29" i="11"/>
  <c r="F35" i="11"/>
  <c r="F33" i="11"/>
  <c r="F26" i="11"/>
  <c r="F32" i="11"/>
  <c r="F31" i="11"/>
  <c r="F27" i="11"/>
  <c r="F25" i="11"/>
  <c r="F34" i="11"/>
  <c r="F24" i="11"/>
  <c r="I35" i="17"/>
  <c r="G35" i="17"/>
  <c r="J35" i="17"/>
  <c r="F28" i="4"/>
  <c r="F34" i="4"/>
  <c r="F24" i="4"/>
  <c r="F35" i="4"/>
  <c r="F33" i="4"/>
  <c r="F23" i="4"/>
  <c r="F29" i="4"/>
  <c r="F26" i="4"/>
  <c r="F32" i="4"/>
  <c r="F27" i="4"/>
  <c r="F25" i="4"/>
  <c r="F31" i="4"/>
  <c r="F30" i="4"/>
  <c r="F38" i="17"/>
  <c r="F26" i="17"/>
  <c r="F36" i="17"/>
  <c r="F30" i="17"/>
  <c r="F34" i="17"/>
  <c r="F31" i="17"/>
  <c r="F28" i="17"/>
  <c r="F33" i="17"/>
  <c r="F27" i="17"/>
  <c r="F32" i="17"/>
  <c r="F39" i="17"/>
  <c r="F37" i="17"/>
  <c r="F29" i="17"/>
  <c r="E25" i="18"/>
  <c r="D41" i="18"/>
  <c r="F30" i="8"/>
  <c r="F31" i="8"/>
  <c r="F23" i="8"/>
  <c r="F33" i="8"/>
  <c r="F34" i="8"/>
  <c r="F25" i="8"/>
  <c r="F26" i="8"/>
  <c r="F24" i="8"/>
  <c r="F32" i="8"/>
  <c r="F29" i="8"/>
  <c r="F27" i="8"/>
  <c r="F28" i="8"/>
  <c r="F35" i="8"/>
  <c r="F27" i="7"/>
  <c r="F32" i="7"/>
  <c r="F28" i="7"/>
  <c r="F35" i="7"/>
  <c r="F31" i="7"/>
  <c r="F24" i="7"/>
  <c r="F34" i="7"/>
  <c r="F29" i="7"/>
  <c r="F26" i="7"/>
  <c r="F23" i="7"/>
  <c r="F30" i="7"/>
  <c r="F33" i="7"/>
  <c r="F25" i="7"/>
  <c r="G22" i="6"/>
  <c r="J22" i="6"/>
  <c r="F37" i="6"/>
  <c r="I22" i="6"/>
  <c r="L4" i="20"/>
  <c r="D24" i="15"/>
  <c r="C39" i="15"/>
  <c r="M4" i="20"/>
  <c r="M19" i="20" s="1"/>
  <c r="D24" i="16"/>
  <c r="C39" i="16"/>
  <c r="E24" i="16" l="1"/>
  <c r="D39" i="16"/>
  <c r="G24" i="7"/>
  <c r="J24" i="7"/>
  <c r="I24" i="7"/>
  <c r="G26" i="8"/>
  <c r="J26" i="8"/>
  <c r="I26" i="8"/>
  <c r="I23" i="8"/>
  <c r="G23" i="8"/>
  <c r="J23" i="8"/>
  <c r="J32" i="17"/>
  <c r="I32" i="17"/>
  <c r="G32" i="17"/>
  <c r="I31" i="17"/>
  <c r="G31" i="17"/>
  <c r="J31" i="17"/>
  <c r="G26" i="17"/>
  <c r="J26" i="17"/>
  <c r="I26" i="17"/>
  <c r="I25" i="4"/>
  <c r="G25" i="4"/>
  <c r="J25" i="4"/>
  <c r="I29" i="4"/>
  <c r="G29" i="4"/>
  <c r="J29" i="4"/>
  <c r="G24" i="4"/>
  <c r="J24" i="4"/>
  <c r="I24" i="4"/>
  <c r="I25" i="11"/>
  <c r="G25" i="11"/>
  <c r="J25" i="11"/>
  <c r="J26" i="11"/>
  <c r="I26" i="11"/>
  <c r="G26" i="11"/>
  <c r="J23" i="11"/>
  <c r="I23" i="11"/>
  <c r="G23" i="11"/>
  <c r="F35" i="20"/>
  <c r="I23" i="10"/>
  <c r="G23" i="10"/>
  <c r="J23" i="10"/>
  <c r="G34" i="10"/>
  <c r="J34" i="10"/>
  <c r="I34" i="10"/>
  <c r="J25" i="10"/>
  <c r="I25" i="10"/>
  <c r="G25" i="10"/>
  <c r="J27" i="14"/>
  <c r="I27" i="14"/>
  <c r="G27" i="14"/>
  <c r="J34" i="14"/>
  <c r="I34" i="14"/>
  <c r="G34" i="14"/>
  <c r="G28" i="14"/>
  <c r="J28" i="14"/>
  <c r="I28" i="14"/>
  <c r="J26" i="2"/>
  <c r="I26" i="2"/>
  <c r="G26" i="2"/>
  <c r="J35" i="2"/>
  <c r="I35" i="2"/>
  <c r="G35" i="2"/>
  <c r="J31" i="2"/>
  <c r="I31" i="2"/>
  <c r="G31" i="2"/>
  <c r="G28" i="2"/>
  <c r="J28" i="2"/>
  <c r="I28" i="2"/>
  <c r="J24" i="1"/>
  <c r="I24" i="1"/>
  <c r="G24" i="1"/>
  <c r="I31" i="1"/>
  <c r="G31" i="1"/>
  <c r="J31" i="1"/>
  <c r="J33" i="1"/>
  <c r="I33" i="1"/>
  <c r="G33" i="1"/>
  <c r="J34" i="5"/>
  <c r="I34" i="5"/>
  <c r="G34" i="5"/>
  <c r="I29" i="5"/>
  <c r="G29" i="5"/>
  <c r="J29" i="5"/>
  <c r="G26" i="5"/>
  <c r="J26" i="5"/>
  <c r="I26" i="5"/>
  <c r="J37" i="19"/>
  <c r="I37" i="19"/>
  <c r="G37" i="19"/>
  <c r="G31" i="19"/>
  <c r="J31" i="19"/>
  <c r="I31" i="19"/>
  <c r="G39" i="19"/>
  <c r="J39" i="19"/>
  <c r="I39" i="19"/>
  <c r="J29" i="3"/>
  <c r="I29" i="3"/>
  <c r="G29" i="3"/>
  <c r="J33" i="3"/>
  <c r="I33" i="3"/>
  <c r="G33" i="3"/>
  <c r="J32" i="3"/>
  <c r="I32" i="3"/>
  <c r="G32" i="3"/>
  <c r="J24" i="13"/>
  <c r="I24" i="13"/>
  <c r="G24" i="13"/>
  <c r="J35" i="13"/>
  <c r="I35" i="13"/>
  <c r="G35" i="13"/>
  <c r="J32" i="13"/>
  <c r="I32" i="13"/>
  <c r="G32" i="13"/>
  <c r="G37" i="13"/>
  <c r="J37" i="13"/>
  <c r="I37" i="13"/>
  <c r="I25" i="9"/>
  <c r="G25" i="9"/>
  <c r="J25" i="9"/>
  <c r="G24" i="9"/>
  <c r="J24" i="9"/>
  <c r="I24" i="9"/>
  <c r="I29" i="9"/>
  <c r="G29" i="9"/>
  <c r="J29" i="9"/>
  <c r="I23" i="6"/>
  <c r="G23" i="6"/>
  <c r="J23" i="6"/>
  <c r="I31" i="6"/>
  <c r="G31" i="6"/>
  <c r="J31" i="6"/>
  <c r="G34" i="6"/>
  <c r="J34" i="6"/>
  <c r="I34" i="6"/>
  <c r="J23" i="7"/>
  <c r="I23" i="7"/>
  <c r="G23" i="7"/>
  <c r="A39" i="7" s="1"/>
  <c r="I27" i="8"/>
  <c r="G27" i="8"/>
  <c r="J27" i="8"/>
  <c r="E41" i="18"/>
  <c r="I25" i="7"/>
  <c r="G25" i="7"/>
  <c r="G37" i="7" s="1"/>
  <c r="J25" i="7"/>
  <c r="J26" i="7"/>
  <c r="I26" i="7"/>
  <c r="G26" i="7"/>
  <c r="J31" i="7"/>
  <c r="I31" i="7"/>
  <c r="G31" i="7"/>
  <c r="J27" i="7"/>
  <c r="I27" i="7"/>
  <c r="G27" i="7"/>
  <c r="J29" i="8"/>
  <c r="I29" i="8"/>
  <c r="G29" i="8"/>
  <c r="J25" i="8"/>
  <c r="I25" i="8"/>
  <c r="G25" i="8"/>
  <c r="I31" i="8"/>
  <c r="G31" i="8"/>
  <c r="J31" i="8"/>
  <c r="J29" i="17"/>
  <c r="I29" i="17"/>
  <c r="G29" i="17"/>
  <c r="I27" i="17"/>
  <c r="G27" i="17"/>
  <c r="J27" i="17"/>
  <c r="G34" i="17"/>
  <c r="J34" i="17"/>
  <c r="I34" i="17"/>
  <c r="I38" i="17"/>
  <c r="G38" i="17"/>
  <c r="J38" i="17"/>
  <c r="J27" i="4"/>
  <c r="I27" i="4"/>
  <c r="G27" i="4"/>
  <c r="J23" i="4"/>
  <c r="I23" i="4"/>
  <c r="G23" i="4"/>
  <c r="G37" i="4" s="1"/>
  <c r="J34" i="4"/>
  <c r="I34" i="4"/>
  <c r="G34" i="4"/>
  <c r="J27" i="11"/>
  <c r="I27" i="11"/>
  <c r="G27" i="11"/>
  <c r="I33" i="11"/>
  <c r="G33" i="11"/>
  <c r="J33" i="11"/>
  <c r="G28" i="11"/>
  <c r="J28" i="11"/>
  <c r="I28" i="11"/>
  <c r="J24" i="10"/>
  <c r="I24" i="10"/>
  <c r="G24" i="10"/>
  <c r="A39" i="10" s="1"/>
  <c r="I35" i="10"/>
  <c r="G35" i="10"/>
  <c r="J35" i="10"/>
  <c r="J33" i="10"/>
  <c r="I33" i="10"/>
  <c r="G33" i="10"/>
  <c r="G26" i="10"/>
  <c r="J26" i="10"/>
  <c r="I26" i="10"/>
  <c r="I33" i="14"/>
  <c r="G33" i="14"/>
  <c r="J33" i="14"/>
  <c r="J26" i="14"/>
  <c r="I26" i="14"/>
  <c r="G26" i="14"/>
  <c r="G36" i="14"/>
  <c r="J36" i="14"/>
  <c r="I36" i="14"/>
  <c r="I25" i="2"/>
  <c r="G25" i="2"/>
  <c r="J25" i="2"/>
  <c r="J27" i="2"/>
  <c r="I27" i="2"/>
  <c r="G27" i="2"/>
  <c r="G24" i="2"/>
  <c r="J24" i="2"/>
  <c r="I24" i="2"/>
  <c r="J32" i="1"/>
  <c r="I32" i="1"/>
  <c r="G32" i="1"/>
  <c r="J29" i="1"/>
  <c r="I29" i="1"/>
  <c r="G29" i="1"/>
  <c r="G30" i="1"/>
  <c r="J30" i="1"/>
  <c r="I30" i="1"/>
  <c r="I23" i="5"/>
  <c r="G23" i="5"/>
  <c r="G37" i="5" s="1"/>
  <c r="J23" i="5"/>
  <c r="G28" i="5"/>
  <c r="J28" i="5"/>
  <c r="I28" i="5"/>
  <c r="J25" i="5"/>
  <c r="I25" i="5"/>
  <c r="G25" i="5"/>
  <c r="I33" i="5"/>
  <c r="G33" i="5"/>
  <c r="J33" i="5"/>
  <c r="F37" i="5"/>
  <c r="J33" i="19"/>
  <c r="I33" i="19"/>
  <c r="G33" i="19"/>
  <c r="J26" i="19"/>
  <c r="I26" i="19"/>
  <c r="G26" i="19"/>
  <c r="J38" i="19"/>
  <c r="I38" i="19"/>
  <c r="G38" i="19"/>
  <c r="J24" i="3"/>
  <c r="I24" i="3"/>
  <c r="G24" i="3"/>
  <c r="I31" i="3"/>
  <c r="G31" i="3"/>
  <c r="J31" i="3"/>
  <c r="J25" i="3"/>
  <c r="I25" i="3"/>
  <c r="G25" i="3"/>
  <c r="J36" i="13"/>
  <c r="I36" i="13"/>
  <c r="G36" i="13"/>
  <c r="I34" i="13"/>
  <c r="G34" i="13"/>
  <c r="J34" i="13"/>
  <c r="G29" i="13"/>
  <c r="J29" i="13"/>
  <c r="I29" i="13"/>
  <c r="J25" i="17"/>
  <c r="I25" i="17"/>
  <c r="G25" i="17"/>
  <c r="J27" i="9"/>
  <c r="I27" i="9"/>
  <c r="G27" i="9"/>
  <c r="G32" i="9"/>
  <c r="J32" i="9"/>
  <c r="I32" i="9"/>
  <c r="G28" i="9"/>
  <c r="J28" i="9"/>
  <c r="I28" i="9"/>
  <c r="J24" i="6"/>
  <c r="I24" i="6"/>
  <c r="B43" i="6" s="1"/>
  <c r="B44" i="6" s="1"/>
  <c r="G24" i="6"/>
  <c r="G26" i="6"/>
  <c r="J26" i="6"/>
  <c r="I26" i="6"/>
  <c r="J29" i="6"/>
  <c r="I29" i="6"/>
  <c r="G29" i="6"/>
  <c r="A41" i="13"/>
  <c r="F37" i="11"/>
  <c r="F37" i="8"/>
  <c r="J35" i="7"/>
  <c r="I35" i="7"/>
  <c r="G35" i="7"/>
  <c r="J32" i="8"/>
  <c r="I32" i="8"/>
  <c r="G32" i="8"/>
  <c r="G30" i="8"/>
  <c r="J30" i="8"/>
  <c r="I30" i="8"/>
  <c r="J33" i="17"/>
  <c r="I33" i="17"/>
  <c r="G33" i="17"/>
  <c r="G30" i="17"/>
  <c r="J30" i="17"/>
  <c r="I30" i="17"/>
  <c r="J30" i="4"/>
  <c r="I30" i="4"/>
  <c r="G30" i="4"/>
  <c r="G32" i="4"/>
  <c r="J32" i="4"/>
  <c r="I32" i="4"/>
  <c r="I33" i="4"/>
  <c r="G33" i="4"/>
  <c r="J33" i="4"/>
  <c r="G28" i="4"/>
  <c r="J28" i="4"/>
  <c r="I28" i="4"/>
  <c r="G24" i="11"/>
  <c r="J24" i="11"/>
  <c r="I24" i="11"/>
  <c r="B43" i="11" s="1"/>
  <c r="B44" i="11" s="1"/>
  <c r="J31" i="11"/>
  <c r="I31" i="11"/>
  <c r="G31" i="11"/>
  <c r="J35" i="11"/>
  <c r="I35" i="11"/>
  <c r="G35" i="11"/>
  <c r="J30" i="11"/>
  <c r="I30" i="11"/>
  <c r="G30" i="11"/>
  <c r="I24" i="19"/>
  <c r="G24" i="19"/>
  <c r="F41" i="19"/>
  <c r="J24" i="19"/>
  <c r="J32" i="10"/>
  <c r="I32" i="10"/>
  <c r="G32" i="10"/>
  <c r="J29" i="10"/>
  <c r="I29" i="10"/>
  <c r="G29" i="10"/>
  <c r="I27" i="10"/>
  <c r="B43" i="10" s="1"/>
  <c r="B44" i="10" s="1"/>
  <c r="G27" i="10"/>
  <c r="J27" i="10"/>
  <c r="I25" i="14"/>
  <c r="B45" i="14" s="1"/>
  <c r="B46" i="14" s="1"/>
  <c r="G25" i="14"/>
  <c r="J25" i="14"/>
  <c r="J35" i="14"/>
  <c r="I35" i="14"/>
  <c r="G35" i="14"/>
  <c r="I29" i="14"/>
  <c r="G29" i="14"/>
  <c r="A41" i="14" s="1"/>
  <c r="J29" i="14"/>
  <c r="F27" i="12"/>
  <c r="F26" i="12"/>
  <c r="F31" i="12"/>
  <c r="F35" i="12"/>
  <c r="F34" i="12"/>
  <c r="F36" i="12"/>
  <c r="F30" i="12"/>
  <c r="F23" i="12"/>
  <c r="F28" i="12"/>
  <c r="F37" i="12"/>
  <c r="F32" i="12"/>
  <c r="F33" i="12"/>
  <c r="F25" i="12"/>
  <c r="F29" i="12"/>
  <c r="J34" i="2"/>
  <c r="I34" i="2"/>
  <c r="G34" i="2"/>
  <c r="J30" i="2"/>
  <c r="I30" i="2"/>
  <c r="G30" i="2"/>
  <c r="J23" i="2"/>
  <c r="I23" i="2"/>
  <c r="G23" i="2"/>
  <c r="G37" i="2" s="1"/>
  <c r="I27" i="1"/>
  <c r="G27" i="1"/>
  <c r="J27" i="1"/>
  <c r="I35" i="1"/>
  <c r="G35" i="1"/>
  <c r="J35" i="1"/>
  <c r="G34" i="1"/>
  <c r="J34" i="1"/>
  <c r="I34" i="1"/>
  <c r="J25" i="1"/>
  <c r="I25" i="1"/>
  <c r="G25" i="1"/>
  <c r="J35" i="5"/>
  <c r="G35" i="5"/>
  <c r="I35" i="5"/>
  <c r="I27" i="5"/>
  <c r="G27" i="5"/>
  <c r="J27" i="5"/>
  <c r="J31" i="5"/>
  <c r="G31" i="5"/>
  <c r="I31" i="5"/>
  <c r="G27" i="19"/>
  <c r="J27" i="19"/>
  <c r="I27" i="19"/>
  <c r="I36" i="19"/>
  <c r="G36" i="19"/>
  <c r="J36" i="19"/>
  <c r="J34" i="19"/>
  <c r="I34" i="19"/>
  <c r="G34" i="19"/>
  <c r="J30" i="19"/>
  <c r="I30" i="19"/>
  <c r="G30" i="19"/>
  <c r="F37" i="10"/>
  <c r="G26" i="3"/>
  <c r="J26" i="3"/>
  <c r="I26" i="3"/>
  <c r="I23" i="3"/>
  <c r="G23" i="3"/>
  <c r="A39" i="3" s="1"/>
  <c r="J23" i="3"/>
  <c r="J28" i="3"/>
  <c r="I28" i="3"/>
  <c r="G28" i="3"/>
  <c r="I27" i="3"/>
  <c r="G27" i="3"/>
  <c r="G37" i="3" s="1"/>
  <c r="J27" i="3"/>
  <c r="J27" i="13"/>
  <c r="I27" i="13"/>
  <c r="G27" i="13"/>
  <c r="J31" i="13"/>
  <c r="I31" i="13"/>
  <c r="G31" i="13"/>
  <c r="G33" i="13"/>
  <c r="J33" i="13"/>
  <c r="I33" i="13"/>
  <c r="J30" i="9"/>
  <c r="I30" i="9"/>
  <c r="G30" i="9"/>
  <c r="J35" i="9"/>
  <c r="I35" i="9"/>
  <c r="G35" i="9"/>
  <c r="J31" i="9"/>
  <c r="I31" i="9"/>
  <c r="G31" i="9"/>
  <c r="J34" i="9"/>
  <c r="I34" i="9"/>
  <c r="G34" i="9"/>
  <c r="J28" i="6"/>
  <c r="I28" i="6"/>
  <c r="G28" i="6"/>
  <c r="I35" i="6"/>
  <c r="G35" i="6"/>
  <c r="J35" i="6"/>
  <c r="G30" i="6"/>
  <c r="J30" i="6"/>
  <c r="I30" i="6"/>
  <c r="J33" i="6"/>
  <c r="I33" i="6"/>
  <c r="G33" i="6"/>
  <c r="F39" i="13"/>
  <c r="F37" i="7"/>
  <c r="F37" i="4"/>
  <c r="V4" i="20"/>
  <c r="L19" i="20"/>
  <c r="G32" i="7"/>
  <c r="J32" i="7"/>
  <c r="I32" i="7"/>
  <c r="I33" i="7"/>
  <c r="G33" i="7"/>
  <c r="J33" i="7"/>
  <c r="I29" i="7"/>
  <c r="G29" i="7"/>
  <c r="J29" i="7"/>
  <c r="I35" i="8"/>
  <c r="G35" i="8"/>
  <c r="J35" i="8"/>
  <c r="G34" i="8"/>
  <c r="J34" i="8"/>
  <c r="I34" i="8"/>
  <c r="I37" i="17"/>
  <c r="J37" i="17"/>
  <c r="G37" i="17"/>
  <c r="E24" i="15"/>
  <c r="D39" i="15"/>
  <c r="J30" i="7"/>
  <c r="I30" i="7"/>
  <c r="B43" i="7" s="1"/>
  <c r="B44" i="7" s="1"/>
  <c r="G30" i="7"/>
  <c r="J34" i="7"/>
  <c r="I34" i="7"/>
  <c r="G34" i="7"/>
  <c r="G28" i="7"/>
  <c r="J28" i="7"/>
  <c r="I28" i="7"/>
  <c r="J28" i="8"/>
  <c r="I28" i="8"/>
  <c r="G28" i="8"/>
  <c r="J24" i="8"/>
  <c r="I24" i="8"/>
  <c r="B43" i="8" s="1"/>
  <c r="B44" i="8" s="1"/>
  <c r="G24" i="8"/>
  <c r="J33" i="8"/>
  <c r="I33" i="8"/>
  <c r="G33" i="8"/>
  <c r="A39" i="8" s="1"/>
  <c r="J39" i="17"/>
  <c r="I39" i="17"/>
  <c r="G39" i="17"/>
  <c r="J28" i="17"/>
  <c r="B47" i="17" s="1"/>
  <c r="B48" i="17" s="1"/>
  <c r="I28" i="17"/>
  <c r="G28" i="17"/>
  <c r="G41" i="17" s="1"/>
  <c r="G36" i="17"/>
  <c r="J36" i="17"/>
  <c r="I36" i="17"/>
  <c r="J31" i="4"/>
  <c r="I31" i="4"/>
  <c r="G31" i="4"/>
  <c r="J26" i="4"/>
  <c r="I26" i="4"/>
  <c r="B43" i="4" s="1"/>
  <c r="B44" i="4" s="1"/>
  <c r="G26" i="4"/>
  <c r="J35" i="4"/>
  <c r="I35" i="4"/>
  <c r="G35" i="4"/>
  <c r="J34" i="11"/>
  <c r="I34" i="11"/>
  <c r="G34" i="11"/>
  <c r="G32" i="11"/>
  <c r="J32" i="11"/>
  <c r="I32" i="11"/>
  <c r="I29" i="11"/>
  <c r="G29" i="11"/>
  <c r="J29" i="11"/>
  <c r="J28" i="10"/>
  <c r="I28" i="10"/>
  <c r="G28" i="10"/>
  <c r="G30" i="10"/>
  <c r="J30" i="10"/>
  <c r="I30" i="10"/>
  <c r="I31" i="10"/>
  <c r="G31" i="10"/>
  <c r="J31" i="10"/>
  <c r="I37" i="14"/>
  <c r="G37" i="14"/>
  <c r="J37" i="14"/>
  <c r="J31" i="14"/>
  <c r="I31" i="14"/>
  <c r="G31" i="14"/>
  <c r="G32" i="14"/>
  <c r="G39" i="14" s="1"/>
  <c r="J32" i="14"/>
  <c r="I32" i="14"/>
  <c r="F24" i="12"/>
  <c r="I33" i="2"/>
  <c r="B43" i="2" s="1"/>
  <c r="B44" i="2" s="1"/>
  <c r="G33" i="2"/>
  <c r="J33" i="2"/>
  <c r="G32" i="2"/>
  <c r="J32" i="2"/>
  <c r="I32" i="2"/>
  <c r="I29" i="2"/>
  <c r="G29" i="2"/>
  <c r="J29" i="2"/>
  <c r="I23" i="1"/>
  <c r="B43" i="1" s="1"/>
  <c r="B44" i="1" s="1"/>
  <c r="G23" i="1"/>
  <c r="A39" i="1" s="1"/>
  <c r="J23" i="1"/>
  <c r="J28" i="1"/>
  <c r="I28" i="1"/>
  <c r="G28" i="1"/>
  <c r="G26" i="1"/>
  <c r="J26" i="1"/>
  <c r="I26" i="1"/>
  <c r="F37" i="1"/>
  <c r="J30" i="5"/>
  <c r="I30" i="5"/>
  <c r="B43" i="5" s="1"/>
  <c r="B44" i="5" s="1"/>
  <c r="G30" i="5"/>
  <c r="G32" i="5"/>
  <c r="I32" i="5"/>
  <c r="J32" i="5"/>
  <c r="J24" i="5"/>
  <c r="I24" i="5"/>
  <c r="G24" i="5"/>
  <c r="J29" i="19"/>
  <c r="I29" i="19"/>
  <c r="G29" i="19"/>
  <c r="I32" i="19"/>
  <c r="G32" i="19"/>
  <c r="J32" i="19"/>
  <c r="I28" i="19"/>
  <c r="G28" i="19"/>
  <c r="A43" i="19" s="1"/>
  <c r="J28" i="19"/>
  <c r="G35" i="19"/>
  <c r="J35" i="19"/>
  <c r="I35" i="19"/>
  <c r="G30" i="3"/>
  <c r="J30" i="3"/>
  <c r="I30" i="3"/>
  <c r="G34" i="3"/>
  <c r="J34" i="3"/>
  <c r="I34" i="3"/>
  <c r="I35" i="3"/>
  <c r="G35" i="3"/>
  <c r="J35" i="3"/>
  <c r="J28" i="13"/>
  <c r="I28" i="13"/>
  <c r="G28" i="13"/>
  <c r="I26" i="13"/>
  <c r="G26" i="13"/>
  <c r="J26" i="13"/>
  <c r="I30" i="13"/>
  <c r="G30" i="13"/>
  <c r="J30" i="13"/>
  <c r="G25" i="13"/>
  <c r="G39" i="13" s="1"/>
  <c r="J25" i="13"/>
  <c r="I25" i="13"/>
  <c r="B45" i="13" s="1"/>
  <c r="B46" i="13" s="1"/>
  <c r="F39" i="14"/>
  <c r="J26" i="9"/>
  <c r="I26" i="9"/>
  <c r="G26" i="9"/>
  <c r="J23" i="9"/>
  <c r="I23" i="9"/>
  <c r="B43" i="9" s="1"/>
  <c r="B44" i="9" s="1"/>
  <c r="G23" i="9"/>
  <c r="A39" i="9" s="1"/>
  <c r="I33" i="9"/>
  <c r="G33" i="9"/>
  <c r="J33" i="9"/>
  <c r="I27" i="6"/>
  <c r="G27" i="6"/>
  <c r="J27" i="6"/>
  <c r="J32" i="6"/>
  <c r="I32" i="6"/>
  <c r="G32" i="6"/>
  <c r="J25" i="6"/>
  <c r="I25" i="6"/>
  <c r="G25" i="6"/>
  <c r="G37" i="6" s="1"/>
  <c r="G37" i="11"/>
  <c r="A39" i="11"/>
  <c r="B43" i="3"/>
  <c r="B44" i="3" s="1"/>
  <c r="I24" i="12" l="1"/>
  <c r="G24" i="12"/>
  <c r="J24" i="12"/>
  <c r="J29" i="12"/>
  <c r="I29" i="12"/>
  <c r="G29" i="12"/>
  <c r="J37" i="12"/>
  <c r="I37" i="12"/>
  <c r="G37" i="12"/>
  <c r="I36" i="12"/>
  <c r="G36" i="12"/>
  <c r="J36" i="12"/>
  <c r="J26" i="12"/>
  <c r="I26" i="12"/>
  <c r="G26" i="12"/>
  <c r="A39" i="6"/>
  <c r="A43" i="17"/>
  <c r="G37" i="1"/>
  <c r="G37" i="9"/>
  <c r="A39" i="2"/>
  <c r="J25" i="12"/>
  <c r="I25" i="12"/>
  <c r="G25" i="12"/>
  <c r="I28" i="12"/>
  <c r="G28" i="12"/>
  <c r="J28" i="12"/>
  <c r="J34" i="12"/>
  <c r="I34" i="12"/>
  <c r="G34" i="12"/>
  <c r="G27" i="12"/>
  <c r="J27" i="12"/>
  <c r="I27" i="12"/>
  <c r="F38" i="18"/>
  <c r="F37" i="18"/>
  <c r="F26" i="18"/>
  <c r="F33" i="18"/>
  <c r="F30" i="18"/>
  <c r="F31" i="18"/>
  <c r="F35" i="18"/>
  <c r="F34" i="18"/>
  <c r="F29" i="18"/>
  <c r="F36" i="18"/>
  <c r="F28" i="18"/>
  <c r="F32" i="18"/>
  <c r="F24" i="18"/>
  <c r="F39" i="18"/>
  <c r="F27" i="18"/>
  <c r="A39" i="4"/>
  <c r="A39" i="5"/>
  <c r="G37" i="8"/>
  <c r="F24" i="15"/>
  <c r="E39" i="15"/>
  <c r="D36" i="20"/>
  <c r="V19" i="20"/>
  <c r="J33" i="12"/>
  <c r="I33" i="12"/>
  <c r="G33" i="12"/>
  <c r="F39" i="12"/>
  <c r="G23" i="12"/>
  <c r="J23" i="12"/>
  <c r="I23" i="12"/>
  <c r="G35" i="12"/>
  <c r="J35" i="12"/>
  <c r="I35" i="12"/>
  <c r="G41" i="19"/>
  <c r="F25" i="18"/>
  <c r="G37" i="10"/>
  <c r="I32" i="12"/>
  <c r="G32" i="12"/>
  <c r="J32" i="12"/>
  <c r="J30" i="12"/>
  <c r="I30" i="12"/>
  <c r="G30" i="12"/>
  <c r="G31" i="12"/>
  <c r="J31" i="12"/>
  <c r="I31" i="12"/>
  <c r="B47" i="19"/>
  <c r="B48" i="19" s="1"/>
  <c r="E39" i="16"/>
  <c r="F27" i="16" l="1"/>
  <c r="F31" i="16"/>
  <c r="F26" i="16"/>
  <c r="F35" i="16"/>
  <c r="F36" i="16"/>
  <c r="F33" i="16"/>
  <c r="F32" i="16"/>
  <c r="F37" i="16"/>
  <c r="F29" i="16"/>
  <c r="F23" i="16"/>
  <c r="F28" i="16"/>
  <c r="F30" i="16"/>
  <c r="F34" i="16"/>
  <c r="F25" i="16"/>
  <c r="A41" i="12"/>
  <c r="G39" i="12"/>
  <c r="J24" i="18"/>
  <c r="I24" i="18"/>
  <c r="G24" i="18"/>
  <c r="F41" i="18"/>
  <c r="G30" i="18"/>
  <c r="J30" i="18"/>
  <c r="I30" i="18"/>
  <c r="F24" i="16"/>
  <c r="J25" i="18"/>
  <c r="I25" i="18"/>
  <c r="G25" i="18"/>
  <c r="B45" i="12"/>
  <c r="B46" i="12" s="1"/>
  <c r="E36" i="20"/>
  <c r="D52" i="20"/>
  <c r="I27" i="18"/>
  <c r="G27" i="18"/>
  <c r="J27" i="18"/>
  <c r="J28" i="18"/>
  <c r="I28" i="18"/>
  <c r="G28" i="18"/>
  <c r="I35" i="18"/>
  <c r="G35" i="18"/>
  <c r="J35" i="18"/>
  <c r="G26" i="18"/>
  <c r="J26" i="18"/>
  <c r="I26" i="18"/>
  <c r="J32" i="18"/>
  <c r="I32" i="18"/>
  <c r="G32" i="18"/>
  <c r="G34" i="18"/>
  <c r="J34" i="18"/>
  <c r="I34" i="18"/>
  <c r="J33" i="18"/>
  <c r="I33" i="18"/>
  <c r="G33" i="18"/>
  <c r="F27" i="15"/>
  <c r="F36" i="15"/>
  <c r="F31" i="15"/>
  <c r="F35" i="15"/>
  <c r="F26" i="15"/>
  <c r="F23" i="15"/>
  <c r="F33" i="15"/>
  <c r="F37" i="15"/>
  <c r="F34" i="15"/>
  <c r="F25" i="15"/>
  <c r="F29" i="15"/>
  <c r="F32" i="15"/>
  <c r="F30" i="15"/>
  <c r="F28" i="15"/>
  <c r="I39" i="18"/>
  <c r="G39" i="18"/>
  <c r="J39" i="18"/>
  <c r="J36" i="18"/>
  <c r="I36" i="18"/>
  <c r="G36" i="18"/>
  <c r="I31" i="18"/>
  <c r="G31" i="18"/>
  <c r="J31" i="18"/>
  <c r="J37" i="18"/>
  <c r="I37" i="18"/>
  <c r="G37" i="18"/>
  <c r="G24" i="15"/>
  <c r="I24" i="15"/>
  <c r="J24" i="15"/>
  <c r="J29" i="18"/>
  <c r="I29" i="18"/>
  <c r="G29" i="18"/>
  <c r="G38" i="18"/>
  <c r="J38" i="18"/>
  <c r="I38" i="18"/>
  <c r="A43" i="18" l="1"/>
  <c r="J30" i="15"/>
  <c r="I30" i="15"/>
  <c r="G30" i="15"/>
  <c r="J34" i="15"/>
  <c r="I34" i="15"/>
  <c r="G34" i="15"/>
  <c r="J26" i="15"/>
  <c r="I26" i="15"/>
  <c r="G26" i="15"/>
  <c r="J27" i="15"/>
  <c r="I27" i="15"/>
  <c r="G27" i="15"/>
  <c r="I24" i="16"/>
  <c r="G24" i="16"/>
  <c r="J24" i="16"/>
  <c r="J30" i="16"/>
  <c r="I30" i="16"/>
  <c r="G30" i="16"/>
  <c r="J37" i="16"/>
  <c r="I37" i="16"/>
  <c r="G37" i="16"/>
  <c r="G35" i="16"/>
  <c r="J35" i="16"/>
  <c r="I35" i="16"/>
  <c r="I28" i="16"/>
  <c r="G28" i="16"/>
  <c r="J28" i="16"/>
  <c r="I32" i="16"/>
  <c r="G32" i="16"/>
  <c r="J32" i="16"/>
  <c r="J26" i="16"/>
  <c r="I26" i="16"/>
  <c r="G26" i="16"/>
  <c r="I37" i="15"/>
  <c r="G37" i="15"/>
  <c r="J37" i="15"/>
  <c r="G41" i="18"/>
  <c r="I29" i="15"/>
  <c r="G29" i="15"/>
  <c r="J29" i="15"/>
  <c r="I33" i="15"/>
  <c r="G33" i="15"/>
  <c r="J33" i="15"/>
  <c r="J31" i="15"/>
  <c r="I31" i="15"/>
  <c r="G31" i="15"/>
  <c r="B47" i="18"/>
  <c r="B48" i="18" s="1"/>
  <c r="J25" i="16"/>
  <c r="I25" i="16"/>
  <c r="G25" i="16"/>
  <c r="F39" i="16"/>
  <c r="G23" i="16"/>
  <c r="J23" i="16"/>
  <c r="I23" i="16"/>
  <c r="J33" i="16"/>
  <c r="I33" i="16"/>
  <c r="G33" i="16"/>
  <c r="G31" i="16"/>
  <c r="J31" i="16"/>
  <c r="I31" i="16"/>
  <c r="G32" i="15"/>
  <c r="J32" i="15"/>
  <c r="I32" i="15"/>
  <c r="J35" i="15"/>
  <c r="I35" i="15"/>
  <c r="G35" i="15"/>
  <c r="G28" i="15"/>
  <c r="J28" i="15"/>
  <c r="I28" i="15"/>
  <c r="I25" i="15"/>
  <c r="G25" i="15"/>
  <c r="J25" i="15"/>
  <c r="J23" i="15"/>
  <c r="F39" i="15"/>
  <c r="G23" i="15"/>
  <c r="I23" i="15"/>
  <c r="B45" i="15" s="1"/>
  <c r="B46" i="15" s="1"/>
  <c r="G36" i="15"/>
  <c r="J36" i="15"/>
  <c r="I36" i="15"/>
  <c r="F36" i="20"/>
  <c r="E52" i="20"/>
  <c r="J34" i="16"/>
  <c r="I34" i="16"/>
  <c r="G34" i="16"/>
  <c r="J29" i="16"/>
  <c r="I29" i="16"/>
  <c r="G29" i="16"/>
  <c r="I36" i="16"/>
  <c r="G36" i="16"/>
  <c r="J36" i="16"/>
  <c r="G27" i="16"/>
  <c r="J27" i="16"/>
  <c r="I27" i="16"/>
  <c r="A41" i="15" l="1"/>
  <c r="G39" i="15"/>
  <c r="B45" i="16"/>
  <c r="B46" i="16" s="1"/>
  <c r="F52" i="20"/>
  <c r="A41" i="16"/>
  <c r="G39" i="16"/>
  <c r="G50" i="20" l="1"/>
  <c r="G47" i="20"/>
  <c r="G42" i="20"/>
  <c r="G41" i="20"/>
  <c r="G43" i="20"/>
  <c r="G38" i="20"/>
  <c r="G49" i="20"/>
  <c r="G44" i="20"/>
  <c r="G48" i="20"/>
  <c r="G39" i="20"/>
  <c r="G45" i="20"/>
  <c r="G46" i="20"/>
  <c r="G37" i="20"/>
  <c r="G40" i="20"/>
  <c r="G35" i="20"/>
  <c r="G36" i="20"/>
  <c r="J36" i="20" l="1"/>
  <c r="H36" i="20"/>
  <c r="K36" i="20"/>
  <c r="K46" i="20"/>
  <c r="J46" i="20"/>
  <c r="H46" i="20"/>
  <c r="J44" i="20"/>
  <c r="H44" i="20"/>
  <c r="K44" i="20"/>
  <c r="K41" i="20"/>
  <c r="J41" i="20"/>
  <c r="H41" i="20"/>
  <c r="J48" i="20"/>
  <c r="H48" i="20"/>
  <c r="K48" i="20"/>
  <c r="K45" i="20"/>
  <c r="J45" i="20"/>
  <c r="H45" i="20"/>
  <c r="K49" i="20"/>
  <c r="J49" i="20"/>
  <c r="H49" i="20"/>
  <c r="K42" i="20"/>
  <c r="J42" i="20"/>
  <c r="H42" i="20"/>
  <c r="H35" i="20"/>
  <c r="G52" i="20"/>
  <c r="K35" i="20"/>
  <c r="J35" i="20"/>
  <c r="J40" i="20"/>
  <c r="H40" i="20"/>
  <c r="K40" i="20"/>
  <c r="H39" i="20"/>
  <c r="K39" i="20"/>
  <c r="J39" i="20"/>
  <c r="K38" i="20"/>
  <c r="J38" i="20"/>
  <c r="H38" i="20"/>
  <c r="H47" i="20"/>
  <c r="K47" i="20"/>
  <c r="J47" i="20"/>
  <c r="K37" i="20"/>
  <c r="J37" i="20"/>
  <c r="H37" i="20"/>
  <c r="H43" i="20"/>
  <c r="K43" i="20"/>
  <c r="J43" i="20"/>
  <c r="K50" i="20"/>
  <c r="J50" i="20"/>
  <c r="H50" i="20"/>
  <c r="H52" i="20" l="1"/>
</calcChain>
</file>

<file path=xl/sharedStrings.xml><?xml version="1.0" encoding="utf-8"?>
<sst xmlns="http://schemas.openxmlformats.org/spreadsheetml/2006/main" count="969" uniqueCount="75">
  <si>
    <t>Muscovite</t>
  </si>
  <si>
    <t>(From Table 4 of La Vigne, et al, SPWLA 35th Annual Logging Symposium, 1994, paper EEE)</t>
  </si>
  <si>
    <t>molar mass</t>
  </si>
  <si>
    <t>mass frac</t>
  </si>
  <si>
    <t>Na</t>
  </si>
  <si>
    <t>Fe</t>
  </si>
  <si>
    <t>Mg</t>
  </si>
  <si>
    <t>H2O</t>
  </si>
  <si>
    <t>Al</t>
  </si>
  <si>
    <t>B</t>
  </si>
  <si>
    <t>Si</t>
  </si>
  <si>
    <t>Gd</t>
  </si>
  <si>
    <t>K</t>
  </si>
  <si>
    <t>Th</t>
  </si>
  <si>
    <t>Ca</t>
  </si>
  <si>
    <t>U</t>
  </si>
  <si>
    <t>Ti</t>
  </si>
  <si>
    <t>O (not H2O, calc)</t>
  </si>
  <si>
    <t>mass / 100 g</t>
  </si>
  <si>
    <t>moles/100g</t>
  </si>
  <si>
    <t>mole frac</t>
  </si>
  <si>
    <t>atomic number</t>
  </si>
  <si>
    <t>weighted Z</t>
  </si>
  <si>
    <t>weighted A</t>
  </si>
  <si>
    <t>H</t>
  </si>
  <si>
    <t>O</t>
  </si>
  <si>
    <t>total</t>
  </si>
  <si>
    <t>density</t>
  </si>
  <si>
    <t>HI</t>
  </si>
  <si>
    <t>rho_e</t>
  </si>
  <si>
    <t>rho_b</t>
  </si>
  <si>
    <t>Muscovite (no B)</t>
  </si>
  <si>
    <t>Biotite</t>
  </si>
  <si>
    <t>Glauconite</t>
  </si>
  <si>
    <t>Glauconite (no B)</t>
  </si>
  <si>
    <t>Kaolinite</t>
  </si>
  <si>
    <t>Illite 1</t>
  </si>
  <si>
    <t>Illite 1 (500 ppm B)</t>
  </si>
  <si>
    <t>Illite 2</t>
  </si>
  <si>
    <t>Smectite</t>
  </si>
  <si>
    <t>Chlorite</t>
  </si>
  <si>
    <t>(From Table 2 of Herron &amp; Matteson, Nucl. Geophys. _7_, 383 (1993))</t>
  </si>
  <si>
    <t>S</t>
  </si>
  <si>
    <t>water</t>
  </si>
  <si>
    <t>quartz</t>
  </si>
  <si>
    <t>K-feldspar (KAlSi3O8)</t>
  </si>
  <si>
    <t>plagioclase (NaCaSi6Al2O16)</t>
  </si>
  <si>
    <t>calcite (CaCO3)</t>
  </si>
  <si>
    <t>C</t>
  </si>
  <si>
    <t>siderite (FeCO3)</t>
  </si>
  <si>
    <t>pyrite (Fe2S)</t>
  </si>
  <si>
    <t>Mica %</t>
  </si>
  <si>
    <t>rho_w</t>
  </si>
  <si>
    <t>Smectite %</t>
  </si>
  <si>
    <t>rho_q</t>
  </si>
  <si>
    <t>K-feldspar</t>
  </si>
  <si>
    <t>plagioclase</t>
  </si>
  <si>
    <t>calcite</t>
  </si>
  <si>
    <t>siderite</t>
  </si>
  <si>
    <t>pyrite</t>
  </si>
  <si>
    <t>mica</t>
  </si>
  <si>
    <t>kaolinite</t>
  </si>
  <si>
    <t>chlorite</t>
  </si>
  <si>
    <t>smectite</t>
  </si>
  <si>
    <t>illite</t>
  </si>
  <si>
    <t>ss porosity (pu)</t>
  </si>
  <si>
    <t>lambda</t>
  </si>
  <si>
    <t>1/(1+lambda)</t>
  </si>
  <si>
    <t>component</t>
  </si>
  <si>
    <t>raw wt %</t>
  </si>
  <si>
    <t>norm wt frac</t>
  </si>
  <si>
    <t>sandstone</t>
  </si>
  <si>
    <t>illite/mica</t>
  </si>
  <si>
    <t>illite/smectite</t>
  </si>
  <si>
    <t>renorm wt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</si>
</sst>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E+00"/>
    <numFmt numFmtId="165" formatCode="0.0000E-00"/>
    <numFmt numFmtId="166" formatCode="0.00000000"/>
    <numFmt numFmtId="167" formatCode="0.000000000"/>
    <numFmt numFmtId="168" formatCode="0.00E+000"/>
  </numFmts>
  <fonts count="4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Sans"/>
      <family val="2"/>
      <charset val="1"/>
    </font>
    <font>
      <sz val="10"/>
      <color rgb="FF00000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164" fontId="0" fillId="0" borderId="0" xfId="0" applyNumberFormat="1"/>
    <xf numFmtId="165" fontId="3" fillId="0" borderId="0" xfId="0" applyNumberFormat="1" applyFont="1" applyBorder="1" applyAlignment="1"/>
    <xf numFmtId="0" fontId="3" fillId="2" borderId="0" xfId="0" applyFont="1" applyFill="1" applyBorder="1" applyAlignment="1"/>
    <xf numFmtId="164" fontId="0" fillId="2" borderId="0" xfId="0" applyNumberFormat="1" applyFill="1"/>
    <xf numFmtId="166" fontId="0" fillId="0" borderId="0" xfId="0" applyNumberFormat="1"/>
    <xf numFmtId="166" fontId="3" fillId="0" borderId="0" xfId="0" applyNumberFormat="1" applyFont="1" applyBorder="1" applyAlignment="1"/>
    <xf numFmtId="11" fontId="3" fillId="0" borderId="0" xfId="0" applyNumberFormat="1" applyFont="1" applyBorder="1" applyAlignment="1"/>
    <xf numFmtId="167" fontId="3" fillId="0" borderId="0" xfId="0" applyNumberFormat="1" applyFont="1" applyBorder="1" applyAlignment="1"/>
    <xf numFmtId="0" fontId="0" fillId="2" borderId="0" xfId="0" applyFill="1"/>
    <xf numFmtId="168" fontId="3" fillId="0" borderId="0" xfId="0" applyNumberFormat="1" applyFont="1" applyBorder="1" applyAlignment="1"/>
    <xf numFmtId="168" fontId="0" fillId="0" borderId="0" xfId="0" applyNumberFormat="1"/>
    <xf numFmtId="11" fontId="0" fillId="0" borderId="0" xfId="0" applyNumberFormat="1"/>
    <xf numFmtId="0" fontId="0" fillId="3" borderId="0" xfId="0" applyFill="1"/>
    <xf numFmtId="0" fontId="0" fillId="0" borderId="0" xfId="0"/>
    <xf numFmtId="0" fontId="0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topLeftCell="A7" zoomScaleNormal="100" workbookViewId="0">
      <selection activeCell="C23" sqref="C23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8" width="15" style="3"/>
    <col min="9" max="256" width="11.5703125" style="3"/>
    <col min="257" max="1025" width="9.85546875"/>
  </cols>
  <sheetData>
    <row r="1" spans="1:10">
      <c r="A1" s="2" t="s">
        <v>0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6">
        <v>0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6">
        <v>4.5900000000000003E-2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6">
        <v>0.20319999999999999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6">
        <v>4.4999999999999999E-4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6">
        <v>0.21149999999999999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6">
        <v>9.8199999999999996E-2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6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6">
        <v>6.9999999999999997E-7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6">
        <v>0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9">
        <f>1-SUM(C5:C17)</f>
        <v>0.44074930000000012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5.1362344582593263E-3</v>
      </c>
      <c r="D22" s="11">
        <f t="shared" ref="D22:D35" si="1">100*C22</f>
        <v>0.51362344582593267</v>
      </c>
      <c r="E22" s="12">
        <f t="shared" ref="E22:E35" si="2">D22/B22</f>
        <v>0.50954706927175863</v>
      </c>
      <c r="F22" s="10">
        <f t="shared" ref="F22:F35" si="3">E22/$E$37</f>
        <v>9.6497791587863965E-2</v>
      </c>
      <c r="G22" s="13">
        <f t="shared" ref="G22:G35" si="4">ROUND(F22,9)</f>
        <v>9.6497791999999999E-2</v>
      </c>
      <c r="H22" s="5">
        <v>1</v>
      </c>
      <c r="I22" s="5">
        <f t="shared" ref="I22:I35" si="5">F22*H22</f>
        <v>9.6497791587863965E-2</v>
      </c>
      <c r="J22" s="5">
        <f t="shared" ref="J22:J35" si="6">F22*B22</f>
        <v>9.7269773920566877E-2</v>
      </c>
    </row>
    <row r="23" spans="1:10">
      <c r="A23" s="5" t="s">
        <v>25</v>
      </c>
      <c r="B23" s="5">
        <v>16</v>
      </c>
      <c r="C23" s="10">
        <f>C18+C8*(B23/B8)</f>
        <v>0.48151306554174078</v>
      </c>
      <c r="D23" s="11">
        <f t="shared" si="1"/>
        <v>48.151306554174077</v>
      </c>
      <c r="E23" s="12">
        <f t="shared" si="2"/>
        <v>3.0094566596358798</v>
      </c>
      <c r="F23" s="10">
        <f t="shared" si="3"/>
        <v>0.56992952966896393</v>
      </c>
      <c r="G23" s="13">
        <f t="shared" si="4"/>
        <v>0.56992953000000002</v>
      </c>
      <c r="H23" s="5">
        <v>8</v>
      </c>
      <c r="I23" s="5">
        <f t="shared" si="5"/>
        <v>4.5594362373517114</v>
      </c>
      <c r="J23" s="5">
        <f t="shared" si="6"/>
        <v>9.1188724747034229</v>
      </c>
    </row>
    <row r="24" spans="1:10">
      <c r="A24" s="5" t="s">
        <v>4</v>
      </c>
      <c r="B24" s="5">
        <v>22.991</v>
      </c>
      <c r="C24" s="10">
        <f>C5</f>
        <v>0</v>
      </c>
      <c r="D24" s="11">
        <f t="shared" si="1"/>
        <v>0</v>
      </c>
      <c r="E24" s="12">
        <f t="shared" si="2"/>
        <v>0</v>
      </c>
      <c r="F24" s="10">
        <f t="shared" si="3"/>
        <v>0</v>
      </c>
      <c r="G24" s="13">
        <f t="shared" si="4"/>
        <v>0</v>
      </c>
      <c r="H24" s="5">
        <v>11</v>
      </c>
      <c r="I24" s="5">
        <f t="shared" si="5"/>
        <v>0</v>
      </c>
      <c r="J24" s="5">
        <f t="shared" si="6"/>
        <v>0</v>
      </c>
    </row>
    <row r="25" spans="1:10">
      <c r="A25" s="5" t="s">
        <v>5</v>
      </c>
      <c r="B25" s="5">
        <v>55.85</v>
      </c>
      <c r="C25" s="10">
        <f>C6</f>
        <v>0</v>
      </c>
      <c r="D25" s="11">
        <f t="shared" si="1"/>
        <v>0</v>
      </c>
      <c r="E25" s="12">
        <f t="shared" si="2"/>
        <v>0</v>
      </c>
      <c r="F25" s="10">
        <f t="shared" si="3"/>
        <v>0</v>
      </c>
      <c r="G25" s="13">
        <f t="shared" si="4"/>
        <v>0</v>
      </c>
      <c r="H25" s="5">
        <v>26</v>
      </c>
      <c r="I25" s="5">
        <f t="shared" si="5"/>
        <v>0</v>
      </c>
      <c r="J25" s="5">
        <f t="shared" si="6"/>
        <v>0</v>
      </c>
    </row>
    <row r="26" spans="1:10">
      <c r="A26" s="5" t="s">
        <v>6</v>
      </c>
      <c r="B26" s="5">
        <v>24.32</v>
      </c>
      <c r="C26" s="10">
        <f>C7</f>
        <v>0</v>
      </c>
      <c r="D26" s="11">
        <f t="shared" si="1"/>
        <v>0</v>
      </c>
      <c r="E26" s="12">
        <f t="shared" si="2"/>
        <v>0</v>
      </c>
      <c r="F26" s="10">
        <f t="shared" si="3"/>
        <v>0</v>
      </c>
      <c r="G26" s="13">
        <f t="shared" si="4"/>
        <v>0</v>
      </c>
      <c r="H26" s="5">
        <v>12</v>
      </c>
      <c r="I26" s="5">
        <f t="shared" si="5"/>
        <v>0</v>
      </c>
      <c r="J26" s="5">
        <f t="shared" si="6"/>
        <v>0</v>
      </c>
    </row>
    <row r="27" spans="1:10">
      <c r="A27" s="5" t="s">
        <v>8</v>
      </c>
      <c r="B27" s="5">
        <v>26.98</v>
      </c>
      <c r="C27" s="10">
        <f t="shared" ref="C27:C35" si="7">C9</f>
        <v>0.20319999999999999</v>
      </c>
      <c r="D27" s="11">
        <f t="shared" si="1"/>
        <v>20.32</v>
      </c>
      <c r="E27" s="12">
        <f t="shared" si="2"/>
        <v>0.75315048183839883</v>
      </c>
      <c r="F27" s="10">
        <f t="shared" si="3"/>
        <v>0.14263129475871805</v>
      </c>
      <c r="G27" s="13">
        <f t="shared" si="4"/>
        <v>0.14263129499999999</v>
      </c>
      <c r="H27" s="5">
        <v>13</v>
      </c>
      <c r="I27" s="5">
        <f t="shared" si="5"/>
        <v>1.8542068318633347</v>
      </c>
      <c r="J27" s="5">
        <f t="shared" si="6"/>
        <v>3.8481923325902132</v>
      </c>
    </row>
    <row r="28" spans="1:10">
      <c r="A28" s="5" t="s">
        <v>9</v>
      </c>
      <c r="B28" s="5">
        <v>10.82</v>
      </c>
      <c r="C28" s="10">
        <f t="shared" si="7"/>
        <v>4.4999999999999999E-4</v>
      </c>
      <c r="D28" s="11">
        <f t="shared" si="1"/>
        <v>4.4999999999999998E-2</v>
      </c>
      <c r="E28" s="12">
        <f t="shared" si="2"/>
        <v>4.1589648798521254E-3</v>
      </c>
      <c r="F28" s="10">
        <f t="shared" si="3"/>
        <v>7.8762287215349046E-4</v>
      </c>
      <c r="G28" s="13">
        <f t="shared" si="4"/>
        <v>7.8762299999999999E-4</v>
      </c>
      <c r="H28" s="5">
        <v>5</v>
      </c>
      <c r="I28" s="5">
        <f t="shared" si="5"/>
        <v>3.9381143607674519E-3</v>
      </c>
      <c r="J28" s="5">
        <f t="shared" si="6"/>
        <v>8.5220794767007675E-3</v>
      </c>
    </row>
    <row r="29" spans="1:10">
      <c r="A29" s="5" t="s">
        <v>10</v>
      </c>
      <c r="B29" s="5">
        <v>28.09</v>
      </c>
      <c r="C29" s="10">
        <f t="shared" si="7"/>
        <v>0.21149999999999999</v>
      </c>
      <c r="D29" s="11">
        <f t="shared" si="1"/>
        <v>21.15</v>
      </c>
      <c r="E29" s="12">
        <f t="shared" si="2"/>
        <v>0.75293698825204691</v>
      </c>
      <c r="F29" s="10">
        <f t="shared" si="3"/>
        <v>0.14259086344070346</v>
      </c>
      <c r="G29" s="13">
        <f t="shared" si="4"/>
        <v>0.14259086300000001</v>
      </c>
      <c r="H29" s="5">
        <v>14</v>
      </c>
      <c r="I29" s="5">
        <f t="shared" si="5"/>
        <v>1.9962720881698484</v>
      </c>
      <c r="J29" s="5">
        <f t="shared" si="6"/>
        <v>4.0053773540493598</v>
      </c>
    </row>
    <row r="30" spans="1:10">
      <c r="A30" s="5" t="s">
        <v>11</v>
      </c>
      <c r="B30" s="5">
        <v>157.25</v>
      </c>
      <c r="C30" s="10">
        <f t="shared" si="7"/>
        <v>0</v>
      </c>
      <c r="D30" s="11">
        <f t="shared" si="1"/>
        <v>0</v>
      </c>
      <c r="E30" s="12">
        <f t="shared" si="2"/>
        <v>0</v>
      </c>
      <c r="F30" s="10">
        <f t="shared" si="3"/>
        <v>0</v>
      </c>
      <c r="G30" s="13">
        <f t="shared" si="4"/>
        <v>0</v>
      </c>
      <c r="H30" s="5">
        <v>64</v>
      </c>
      <c r="I30" s="5">
        <f t="shared" si="5"/>
        <v>0</v>
      </c>
      <c r="J30" s="5">
        <f t="shared" si="6"/>
        <v>0</v>
      </c>
    </row>
    <row r="31" spans="1:10">
      <c r="A31" s="5" t="s">
        <v>12</v>
      </c>
      <c r="B31" s="5">
        <v>39.1</v>
      </c>
      <c r="C31" s="10">
        <f t="shared" si="7"/>
        <v>9.8199999999999996E-2</v>
      </c>
      <c r="D31" s="11">
        <f t="shared" si="1"/>
        <v>9.82</v>
      </c>
      <c r="E31" s="12">
        <f t="shared" si="2"/>
        <v>0.25115089514066496</v>
      </c>
      <c r="F31" s="10">
        <f t="shared" si="3"/>
        <v>4.7562841978517498E-2</v>
      </c>
      <c r="G31" s="13">
        <f t="shared" si="4"/>
        <v>4.7562842000000001E-2</v>
      </c>
      <c r="H31" s="5">
        <v>19</v>
      </c>
      <c r="I31" s="5">
        <f t="shared" si="5"/>
        <v>0.90369399759183244</v>
      </c>
      <c r="J31" s="5">
        <f t="shared" si="6"/>
        <v>1.8597071213600342</v>
      </c>
    </row>
    <row r="32" spans="1:10">
      <c r="A32" s="5" t="s">
        <v>13</v>
      </c>
      <c r="B32" s="5">
        <v>232.03800000000001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10">
        <f t="shared" si="3"/>
        <v>0</v>
      </c>
      <c r="G32" s="13">
        <f t="shared" si="4"/>
        <v>0</v>
      </c>
      <c r="H32" s="5">
        <v>90</v>
      </c>
      <c r="I32" s="5">
        <f t="shared" si="5"/>
        <v>0</v>
      </c>
      <c r="J32" s="5">
        <f t="shared" si="6"/>
        <v>0</v>
      </c>
    </row>
    <row r="33" spans="1:10">
      <c r="A33" s="5" t="s">
        <v>14</v>
      </c>
      <c r="B33" s="5">
        <v>40.08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10">
        <f t="shared" si="3"/>
        <v>0</v>
      </c>
      <c r="G33" s="13">
        <f t="shared" si="4"/>
        <v>0</v>
      </c>
      <c r="H33" s="5">
        <v>20</v>
      </c>
      <c r="I33" s="5">
        <f t="shared" si="5"/>
        <v>0</v>
      </c>
      <c r="J33" s="5">
        <f t="shared" si="6"/>
        <v>0</v>
      </c>
    </row>
    <row r="34" spans="1:10">
      <c r="A34" s="5" t="s">
        <v>15</v>
      </c>
      <c r="B34" s="5">
        <v>238.029</v>
      </c>
      <c r="C34" s="10">
        <f t="shared" si="7"/>
        <v>6.9999999999999997E-7</v>
      </c>
      <c r="D34" s="11">
        <f t="shared" si="1"/>
        <v>6.9999999999999994E-5</v>
      </c>
      <c r="E34" s="12">
        <f t="shared" si="2"/>
        <v>2.9408181356053253E-7</v>
      </c>
      <c r="F34" s="10">
        <f t="shared" si="3"/>
        <v>5.5693079729225682E-8</v>
      </c>
      <c r="G34" s="13">
        <f t="shared" si="4"/>
        <v>5.5999999999999999E-8</v>
      </c>
      <c r="H34" s="5">
        <v>92</v>
      </c>
      <c r="I34" s="5">
        <f t="shared" si="5"/>
        <v>5.1237633350887628E-6</v>
      </c>
      <c r="J34" s="5">
        <f t="shared" si="6"/>
        <v>1.325656807486786E-5</v>
      </c>
    </row>
    <row r="35" spans="1:10">
      <c r="A35" s="5" t="s">
        <v>16</v>
      </c>
      <c r="B35" s="5">
        <v>47.9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10">
        <f t="shared" si="3"/>
        <v>0</v>
      </c>
      <c r="G35" s="13">
        <f t="shared" si="4"/>
        <v>0</v>
      </c>
      <c r="H35" s="5">
        <v>22</v>
      </c>
      <c r="I35" s="5">
        <f t="shared" si="5"/>
        <v>0</v>
      </c>
      <c r="J35" s="5">
        <f t="shared" si="6"/>
        <v>0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</v>
      </c>
      <c r="E37" s="5">
        <f>SUM(E22:E35)</f>
        <v>5.2804013531004141</v>
      </c>
      <c r="F37" s="5">
        <f>SUM(F22:F35)</f>
        <v>1.0000000000000002</v>
      </c>
      <c r="G37" s="5">
        <f>SUM(G22:G35)</f>
        <v>1.0000000010000001</v>
      </c>
    </row>
    <row r="38" spans="1:10">
      <c r="A38"/>
      <c r="B38"/>
    </row>
    <row r="39" spans="1:10">
      <c r="A39" s="5" t="str">
        <f>A22&amp;" "&amp;G22&amp;" "&amp;A23&amp;" "&amp;G23&amp;" "&amp;A27&amp;" "&amp;G27&amp;" "&amp;A28&amp;" "&amp;G28&amp;" "&amp;A29&amp;" "&amp;G29&amp;" "&amp;A31&amp;" "&amp;G31&amp;" "&amp;A34&amp;" "&amp;G34</f>
        <v>H 0.096497792 O 0.56992953 Al 0.142631295 B 0.000787623 Si 0.142590863 K 0.047562842 U 0.000000056</v>
      </c>
      <c r="B39"/>
    </row>
    <row r="40" spans="1:10">
      <c r="A40"/>
      <c r="B40"/>
    </row>
    <row r="41" spans="1:10">
      <c r="A41" s="5" t="s">
        <v>27</v>
      </c>
      <c r="B41" s="5">
        <v>2.81</v>
      </c>
    </row>
    <row r="42" spans="1:10">
      <c r="A42" s="5" t="s">
        <v>28</v>
      </c>
      <c r="B42" s="5">
        <f>100*B41*C22/0.1119</f>
        <v>12.897961418863902</v>
      </c>
    </row>
    <row r="43" spans="1:10">
      <c r="A43" s="5" t="s">
        <v>29</v>
      </c>
      <c r="B43" s="5">
        <f>2*SUM(I22:I35)*B41/SUM(J22:J35)</f>
        <v>2.7936999393362578</v>
      </c>
    </row>
    <row r="44" spans="1:10">
      <c r="A44" s="5" t="s">
        <v>30</v>
      </c>
      <c r="B44" s="5">
        <f>1.0704*B43-0.1883</f>
        <v>2.8020764150655304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F35" sqref="F3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2.85546875" style="3"/>
    <col min="8" max="256" width="11.5703125" style="3"/>
    <col min="257" max="1025" width="9.85546875"/>
  </cols>
  <sheetData>
    <row r="1" spans="1:10">
      <c r="A1" s="2" t="s">
        <v>39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16">
        <v>5.0000000000000001E-3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0.01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16">
        <v>0.02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0.32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0.09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2.0999999999999999E-5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0.21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1.0499999999999999E-5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5.0000000000000001E-3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1.9729999999999999E-5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2E-3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5.6300000000000003E-6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2E-3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0.33594314000000003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3.5808170515097694E-2</v>
      </c>
      <c r="D22" s="11">
        <f t="shared" ref="D22:D35" si="1">100*C22</f>
        <v>3.5808170515097695</v>
      </c>
      <c r="E22" s="12">
        <f t="shared" ref="E22:E35" si="2">D22/B22</f>
        <v>3.5523978685612794</v>
      </c>
      <c r="F22" s="6">
        <f t="shared" ref="F22:F35" si="3">E22/$E$37</f>
        <v>0.41051700162204452</v>
      </c>
      <c r="G22" s="11">
        <f t="shared" ref="G22:G35" si="4">ROUND(F22,8)</f>
        <v>0.41051700000000002</v>
      </c>
      <c r="H22" s="5">
        <v>1</v>
      </c>
      <c r="I22" s="5">
        <f t="shared" ref="I22:I35" si="5">F22*H22</f>
        <v>0.41051700162204452</v>
      </c>
      <c r="J22" s="5">
        <f t="shared" ref="J22:J35" si="6">F22*B22</f>
        <v>0.41380113763502085</v>
      </c>
    </row>
    <row r="23" spans="1:10">
      <c r="A23" s="5" t="s">
        <v>25</v>
      </c>
      <c r="B23" s="5">
        <v>16</v>
      </c>
      <c r="C23" s="10">
        <f>C18+C8*(B23/B8)</f>
        <v>0.62013496948490232</v>
      </c>
      <c r="D23" s="11">
        <f t="shared" si="1"/>
        <v>62.013496948490229</v>
      </c>
      <c r="E23" s="12">
        <f t="shared" si="2"/>
        <v>3.8758435592806393</v>
      </c>
      <c r="F23" s="6">
        <f t="shared" si="3"/>
        <v>0.4478945589944282</v>
      </c>
      <c r="G23" s="11">
        <f t="shared" si="4"/>
        <v>0.44789456</v>
      </c>
      <c r="H23" s="5">
        <v>8</v>
      </c>
      <c r="I23" s="5">
        <f t="shared" si="5"/>
        <v>3.5831564719554256</v>
      </c>
      <c r="J23" s="5">
        <f t="shared" si="6"/>
        <v>7.1663129439108513</v>
      </c>
    </row>
    <row r="24" spans="1:10">
      <c r="A24" s="5" t="s">
        <v>4</v>
      </c>
      <c r="B24" s="5">
        <v>22.991</v>
      </c>
      <c r="C24" s="10">
        <f>C5</f>
        <v>5.0000000000000001E-3</v>
      </c>
      <c r="D24" s="11">
        <f t="shared" si="1"/>
        <v>0.5</v>
      </c>
      <c r="E24" s="12">
        <f t="shared" si="2"/>
        <v>2.174764038101866E-2</v>
      </c>
      <c r="F24" s="6">
        <f t="shared" si="3"/>
        <v>2.513168978222033E-3</v>
      </c>
      <c r="G24" s="11">
        <f t="shared" si="4"/>
        <v>2.5131699999999999E-3</v>
      </c>
      <c r="H24" s="5">
        <v>11</v>
      </c>
      <c r="I24" s="5">
        <f t="shared" si="5"/>
        <v>2.7644858760442363E-2</v>
      </c>
      <c r="J24" s="5">
        <f t="shared" si="6"/>
        <v>5.7780267978302761E-2</v>
      </c>
    </row>
    <row r="25" spans="1:10">
      <c r="A25" s="5" t="s">
        <v>5</v>
      </c>
      <c r="B25" s="5">
        <v>55.85</v>
      </c>
      <c r="C25" s="10">
        <f>C6</f>
        <v>0.01</v>
      </c>
      <c r="D25" s="11">
        <f t="shared" si="1"/>
        <v>1</v>
      </c>
      <c r="E25" s="12">
        <f t="shared" si="2"/>
        <v>1.7905102954341987E-2</v>
      </c>
      <c r="F25" s="6">
        <f t="shared" si="3"/>
        <v>2.0691232937619605E-3</v>
      </c>
      <c r="G25" s="11">
        <f t="shared" si="4"/>
        <v>2.0691199999999998E-3</v>
      </c>
      <c r="H25" s="5">
        <v>26</v>
      </c>
      <c r="I25" s="5">
        <f t="shared" si="5"/>
        <v>5.3797205637810971E-2</v>
      </c>
      <c r="J25" s="5">
        <f t="shared" si="6"/>
        <v>0.1155605359566055</v>
      </c>
    </row>
    <row r="26" spans="1:10">
      <c r="A26" s="5" t="s">
        <v>6</v>
      </c>
      <c r="B26" s="5">
        <v>24.32</v>
      </c>
      <c r="C26" s="10">
        <f>C7</f>
        <v>0.02</v>
      </c>
      <c r="D26" s="11">
        <f t="shared" si="1"/>
        <v>2</v>
      </c>
      <c r="E26" s="12">
        <f t="shared" si="2"/>
        <v>8.2236842105263164E-2</v>
      </c>
      <c r="F26" s="6">
        <f t="shared" si="3"/>
        <v>9.503333549062954E-3</v>
      </c>
      <c r="G26" s="11">
        <f t="shared" si="4"/>
        <v>9.5033300000000008E-3</v>
      </c>
      <c r="H26" s="5">
        <v>12</v>
      </c>
      <c r="I26" s="5">
        <f t="shared" si="5"/>
        <v>0.11404000258875545</v>
      </c>
      <c r="J26" s="5">
        <f t="shared" si="6"/>
        <v>0.23112107191321105</v>
      </c>
    </row>
    <row r="27" spans="1:10">
      <c r="A27" s="5" t="s">
        <v>8</v>
      </c>
      <c r="B27" s="5">
        <v>26.98</v>
      </c>
      <c r="C27" s="10">
        <f t="shared" ref="C27:C35" si="7">C9</f>
        <v>0.09</v>
      </c>
      <c r="D27" s="11">
        <f t="shared" si="1"/>
        <v>9</v>
      </c>
      <c r="E27" s="12">
        <f t="shared" si="2"/>
        <v>0.33358042994810971</v>
      </c>
      <c r="F27" s="6">
        <f t="shared" si="3"/>
        <v>3.8548733269438459E-2</v>
      </c>
      <c r="G27" s="11">
        <f t="shared" si="4"/>
        <v>3.8548730000000003E-2</v>
      </c>
      <c r="H27" s="5">
        <v>13</v>
      </c>
      <c r="I27" s="5">
        <f t="shared" si="5"/>
        <v>0.50113353250269999</v>
      </c>
      <c r="J27" s="5">
        <f t="shared" si="6"/>
        <v>1.0400448236094497</v>
      </c>
    </row>
    <row r="28" spans="1:10">
      <c r="A28" s="5" t="s">
        <v>9</v>
      </c>
      <c r="B28" s="5">
        <v>10.82</v>
      </c>
      <c r="C28" s="10">
        <f t="shared" si="7"/>
        <v>2.0999999999999999E-5</v>
      </c>
      <c r="D28" s="11">
        <f t="shared" si="1"/>
        <v>2.0999999999999999E-3</v>
      </c>
      <c r="E28" s="12">
        <f t="shared" si="2"/>
        <v>1.9408502772643251E-4</v>
      </c>
      <c r="F28" s="6">
        <f t="shared" si="3"/>
        <v>2.2428569825219182E-5</v>
      </c>
      <c r="G28" s="11">
        <f t="shared" si="4"/>
        <v>2.243E-5</v>
      </c>
      <c r="H28" s="5">
        <v>5</v>
      </c>
      <c r="I28" s="5">
        <f t="shared" si="5"/>
        <v>1.121428491260959E-4</v>
      </c>
      <c r="J28" s="5">
        <f t="shared" si="6"/>
        <v>2.4267712550887156E-4</v>
      </c>
    </row>
    <row r="29" spans="1:10">
      <c r="A29" s="5" t="s">
        <v>10</v>
      </c>
      <c r="B29" s="5">
        <v>28.09</v>
      </c>
      <c r="C29" s="10">
        <f t="shared" si="7"/>
        <v>0.21</v>
      </c>
      <c r="D29" s="11">
        <f t="shared" si="1"/>
        <v>21</v>
      </c>
      <c r="E29" s="12">
        <f t="shared" si="2"/>
        <v>0.74759700961196152</v>
      </c>
      <c r="F29" s="6">
        <f t="shared" si="3"/>
        <v>8.6392711110313838E-2</v>
      </c>
      <c r="G29" s="11">
        <f t="shared" si="4"/>
        <v>8.6392709999999998E-2</v>
      </c>
      <c r="H29" s="5">
        <v>14</v>
      </c>
      <c r="I29" s="5">
        <f t="shared" si="5"/>
        <v>1.2094979555443937</v>
      </c>
      <c r="J29" s="5">
        <f t="shared" si="6"/>
        <v>2.4267712550887155</v>
      </c>
    </row>
    <row r="30" spans="1:10">
      <c r="A30" s="5" t="s">
        <v>11</v>
      </c>
      <c r="B30" s="5">
        <v>157.25</v>
      </c>
      <c r="C30" s="10">
        <f t="shared" si="7"/>
        <v>1.0499999999999999E-5</v>
      </c>
      <c r="D30" s="11">
        <f t="shared" si="1"/>
        <v>1.0499999999999999E-3</v>
      </c>
      <c r="E30" s="12">
        <f t="shared" si="2"/>
        <v>6.6772655007949118E-6</v>
      </c>
      <c r="F30" s="6">
        <f t="shared" si="3"/>
        <v>7.7162837999641195E-7</v>
      </c>
      <c r="G30" s="11">
        <f t="shared" si="4"/>
        <v>7.7000000000000004E-7</v>
      </c>
      <c r="H30" s="5">
        <v>64</v>
      </c>
      <c r="I30" s="5">
        <f t="shared" si="5"/>
        <v>4.9384216319770365E-5</v>
      </c>
      <c r="J30" s="5">
        <f t="shared" si="6"/>
        <v>1.2133856275443578E-4</v>
      </c>
    </row>
    <row r="31" spans="1:10">
      <c r="A31" s="5" t="s">
        <v>12</v>
      </c>
      <c r="B31" s="5">
        <v>39.1</v>
      </c>
      <c r="C31" s="10">
        <f t="shared" si="7"/>
        <v>5.0000000000000001E-3</v>
      </c>
      <c r="D31" s="11">
        <f t="shared" si="1"/>
        <v>0.5</v>
      </c>
      <c r="E31" s="12">
        <f t="shared" si="2"/>
        <v>1.278772378516624E-2</v>
      </c>
      <c r="F31" s="6">
        <f t="shared" si="3"/>
        <v>1.4777562142788427E-3</v>
      </c>
      <c r="G31" s="11">
        <f t="shared" si="4"/>
        <v>1.4777600000000001E-3</v>
      </c>
      <c r="H31" s="5">
        <v>19</v>
      </c>
      <c r="I31" s="5">
        <f t="shared" si="5"/>
        <v>2.8077368071298011E-2</v>
      </c>
      <c r="J31" s="5">
        <f t="shared" si="6"/>
        <v>5.7780267978302755E-2</v>
      </c>
    </row>
    <row r="32" spans="1:10">
      <c r="A32" s="5" t="s">
        <v>13</v>
      </c>
      <c r="B32" s="5">
        <v>232.03800000000001</v>
      </c>
      <c r="C32" s="10">
        <f t="shared" si="7"/>
        <v>1.9729999999999999E-5</v>
      </c>
      <c r="D32" s="11">
        <f t="shared" si="1"/>
        <v>1.9729999999999999E-3</v>
      </c>
      <c r="E32" s="12">
        <f t="shared" si="2"/>
        <v>8.502917625561329E-6</v>
      </c>
      <c r="F32" s="6">
        <f t="shared" si="3"/>
        <v>9.8260171800473471E-7</v>
      </c>
      <c r="G32" s="11">
        <f t="shared" si="4"/>
        <v>9.7999999999999993E-7</v>
      </c>
      <c r="H32" s="5">
        <v>90</v>
      </c>
      <c r="I32" s="5">
        <f t="shared" si="5"/>
        <v>8.8434154620426123E-5</v>
      </c>
      <c r="J32" s="5">
        <f t="shared" si="6"/>
        <v>2.2800093744238263E-4</v>
      </c>
    </row>
    <row r="33" spans="1:10">
      <c r="A33" s="5" t="s">
        <v>14</v>
      </c>
      <c r="B33" s="5">
        <v>40.08</v>
      </c>
      <c r="C33" s="10">
        <f t="shared" si="7"/>
        <v>2E-3</v>
      </c>
      <c r="D33" s="11">
        <f t="shared" si="1"/>
        <v>0.2</v>
      </c>
      <c r="E33" s="12">
        <f t="shared" si="2"/>
        <v>4.9900199600798412E-3</v>
      </c>
      <c r="F33" s="6">
        <f t="shared" si="3"/>
        <v>5.7664938102098564E-4</v>
      </c>
      <c r="G33" s="11">
        <f t="shared" si="4"/>
        <v>5.7664999999999995E-4</v>
      </c>
      <c r="H33" s="5">
        <v>20</v>
      </c>
      <c r="I33" s="5">
        <f t="shared" si="5"/>
        <v>1.1532987620419714E-2</v>
      </c>
      <c r="J33" s="5">
        <f t="shared" si="6"/>
        <v>2.3112107191321105E-2</v>
      </c>
    </row>
    <row r="34" spans="1:10">
      <c r="A34" s="5" t="s">
        <v>15</v>
      </c>
      <c r="B34" s="5">
        <v>238.029</v>
      </c>
      <c r="C34" s="10">
        <f t="shared" si="7"/>
        <v>5.6300000000000003E-6</v>
      </c>
      <c r="D34" s="11">
        <f t="shared" si="1"/>
        <v>5.6300000000000002E-4</v>
      </c>
      <c r="E34" s="12">
        <f t="shared" si="2"/>
        <v>2.365258014779712E-6</v>
      </c>
      <c r="F34" s="6">
        <f t="shared" si="3"/>
        <v>2.7333048386360025E-7</v>
      </c>
      <c r="G34" s="11">
        <f t="shared" si="4"/>
        <v>2.7000000000000001E-7</v>
      </c>
      <c r="H34" s="5">
        <v>92</v>
      </c>
      <c r="I34" s="5">
        <f t="shared" si="5"/>
        <v>2.5146404515451222E-5</v>
      </c>
      <c r="J34" s="5">
        <f t="shared" si="6"/>
        <v>6.5060581743568903E-5</v>
      </c>
    </row>
    <row r="35" spans="1:10">
      <c r="A35" s="5" t="s">
        <v>16</v>
      </c>
      <c r="B35" s="5">
        <v>47.9</v>
      </c>
      <c r="C35" s="10">
        <f t="shared" si="7"/>
        <v>2E-3</v>
      </c>
      <c r="D35" s="11">
        <f t="shared" si="1"/>
        <v>0.2</v>
      </c>
      <c r="E35" s="12">
        <f t="shared" si="2"/>
        <v>4.1753653444676414E-3</v>
      </c>
      <c r="F35" s="6">
        <f t="shared" si="3"/>
        <v>4.825074570213174E-4</v>
      </c>
      <c r="G35" s="11">
        <f t="shared" si="4"/>
        <v>4.8251000000000001E-4</v>
      </c>
      <c r="H35" s="5">
        <v>22</v>
      </c>
      <c r="I35" s="5">
        <f t="shared" si="5"/>
        <v>1.0615164054468983E-2</v>
      </c>
      <c r="J35" s="5">
        <f t="shared" si="6"/>
        <v>2.3112107191321105E-2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100.00000000000001</v>
      </c>
      <c r="E37" s="15">
        <f>SUM(E22:E35)</f>
        <v>8.6534731924011936</v>
      </c>
      <c r="F37" s="15">
        <f>SUM(F22:F35)</f>
        <v>1.0000000000000002</v>
      </c>
      <c r="G37" s="5">
        <f>SUM(G22:G35)</f>
        <v>0.99999999000000006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0.410517 O 0.44789456 Na 0.00251317 Fe 0.00206912 Mg 0.00950333 Al 0.03854873 B 0.00002243 Si 0.08639271 Gd 0.00000077 K 0.00147776 Th 0.00000098 Ca 0.00057665 U 0.00000027 Ti 0.00048251</v>
      </c>
      <c r="B39"/>
    </row>
    <row r="40" spans="1:10">
      <c r="A40"/>
      <c r="B40"/>
    </row>
    <row r="41" spans="1:10">
      <c r="A41" s="5" t="s">
        <v>27</v>
      </c>
      <c r="B41" s="5">
        <v>1.98</v>
      </c>
    </row>
    <row r="42" spans="1:10">
      <c r="A42" s="5" t="s">
        <v>28</v>
      </c>
      <c r="B42" s="5">
        <f>100*B41*C22/0.1119</f>
        <v>63.360301715722457</v>
      </c>
    </row>
    <row r="43" spans="1:10">
      <c r="A43" s="5" t="s">
        <v>29</v>
      </c>
      <c r="B43" s="5">
        <f>2*SUM(I22:I35)*B41/SUM(J22:J35)</f>
        <v>2.0390299268375092</v>
      </c>
    </row>
    <row r="44" spans="1:10">
      <c r="A44" s="5" t="s">
        <v>30</v>
      </c>
      <c r="B44" s="5">
        <f>1.0704*B43-0.1883</f>
        <v>1.9942776336868699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F35" sqref="F3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40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16">
        <v>3.5000000000000001E-3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0.16389999999999999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16">
        <v>2.4500000000000001E-2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0.12330000000000001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8.7999999999999995E-2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4.6999999999999997E-5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0.17879999999999999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1.0000000000000001E-5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9.4000000000000004E-3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1.5999999999999999E-5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1.95E-2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4.1999999999999996E-6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5.7000000000000002E-3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0.38332280000000007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1.379733570159858E-2</v>
      </c>
      <c r="D22" s="11">
        <f t="shared" ref="D22:D35" si="1">100*C22</f>
        <v>1.3797335701598581</v>
      </c>
      <c r="E22" s="12">
        <f t="shared" ref="E22:E35" si="2">D22/B22</f>
        <v>1.3687833037300179</v>
      </c>
      <c r="F22" s="6">
        <f t="shared" ref="F22:F35" si="3">E22/$E$37</f>
        <v>0.2317573066216069</v>
      </c>
      <c r="G22" s="11">
        <f t="shared" ref="G22:G35" si="4">ROUND(F22,8)</f>
        <v>0.23175730999999999</v>
      </c>
      <c r="H22" s="5">
        <v>1</v>
      </c>
      <c r="I22" s="5">
        <f t="shared" ref="I22:I35" si="5">F22*H22</f>
        <v>0.2317573066216069</v>
      </c>
      <c r="J22" s="5">
        <f t="shared" ref="J22:J35" si="6">F22*B22</f>
        <v>0.23361136507457975</v>
      </c>
    </row>
    <row r="23" spans="1:10">
      <c r="A23" s="5" t="s">
        <v>25</v>
      </c>
      <c r="B23" s="5">
        <v>16</v>
      </c>
      <c r="C23" s="10">
        <f>C18+C8*(B23/B8)</f>
        <v>0.49282546429840152</v>
      </c>
      <c r="D23" s="11">
        <f t="shared" si="1"/>
        <v>49.282546429840153</v>
      </c>
      <c r="E23" s="12">
        <f t="shared" si="2"/>
        <v>3.0801591518650095</v>
      </c>
      <c r="F23" s="6">
        <f t="shared" si="3"/>
        <v>0.52152111079733698</v>
      </c>
      <c r="G23" s="11">
        <f t="shared" si="4"/>
        <v>0.52152111000000001</v>
      </c>
      <c r="H23" s="5">
        <v>8</v>
      </c>
      <c r="I23" s="5">
        <f t="shared" si="5"/>
        <v>4.1721688863786959</v>
      </c>
      <c r="J23" s="5">
        <f t="shared" si="6"/>
        <v>8.3443377727573917</v>
      </c>
    </row>
    <row r="24" spans="1:10">
      <c r="A24" s="5" t="s">
        <v>4</v>
      </c>
      <c r="B24" s="5">
        <v>22.991</v>
      </c>
      <c r="C24" s="10">
        <f>C5</f>
        <v>3.5000000000000001E-3</v>
      </c>
      <c r="D24" s="11">
        <f t="shared" si="1"/>
        <v>0.35000000000000003</v>
      </c>
      <c r="E24" s="12">
        <f t="shared" si="2"/>
        <v>1.5223348266713062E-2</v>
      </c>
      <c r="F24" s="6">
        <f t="shared" si="3"/>
        <v>2.577560803409699E-3</v>
      </c>
      <c r="G24" s="11">
        <f t="shared" si="4"/>
        <v>2.57756E-3</v>
      </c>
      <c r="H24" s="5">
        <v>11</v>
      </c>
      <c r="I24" s="5">
        <f t="shared" si="5"/>
        <v>2.8353168837506691E-2</v>
      </c>
      <c r="J24" s="5">
        <f t="shared" si="6"/>
        <v>5.9260700431192387E-2</v>
      </c>
    </row>
    <row r="25" spans="1:10">
      <c r="A25" s="5" t="s">
        <v>5</v>
      </c>
      <c r="B25" s="5">
        <v>55.85</v>
      </c>
      <c r="C25" s="10">
        <f>C6</f>
        <v>0.16389999999999999</v>
      </c>
      <c r="D25" s="11">
        <f t="shared" si="1"/>
        <v>16.39</v>
      </c>
      <c r="E25" s="12">
        <f t="shared" si="2"/>
        <v>0.29346463742166518</v>
      </c>
      <c r="F25" s="6">
        <f t="shared" si="3"/>
        <v>4.9688342758267973E-2</v>
      </c>
      <c r="G25" s="11">
        <f t="shared" si="4"/>
        <v>4.9688339999999998E-2</v>
      </c>
      <c r="H25" s="5">
        <v>26</v>
      </c>
      <c r="I25" s="5">
        <f t="shared" si="5"/>
        <v>1.2918969117149672</v>
      </c>
      <c r="J25" s="5">
        <f t="shared" si="6"/>
        <v>2.7750939430492663</v>
      </c>
    </row>
    <row r="26" spans="1:10">
      <c r="A26" s="5" t="s">
        <v>6</v>
      </c>
      <c r="B26" s="5">
        <v>24.32</v>
      </c>
      <c r="C26" s="10">
        <f>C7</f>
        <v>2.4500000000000001E-2</v>
      </c>
      <c r="D26" s="11">
        <f t="shared" si="1"/>
        <v>2.4500000000000002</v>
      </c>
      <c r="E26" s="12">
        <f t="shared" si="2"/>
        <v>0.10074013157894737</v>
      </c>
      <c r="F26" s="6">
        <f t="shared" si="3"/>
        <v>1.705694502542544E-2</v>
      </c>
      <c r="G26" s="11">
        <f t="shared" si="4"/>
        <v>1.7056950000000001E-2</v>
      </c>
      <c r="H26" s="5">
        <v>12</v>
      </c>
      <c r="I26" s="5">
        <f t="shared" si="5"/>
        <v>0.20468334030510527</v>
      </c>
      <c r="J26" s="5">
        <f t="shared" si="6"/>
        <v>0.41482490301834668</v>
      </c>
    </row>
    <row r="27" spans="1:10">
      <c r="A27" s="5" t="s">
        <v>8</v>
      </c>
      <c r="B27" s="5">
        <v>26.98</v>
      </c>
      <c r="C27" s="10">
        <f t="shared" ref="C27:C35" si="7">C9</f>
        <v>8.7999999999999995E-2</v>
      </c>
      <c r="D27" s="11">
        <f t="shared" si="1"/>
        <v>8.7999999999999989</v>
      </c>
      <c r="E27" s="12">
        <f t="shared" si="2"/>
        <v>0.32616753150481836</v>
      </c>
      <c r="F27" s="6">
        <f t="shared" si="3"/>
        <v>5.522547535682442E-2</v>
      </c>
      <c r="G27" s="11">
        <f t="shared" si="4"/>
        <v>5.522548E-2</v>
      </c>
      <c r="H27" s="5">
        <v>13</v>
      </c>
      <c r="I27" s="5">
        <f t="shared" si="5"/>
        <v>0.71793117963871744</v>
      </c>
      <c r="J27" s="5">
        <f t="shared" si="6"/>
        <v>1.4899833251271228</v>
      </c>
    </row>
    <row r="28" spans="1:10">
      <c r="A28" s="5" t="s">
        <v>9</v>
      </c>
      <c r="B28" s="5">
        <v>10.82</v>
      </c>
      <c r="C28" s="10">
        <f t="shared" si="7"/>
        <v>4.6999999999999997E-5</v>
      </c>
      <c r="D28" s="11">
        <f t="shared" si="1"/>
        <v>4.6999999999999993E-3</v>
      </c>
      <c r="E28" s="12">
        <f t="shared" si="2"/>
        <v>4.3438077634011085E-4</v>
      </c>
      <c r="F28" s="6">
        <f t="shared" si="3"/>
        <v>7.3547740170743116E-5</v>
      </c>
      <c r="G28" s="11">
        <f t="shared" si="4"/>
        <v>7.3549999999999999E-5</v>
      </c>
      <c r="H28" s="5">
        <v>5</v>
      </c>
      <c r="I28" s="5">
        <f t="shared" si="5"/>
        <v>3.6773870085371561E-4</v>
      </c>
      <c r="J28" s="5">
        <f t="shared" si="6"/>
        <v>7.9578654864744056E-4</v>
      </c>
    </row>
    <row r="29" spans="1:10">
      <c r="A29" s="5" t="s">
        <v>10</v>
      </c>
      <c r="B29" s="5">
        <v>28.09</v>
      </c>
      <c r="C29" s="10">
        <f t="shared" si="7"/>
        <v>0.17879999999999999</v>
      </c>
      <c r="D29" s="11">
        <f t="shared" si="1"/>
        <v>17.88</v>
      </c>
      <c r="E29" s="12">
        <f t="shared" si="2"/>
        <v>0.63652545389818438</v>
      </c>
      <c r="F29" s="6">
        <f t="shared" si="3"/>
        <v>0.1077741264008259</v>
      </c>
      <c r="G29" s="11">
        <f t="shared" si="4"/>
        <v>0.10777413</v>
      </c>
      <c r="H29" s="5">
        <v>14</v>
      </c>
      <c r="I29" s="5">
        <f t="shared" si="5"/>
        <v>1.5088377696115627</v>
      </c>
      <c r="J29" s="5">
        <f t="shared" si="6"/>
        <v>3.0273752105991996</v>
      </c>
    </row>
    <row r="30" spans="1:10">
      <c r="A30" s="5" t="s">
        <v>11</v>
      </c>
      <c r="B30" s="5">
        <v>157.25</v>
      </c>
      <c r="C30" s="10">
        <f t="shared" si="7"/>
        <v>1.0000000000000001E-5</v>
      </c>
      <c r="D30" s="11">
        <f t="shared" si="1"/>
        <v>1E-3</v>
      </c>
      <c r="E30" s="12">
        <f t="shared" si="2"/>
        <v>6.3593004769475358E-6</v>
      </c>
      <c r="F30" s="6">
        <f t="shared" si="3"/>
        <v>1.0767331443323623E-6</v>
      </c>
      <c r="G30" s="11">
        <f t="shared" si="4"/>
        <v>1.08E-6</v>
      </c>
      <c r="H30" s="5">
        <v>64</v>
      </c>
      <c r="I30" s="5">
        <f t="shared" si="5"/>
        <v>6.891092123727119E-5</v>
      </c>
      <c r="J30" s="5">
        <f t="shared" si="6"/>
        <v>1.6931628694626398E-4</v>
      </c>
    </row>
    <row r="31" spans="1:10">
      <c r="A31" s="5" t="s">
        <v>12</v>
      </c>
      <c r="B31" s="5">
        <v>39.1</v>
      </c>
      <c r="C31" s="10">
        <f t="shared" si="7"/>
        <v>9.4000000000000004E-3</v>
      </c>
      <c r="D31" s="11">
        <f t="shared" si="1"/>
        <v>0.94000000000000006</v>
      </c>
      <c r="E31" s="12">
        <f t="shared" si="2"/>
        <v>2.4040920716112534E-2</v>
      </c>
      <c r="F31" s="6">
        <f t="shared" si="3"/>
        <v>4.0705194304216921E-3</v>
      </c>
      <c r="G31" s="11">
        <f t="shared" si="4"/>
        <v>4.0705200000000002E-3</v>
      </c>
      <c r="H31" s="5">
        <v>19</v>
      </c>
      <c r="I31" s="5">
        <f t="shared" si="5"/>
        <v>7.7339869178012152E-2</v>
      </c>
      <c r="J31" s="5">
        <f t="shared" si="6"/>
        <v>0.15915730972948816</v>
      </c>
    </row>
    <row r="32" spans="1:10">
      <c r="A32" s="5" t="s">
        <v>13</v>
      </c>
      <c r="B32" s="5">
        <v>232.03800000000001</v>
      </c>
      <c r="C32" s="10">
        <f t="shared" si="7"/>
        <v>1.5999999999999999E-5</v>
      </c>
      <c r="D32" s="11">
        <f t="shared" si="1"/>
        <v>1.5999999999999999E-3</v>
      </c>
      <c r="E32" s="12">
        <f t="shared" si="2"/>
        <v>6.895422301519578E-6</v>
      </c>
      <c r="F32" s="6">
        <f t="shared" si="3"/>
        <v>1.1675073010197568E-6</v>
      </c>
      <c r="G32" s="11">
        <f t="shared" si="4"/>
        <v>1.17E-6</v>
      </c>
      <c r="H32" s="5">
        <v>90</v>
      </c>
      <c r="I32" s="5">
        <f t="shared" si="5"/>
        <v>1.0507565709177812E-4</v>
      </c>
      <c r="J32" s="5">
        <f t="shared" si="6"/>
        <v>2.7090605911402234E-4</v>
      </c>
    </row>
    <row r="33" spans="1:10">
      <c r="A33" s="5" t="s">
        <v>14</v>
      </c>
      <c r="B33" s="5">
        <v>40.08</v>
      </c>
      <c r="C33" s="10">
        <f t="shared" si="7"/>
        <v>1.95E-2</v>
      </c>
      <c r="D33" s="11">
        <f t="shared" si="1"/>
        <v>1.95</v>
      </c>
      <c r="E33" s="12">
        <f t="shared" si="2"/>
        <v>4.8652694610778445E-2</v>
      </c>
      <c r="F33" s="6">
        <f t="shared" si="3"/>
        <v>8.2376936014275145E-3</v>
      </c>
      <c r="G33" s="11">
        <f t="shared" si="4"/>
        <v>8.2376900000000006E-3</v>
      </c>
      <c r="H33" s="5">
        <v>20</v>
      </c>
      <c r="I33" s="5">
        <f t="shared" si="5"/>
        <v>0.1647538720285503</v>
      </c>
      <c r="J33" s="5">
        <f t="shared" si="6"/>
        <v>0.33016675954521479</v>
      </c>
    </row>
    <row r="34" spans="1:10">
      <c r="A34" s="5" t="s">
        <v>15</v>
      </c>
      <c r="B34" s="5">
        <v>238.029</v>
      </c>
      <c r="C34" s="10">
        <f t="shared" si="7"/>
        <v>4.1999999999999996E-6</v>
      </c>
      <c r="D34" s="11">
        <f t="shared" si="1"/>
        <v>4.1999999999999996E-4</v>
      </c>
      <c r="E34" s="12">
        <f t="shared" si="2"/>
        <v>1.7644908813631951E-6</v>
      </c>
      <c r="F34" s="6">
        <f t="shared" si="3"/>
        <v>2.9875704438295697E-7</v>
      </c>
      <c r="G34" s="11">
        <f t="shared" si="4"/>
        <v>2.9999999999999999E-7</v>
      </c>
      <c r="H34" s="5">
        <v>92</v>
      </c>
      <c r="I34" s="5">
        <f t="shared" si="5"/>
        <v>2.748564808323204E-5</v>
      </c>
      <c r="J34" s="5">
        <f t="shared" si="6"/>
        <v>7.1112840517430863E-5</v>
      </c>
    </row>
    <row r="35" spans="1:10">
      <c r="A35" s="5" t="s">
        <v>16</v>
      </c>
      <c r="B35" s="5">
        <v>47.9</v>
      </c>
      <c r="C35" s="10">
        <f t="shared" si="7"/>
        <v>5.7000000000000002E-3</v>
      </c>
      <c r="D35" s="11">
        <f t="shared" si="1"/>
        <v>0.57000000000000006</v>
      </c>
      <c r="E35" s="12">
        <f t="shared" si="2"/>
        <v>1.1899791231732779E-2</v>
      </c>
      <c r="F35" s="6">
        <f t="shared" si="3"/>
        <v>2.0148284667927032E-3</v>
      </c>
      <c r="G35" s="11">
        <f t="shared" si="4"/>
        <v>2.01483E-3</v>
      </c>
      <c r="H35" s="5">
        <v>22</v>
      </c>
      <c r="I35" s="5">
        <f t="shared" si="5"/>
        <v>4.4326226269439467E-2</v>
      </c>
      <c r="J35" s="5">
        <f t="shared" si="6"/>
        <v>9.6510283559370483E-2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100.00000000000001</v>
      </c>
      <c r="E37" s="15">
        <f>SUM(E22:E35)</f>
        <v>5.9061063648139811</v>
      </c>
      <c r="F37" s="15">
        <f>SUM(F22:F35)</f>
        <v>0.99999999999999967</v>
      </c>
      <c r="G37" s="5">
        <f>SUM(G22:G35)</f>
        <v>1.0000000199999999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0.23175731 O 0.52152111 Na 0.00257756 Fe 0.04968834 Mg 0.01705695 Al 0.05522548 B 0.00007355 Si 0.10777413 Gd 0.00000108 K 0.00407052 Th 0.00000117 Ca 0.00823769 U 0.0000003 Ti 0.00201483</v>
      </c>
      <c r="B39"/>
    </row>
    <row r="40" spans="1:10">
      <c r="A40"/>
      <c r="B40"/>
    </row>
    <row r="41" spans="1:10">
      <c r="A41" s="5" t="s">
        <v>27</v>
      </c>
      <c r="B41" s="5">
        <v>2.71</v>
      </c>
    </row>
    <row r="42" spans="1:10">
      <c r="A42" s="5" t="s">
        <v>28</v>
      </c>
      <c r="B42" s="5">
        <f>100*B41*C22/0.1119</f>
        <v>33.414459116471988</v>
      </c>
    </row>
    <row r="43" spans="1:10">
      <c r="A43" s="5" t="s">
        <v>29</v>
      </c>
      <c r="B43" s="5">
        <f>2*SUM(I22:I35)*B41/SUM(J22:J35)</f>
        <v>2.7025745121326987</v>
      </c>
    </row>
    <row r="44" spans="1:10">
      <c r="A44" s="5" t="s">
        <v>30</v>
      </c>
      <c r="B44" s="5">
        <f>1.0704*B43-0.1883</f>
        <v>2.7045357577868407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opLeftCell="A7" zoomScaleNormal="100" workbookViewId="0">
      <selection activeCell="F23" sqref="F23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40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41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B25</f>
        <v>22.991</v>
      </c>
      <c r="C5" s="16">
        <v>1E-3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B26</f>
        <v>55.85</v>
      </c>
      <c r="C6" s="16">
        <v>0.20799999999999999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B27</f>
        <v>24.32</v>
      </c>
      <c r="C7" s="16">
        <v>4.8000000000000001E-2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2*B23+B24</f>
        <v>18.015999999999998</v>
      </c>
      <c r="C8" s="16">
        <v>9.1999999999999998E-2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8" si="0">B28</f>
        <v>26.98</v>
      </c>
      <c r="C9" s="16">
        <v>9.6000000000000002E-2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2.0000000000000002E-5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0.14000000000000001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5.0000000000000004E-6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4.0000000000000001E-3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6.9999999999999999E-6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7.0000000000000001E-3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2.9000000000000002E-6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v>1E-3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1.32E-2</v>
      </c>
      <c r="D18"/>
      <c r="E18"/>
      <c r="F18" s="7"/>
      <c r="G18"/>
      <c r="H18"/>
      <c r="I18"/>
      <c r="J18"/>
    </row>
    <row r="19" spans="1:10">
      <c r="A19" s="8" t="s">
        <v>17</v>
      </c>
      <c r="B19" s="8">
        <f>B24</f>
        <v>16</v>
      </c>
      <c r="C19" s="14">
        <f>1-SUM(C5:C18)</f>
        <v>0.38976509999999998</v>
      </c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 s="5" t="s">
        <v>2</v>
      </c>
      <c r="C22" t="s">
        <v>3</v>
      </c>
      <c r="D22" s="5" t="s">
        <v>18</v>
      </c>
      <c r="E22" s="5" t="s">
        <v>19</v>
      </c>
      <c r="F22" t="s">
        <v>20</v>
      </c>
      <c r="G22"/>
      <c r="H22" s="5" t="s">
        <v>21</v>
      </c>
      <c r="I22" s="5" t="s">
        <v>22</v>
      </c>
      <c r="J22" s="5" t="s">
        <v>23</v>
      </c>
    </row>
    <row r="23" spans="1:10">
      <c r="A23" s="5" t="s">
        <v>24</v>
      </c>
      <c r="B23" s="5">
        <v>1.008</v>
      </c>
      <c r="C23" s="10">
        <f>C8*(2*B23/B8)</f>
        <v>1.0294849023090587E-2</v>
      </c>
      <c r="D23" s="11">
        <f t="shared" ref="D23:D37" si="1">100*C23</f>
        <v>1.0294849023090586</v>
      </c>
      <c r="E23" s="12">
        <f t="shared" ref="E23:E37" si="2">D23/B23</f>
        <v>1.0213143872113677</v>
      </c>
      <c r="F23" s="6">
        <f t="shared" ref="F23:F37" si="3">E23/$E$39</f>
        <v>0.18722783445357039</v>
      </c>
      <c r="G23" s="11">
        <f t="shared" ref="G23:G37" si="4">ROUND(F23,8)</f>
        <v>0.18722783000000001</v>
      </c>
      <c r="H23" s="5">
        <v>1</v>
      </c>
      <c r="I23" s="5">
        <f t="shared" ref="I23:I37" si="5">F23*H23</f>
        <v>0.18722783445357039</v>
      </c>
      <c r="J23" s="5">
        <f t="shared" ref="J23:J37" si="6">F23*B23</f>
        <v>0.18872565712919895</v>
      </c>
    </row>
    <row r="24" spans="1:10">
      <c r="A24" s="5" t="s">
        <v>25</v>
      </c>
      <c r="B24" s="5">
        <v>16</v>
      </c>
      <c r="C24" s="10">
        <f>C19+C8*(B24/B8)</f>
        <v>0.47147025097690942</v>
      </c>
      <c r="D24" s="11">
        <f t="shared" si="1"/>
        <v>47.147025097690943</v>
      </c>
      <c r="E24" s="12">
        <f t="shared" si="2"/>
        <v>2.9466890686056839</v>
      </c>
      <c r="F24" s="6">
        <f t="shared" si="3"/>
        <v>0.54018842780569987</v>
      </c>
      <c r="G24" s="11">
        <f t="shared" si="4"/>
        <v>0.54018843000000005</v>
      </c>
      <c r="H24" s="5">
        <v>8</v>
      </c>
      <c r="I24" s="5">
        <f t="shared" si="5"/>
        <v>4.3215074224455989</v>
      </c>
      <c r="J24" s="5">
        <f t="shared" si="6"/>
        <v>8.6430148448911979</v>
      </c>
    </row>
    <row r="25" spans="1:10">
      <c r="A25" s="5" t="s">
        <v>4</v>
      </c>
      <c r="B25" s="5">
        <v>22.991</v>
      </c>
      <c r="C25" s="10">
        <f>C5</f>
        <v>1E-3</v>
      </c>
      <c r="D25" s="11">
        <f t="shared" si="1"/>
        <v>0.1</v>
      </c>
      <c r="E25" s="12">
        <f t="shared" si="2"/>
        <v>4.3495280762037318E-3</v>
      </c>
      <c r="F25" s="6">
        <f t="shared" si="3"/>
        <v>7.9735753534831305E-4</v>
      </c>
      <c r="G25" s="11">
        <f t="shared" si="4"/>
        <v>7.9736E-4</v>
      </c>
      <c r="H25" s="5">
        <v>11</v>
      </c>
      <c r="I25" s="5">
        <f t="shared" si="5"/>
        <v>8.7709328888314429E-3</v>
      </c>
      <c r="J25" s="5">
        <f t="shared" si="6"/>
        <v>1.8332047095193066E-2</v>
      </c>
    </row>
    <row r="26" spans="1:10">
      <c r="A26" s="5" t="s">
        <v>5</v>
      </c>
      <c r="B26" s="5">
        <v>55.85</v>
      </c>
      <c r="C26" s="10">
        <f>C6</f>
        <v>0.20799999999999999</v>
      </c>
      <c r="D26" s="11">
        <f t="shared" si="1"/>
        <v>20.8</v>
      </c>
      <c r="E26" s="12">
        <f t="shared" si="2"/>
        <v>0.37242614145031333</v>
      </c>
      <c r="F26" s="6">
        <f t="shared" si="3"/>
        <v>6.8273335645481784E-2</v>
      </c>
      <c r="G26" s="11">
        <f t="shared" si="4"/>
        <v>6.8273340000000002E-2</v>
      </c>
      <c r="H26" s="5">
        <v>26</v>
      </c>
      <c r="I26" s="5">
        <f t="shared" si="5"/>
        <v>1.7751067267825265</v>
      </c>
      <c r="J26" s="5">
        <f t="shared" si="6"/>
        <v>3.8130657958001577</v>
      </c>
    </row>
    <row r="27" spans="1:10">
      <c r="A27" s="5" t="s">
        <v>6</v>
      </c>
      <c r="B27" s="5">
        <v>24.32</v>
      </c>
      <c r="C27" s="10">
        <f>C7</f>
        <v>4.8000000000000001E-2</v>
      </c>
      <c r="D27" s="11">
        <f t="shared" si="1"/>
        <v>4.8</v>
      </c>
      <c r="E27" s="12">
        <f t="shared" si="2"/>
        <v>0.19736842105263158</v>
      </c>
      <c r="F27" s="6">
        <f t="shared" si="3"/>
        <v>3.6181671898407368E-2</v>
      </c>
      <c r="G27" s="11">
        <f t="shared" si="4"/>
        <v>3.6181669999999999E-2</v>
      </c>
      <c r="H27" s="5">
        <v>12</v>
      </c>
      <c r="I27" s="5">
        <f t="shared" si="5"/>
        <v>0.43418006278088839</v>
      </c>
      <c r="J27" s="5">
        <f t="shared" si="6"/>
        <v>0.87993826056926716</v>
      </c>
    </row>
    <row r="28" spans="1:10">
      <c r="A28" s="5" t="s">
        <v>8</v>
      </c>
      <c r="B28" s="5">
        <v>26.98</v>
      </c>
      <c r="C28" s="10">
        <f t="shared" ref="C28:C37" si="7">C9</f>
        <v>9.6000000000000002E-2</v>
      </c>
      <c r="D28" s="11">
        <f t="shared" si="1"/>
        <v>9.6</v>
      </c>
      <c r="E28" s="12">
        <f t="shared" si="2"/>
        <v>0.35581912527798365</v>
      </c>
      <c r="F28" s="6">
        <f t="shared" si="3"/>
        <v>6.5228929619663978E-2</v>
      </c>
      <c r="G28" s="11">
        <f t="shared" si="4"/>
        <v>6.5228930000000004E-2</v>
      </c>
      <c r="H28" s="5">
        <v>13</v>
      </c>
      <c r="I28" s="5">
        <f t="shared" si="5"/>
        <v>0.84797608505563171</v>
      </c>
      <c r="J28" s="5">
        <f t="shared" si="6"/>
        <v>1.7598765211385341</v>
      </c>
    </row>
    <row r="29" spans="1:10">
      <c r="A29" s="5" t="s">
        <v>9</v>
      </c>
      <c r="B29" s="5">
        <v>10.82</v>
      </c>
      <c r="C29" s="10">
        <f t="shared" si="7"/>
        <v>2.0000000000000002E-5</v>
      </c>
      <c r="D29" s="11">
        <f t="shared" si="1"/>
        <v>2E-3</v>
      </c>
      <c r="E29" s="12">
        <f t="shared" si="2"/>
        <v>1.8484288354898336E-4</v>
      </c>
      <c r="F29" s="6">
        <f t="shared" si="3"/>
        <v>3.3885484464312503E-5</v>
      </c>
      <c r="G29" s="11">
        <f t="shared" si="4"/>
        <v>3.3890000000000002E-5</v>
      </c>
      <c r="H29" s="5">
        <v>5</v>
      </c>
      <c r="I29" s="5">
        <f t="shared" si="5"/>
        <v>1.6942742232156253E-4</v>
      </c>
      <c r="J29" s="5">
        <f t="shared" si="6"/>
        <v>3.6664094190386128E-4</v>
      </c>
    </row>
    <row r="30" spans="1:10">
      <c r="A30" s="5" t="s">
        <v>10</v>
      </c>
      <c r="B30" s="5">
        <v>28.09</v>
      </c>
      <c r="C30" s="10">
        <f t="shared" si="7"/>
        <v>0.14000000000000001</v>
      </c>
      <c r="D30" s="11">
        <f t="shared" si="1"/>
        <v>14.000000000000002</v>
      </c>
      <c r="E30" s="12">
        <f t="shared" si="2"/>
        <v>0.49839800640797444</v>
      </c>
      <c r="F30" s="6">
        <f t="shared" si="3"/>
        <v>9.1366557256213232E-2</v>
      </c>
      <c r="G30" s="11">
        <f t="shared" si="4"/>
        <v>9.1366559999999999E-2</v>
      </c>
      <c r="H30" s="5">
        <v>14</v>
      </c>
      <c r="I30" s="5">
        <f t="shared" si="5"/>
        <v>1.2791318015869853</v>
      </c>
      <c r="J30" s="5">
        <f t="shared" si="6"/>
        <v>2.5664865933270296</v>
      </c>
    </row>
    <row r="31" spans="1:10">
      <c r="A31" s="5" t="s">
        <v>11</v>
      </c>
      <c r="B31" s="5">
        <v>157.25</v>
      </c>
      <c r="C31" s="10">
        <f t="shared" si="7"/>
        <v>5.0000000000000004E-6</v>
      </c>
      <c r="D31" s="11">
        <f t="shared" si="1"/>
        <v>5.0000000000000001E-4</v>
      </c>
      <c r="E31" s="12">
        <f t="shared" si="2"/>
        <v>3.1796502384737679E-6</v>
      </c>
      <c r="F31" s="6">
        <f t="shared" si="3"/>
        <v>5.828949791794298E-7</v>
      </c>
      <c r="G31" s="11">
        <f t="shared" si="4"/>
        <v>5.7999999999999995E-7</v>
      </c>
      <c r="H31" s="5">
        <v>64</v>
      </c>
      <c r="I31" s="5">
        <f t="shared" si="5"/>
        <v>3.7305278667483507E-5</v>
      </c>
      <c r="J31" s="5">
        <f t="shared" si="6"/>
        <v>9.1660235475965333E-5</v>
      </c>
    </row>
    <row r="32" spans="1:10">
      <c r="A32" s="5" t="s">
        <v>12</v>
      </c>
      <c r="B32" s="5">
        <v>39.1</v>
      </c>
      <c r="C32" s="10">
        <f t="shared" si="7"/>
        <v>4.0000000000000001E-3</v>
      </c>
      <c r="D32" s="11">
        <f t="shared" si="1"/>
        <v>0.4</v>
      </c>
      <c r="E32" s="12">
        <f t="shared" si="2"/>
        <v>1.0230179028132993E-2</v>
      </c>
      <c r="F32" s="6">
        <f t="shared" si="3"/>
        <v>1.8754012373599046E-3</v>
      </c>
      <c r="G32" s="11">
        <f t="shared" si="4"/>
        <v>1.8753999999999999E-3</v>
      </c>
      <c r="H32" s="5">
        <v>19</v>
      </c>
      <c r="I32" s="5">
        <f t="shared" si="5"/>
        <v>3.5632623509838188E-2</v>
      </c>
      <c r="J32" s="5">
        <f t="shared" si="6"/>
        <v>7.3328188380772277E-2</v>
      </c>
    </row>
    <row r="33" spans="1:10">
      <c r="A33" s="5" t="s">
        <v>13</v>
      </c>
      <c r="B33" s="5">
        <v>232.03800000000001</v>
      </c>
      <c r="C33" s="10">
        <f t="shared" si="7"/>
        <v>6.9999999999999999E-6</v>
      </c>
      <c r="D33" s="11">
        <f t="shared" si="1"/>
        <v>6.9999999999999999E-4</v>
      </c>
      <c r="E33" s="12">
        <f t="shared" si="2"/>
        <v>3.0167472569148157E-6</v>
      </c>
      <c r="F33" s="6">
        <f t="shared" si="3"/>
        <v>5.5303152788056894E-7</v>
      </c>
      <c r="G33" s="11">
        <f t="shared" si="4"/>
        <v>5.5000000000000003E-7</v>
      </c>
      <c r="H33" s="5">
        <v>90</v>
      </c>
      <c r="I33" s="5">
        <f t="shared" si="5"/>
        <v>4.9772837509251204E-5</v>
      </c>
      <c r="J33" s="5">
        <f t="shared" si="6"/>
        <v>1.2832432966635145E-4</v>
      </c>
    </row>
    <row r="34" spans="1:10">
      <c r="A34" s="5" t="s">
        <v>14</v>
      </c>
      <c r="B34" s="5">
        <v>40.08</v>
      </c>
      <c r="C34" s="10">
        <f t="shared" si="7"/>
        <v>7.0000000000000001E-3</v>
      </c>
      <c r="D34" s="11">
        <f t="shared" si="1"/>
        <v>0.70000000000000007</v>
      </c>
      <c r="E34" s="12">
        <f t="shared" si="2"/>
        <v>1.7465069860279445E-2</v>
      </c>
      <c r="F34" s="6">
        <f t="shared" si="3"/>
        <v>3.2017048319947978E-3</v>
      </c>
      <c r="G34" s="11">
        <f t="shared" si="4"/>
        <v>3.2017E-3</v>
      </c>
      <c r="H34" s="5">
        <v>20</v>
      </c>
      <c r="I34" s="5">
        <f t="shared" si="5"/>
        <v>6.4034096639895954E-2</v>
      </c>
      <c r="J34" s="5">
        <f t="shared" si="6"/>
        <v>0.12832432966635149</v>
      </c>
    </row>
    <row r="35" spans="1:10">
      <c r="A35" s="5" t="s">
        <v>15</v>
      </c>
      <c r="B35" s="5">
        <v>238.029</v>
      </c>
      <c r="C35" s="10">
        <f t="shared" si="7"/>
        <v>2.9000000000000002E-6</v>
      </c>
      <c r="D35" s="11">
        <f t="shared" si="1"/>
        <v>2.9E-4</v>
      </c>
      <c r="E35" s="12">
        <f t="shared" si="2"/>
        <v>1.2183389418936348E-6</v>
      </c>
      <c r="F35" s="6">
        <f t="shared" si="3"/>
        <v>2.2334646860701801E-7</v>
      </c>
      <c r="G35" s="11">
        <f t="shared" si="4"/>
        <v>2.2000000000000001E-7</v>
      </c>
      <c r="H35" s="5">
        <v>92</v>
      </c>
      <c r="I35" s="5">
        <f t="shared" si="5"/>
        <v>2.0547875111845658E-5</v>
      </c>
      <c r="J35" s="5">
        <f t="shared" si="6"/>
        <v>5.3162936576059888E-5</v>
      </c>
    </row>
    <row r="36" spans="1:10">
      <c r="A36" s="5" t="s">
        <v>42</v>
      </c>
      <c r="B36" s="5">
        <v>32.066000000000003</v>
      </c>
      <c r="C36" s="10">
        <f t="shared" si="7"/>
        <v>1E-3</v>
      </c>
      <c r="D36" s="11">
        <f t="shared" si="1"/>
        <v>0.1</v>
      </c>
      <c r="E36" s="12">
        <f t="shared" si="2"/>
        <v>3.1185679535957089E-3</v>
      </c>
      <c r="F36" s="6">
        <f t="shared" si="3"/>
        <v>5.7169734594876402E-4</v>
      </c>
      <c r="G36" s="11">
        <f t="shared" si="4"/>
        <v>5.7169999999999996E-4</v>
      </c>
      <c r="H36" s="5">
        <v>16</v>
      </c>
      <c r="I36" s="5">
        <f t="shared" si="5"/>
        <v>9.1471575351802243E-3</v>
      </c>
      <c r="J36" s="5">
        <f t="shared" si="6"/>
        <v>1.8332047095193069E-2</v>
      </c>
    </row>
    <row r="37" spans="1:10">
      <c r="A37" s="5" t="s">
        <v>16</v>
      </c>
      <c r="B37" s="5">
        <v>47.9</v>
      </c>
      <c r="C37" s="10">
        <f t="shared" si="7"/>
        <v>1.32E-2</v>
      </c>
      <c r="D37" s="11">
        <f t="shared" si="1"/>
        <v>1.32</v>
      </c>
      <c r="E37" s="12">
        <f t="shared" si="2"/>
        <v>2.7557411273486432E-2</v>
      </c>
      <c r="F37" s="6">
        <f t="shared" si="3"/>
        <v>5.0518376128715764E-3</v>
      </c>
      <c r="G37" s="11">
        <f t="shared" si="4"/>
        <v>5.0518400000000001E-3</v>
      </c>
      <c r="H37" s="5">
        <v>22</v>
      </c>
      <c r="I37" s="5">
        <f t="shared" si="5"/>
        <v>0.11114042748317468</v>
      </c>
      <c r="J37" s="5">
        <f t="shared" si="6"/>
        <v>0.2419830216565485</v>
      </c>
    </row>
    <row r="38" spans="1:10">
      <c r="A38"/>
      <c r="B38"/>
      <c r="C38"/>
      <c r="D38"/>
      <c r="E38"/>
      <c r="F38" s="7"/>
      <c r="G38"/>
    </row>
    <row r="39" spans="1:10">
      <c r="A39" s="5" t="s">
        <v>26</v>
      </c>
      <c r="B39"/>
      <c r="C39" s="5">
        <f>SUM(C23:C37)</f>
        <v>1.0000000000000002</v>
      </c>
      <c r="D39" s="5">
        <f>SUM(D23:D37)</f>
        <v>99.999999999999986</v>
      </c>
      <c r="E39" s="15">
        <f>SUM(E23:E37)</f>
        <v>5.4549281638176392</v>
      </c>
      <c r="F39" s="15">
        <f>SUM(F23:F37)</f>
        <v>0.99999999999999978</v>
      </c>
      <c r="G39" s="5">
        <f>SUM(G23:G37)</f>
        <v>0.99999999999999978</v>
      </c>
    </row>
    <row r="40" spans="1:10">
      <c r="A40"/>
      <c r="B40"/>
    </row>
    <row r="41" spans="1:10">
      <c r="A41" s="5" t="str">
        <f>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"&amp;A37&amp;" "&amp;G37&amp;" "&amp;A36&amp;" "&amp;G36</f>
        <v>H 0.18722783 O 0.54018843 Na 0.00079736 Fe 0.06827334 Mg 0.03618167 Al 0.06522893 B 0.00003389 Si 0.09136656 Gd 0.00000058 K 0.0018754 Th 0.00000055 Ca 0.0032017 U 0.00000022 Ti 0.00505184 S 0.0005717</v>
      </c>
      <c r="B41"/>
    </row>
    <row r="42" spans="1:10">
      <c r="A42"/>
      <c r="B42"/>
    </row>
    <row r="43" spans="1:10">
      <c r="A43" s="5" t="s">
        <v>27</v>
      </c>
      <c r="B43" s="5">
        <v>3.42</v>
      </c>
    </row>
    <row r="44" spans="1:10">
      <c r="A44" s="5" t="s">
        <v>28</v>
      </c>
      <c r="B44" s="5">
        <f>100*B43*C23/0.1119</f>
        <v>31.464149829284903</v>
      </c>
    </row>
    <row r="45" spans="1:10">
      <c r="A45" s="5" t="s">
        <v>29</v>
      </c>
      <c r="B45" s="5">
        <f>2*SUM(I23:I37)*B43/SUM(J23:J37)</f>
        <v>3.3857137772885659</v>
      </c>
    </row>
    <row r="46" spans="1:10">
      <c r="A46" s="5" t="s">
        <v>30</v>
      </c>
      <c r="B46" s="5">
        <f>1.0704*B45-0.1883</f>
        <v>3.4357680272096811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zoomScaleNormal="100" workbookViewId="0">
      <selection activeCell="B5" sqref="B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43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B25</f>
        <v>22.991</v>
      </c>
      <c r="C5" s="16">
        <v>0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B26</f>
        <v>55.85</v>
      </c>
      <c r="C6" s="1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B27</f>
        <v>24.32</v>
      </c>
      <c r="C7" s="1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2*B23+B24</f>
        <v>18.015999999999998</v>
      </c>
      <c r="C8" s="16">
        <v>1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8" si="0">B28</f>
        <v>26.98</v>
      </c>
      <c r="C9" s="16">
        <v>0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v>0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0</v>
      </c>
      <c r="D18"/>
      <c r="E18"/>
      <c r="F18" s="7"/>
      <c r="G18"/>
      <c r="H18"/>
      <c r="I18"/>
      <c r="J18"/>
    </row>
    <row r="19" spans="1:10">
      <c r="A19" s="8" t="s">
        <v>17</v>
      </c>
      <c r="B19" s="8">
        <f>B24</f>
        <v>16</v>
      </c>
      <c r="C19" s="14">
        <f>1-SUM(C5:C18)</f>
        <v>0</v>
      </c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 s="5" t="s">
        <v>2</v>
      </c>
      <c r="C22" t="s">
        <v>3</v>
      </c>
      <c r="D22" s="5" t="s">
        <v>18</v>
      </c>
      <c r="E22" s="5" t="s">
        <v>19</v>
      </c>
      <c r="F22" t="s">
        <v>20</v>
      </c>
      <c r="G22"/>
      <c r="H22" s="5" t="s">
        <v>21</v>
      </c>
      <c r="I22" s="5" t="s">
        <v>22</v>
      </c>
      <c r="J22" s="5" t="s">
        <v>23</v>
      </c>
    </row>
    <row r="23" spans="1:10">
      <c r="A23" s="5" t="s">
        <v>24</v>
      </c>
      <c r="B23" s="5">
        <v>1.008</v>
      </c>
      <c r="C23" s="10">
        <f>C8*(2*B23/B8)</f>
        <v>0.1119005328596803</v>
      </c>
      <c r="D23" s="11">
        <f t="shared" ref="D23:D37" si="1">100*C23</f>
        <v>11.19005328596803</v>
      </c>
      <c r="E23" s="12">
        <f t="shared" ref="E23:E37" si="2">D23/B23</f>
        <v>11.101243339253998</v>
      </c>
      <c r="F23" s="17">
        <f t="shared" ref="F23:F37" si="3">E23/$E$39</f>
        <v>0.66666666666666663</v>
      </c>
      <c r="G23" s="11">
        <f t="shared" ref="G23:G37" si="4">ROUND(F23,8)</f>
        <v>0.66666667000000002</v>
      </c>
      <c r="H23" s="5">
        <v>1</v>
      </c>
      <c r="I23" s="5">
        <f t="shared" ref="I23:I37" si="5">F23*H23</f>
        <v>0.66666666666666663</v>
      </c>
      <c r="J23" s="5">
        <f t="shared" ref="J23:J37" si="6">F23*B23</f>
        <v>0.67199999999999993</v>
      </c>
    </row>
    <row r="24" spans="1:10">
      <c r="A24" s="5" t="s">
        <v>25</v>
      </c>
      <c r="B24" s="5">
        <v>16</v>
      </c>
      <c r="C24" s="10">
        <f>C19+C8*(B24/B8)</f>
        <v>0.88809946714031984</v>
      </c>
      <c r="D24" s="11">
        <f t="shared" si="1"/>
        <v>88.80994671403198</v>
      </c>
      <c r="E24" s="12">
        <f t="shared" si="2"/>
        <v>5.5506216696269988</v>
      </c>
      <c r="F24" s="17">
        <f t="shared" si="3"/>
        <v>0.33333333333333331</v>
      </c>
      <c r="G24" s="11">
        <f t="shared" si="4"/>
        <v>0.33333332999999998</v>
      </c>
      <c r="H24" s="5">
        <v>8</v>
      </c>
      <c r="I24" s="5">
        <f t="shared" si="5"/>
        <v>2.6666666666666665</v>
      </c>
      <c r="J24" s="5">
        <f t="shared" si="6"/>
        <v>5.333333333333333</v>
      </c>
    </row>
    <row r="25" spans="1:10">
      <c r="A25" s="5" t="s">
        <v>4</v>
      </c>
      <c r="B25" s="5">
        <v>22.991</v>
      </c>
      <c r="C25" s="10">
        <f>C5</f>
        <v>0</v>
      </c>
      <c r="D25" s="11">
        <f t="shared" si="1"/>
        <v>0</v>
      </c>
      <c r="E25" s="12">
        <f t="shared" si="2"/>
        <v>0</v>
      </c>
      <c r="F25" s="17">
        <f t="shared" si="3"/>
        <v>0</v>
      </c>
      <c r="G25" s="11">
        <f t="shared" si="4"/>
        <v>0</v>
      </c>
      <c r="H25" s="5">
        <v>11</v>
      </c>
      <c r="I25" s="5">
        <f t="shared" si="5"/>
        <v>0</v>
      </c>
      <c r="J25" s="5">
        <f t="shared" si="6"/>
        <v>0</v>
      </c>
    </row>
    <row r="26" spans="1:10">
      <c r="A26" s="5" t="s">
        <v>5</v>
      </c>
      <c r="B26" s="5">
        <v>55.85</v>
      </c>
      <c r="C26" s="10">
        <f>C6</f>
        <v>0</v>
      </c>
      <c r="D26" s="11">
        <f t="shared" si="1"/>
        <v>0</v>
      </c>
      <c r="E26" s="12">
        <f t="shared" si="2"/>
        <v>0</v>
      </c>
      <c r="F26" s="17">
        <f t="shared" si="3"/>
        <v>0</v>
      </c>
      <c r="G26" s="11">
        <f t="shared" si="4"/>
        <v>0</v>
      </c>
      <c r="H26" s="5">
        <v>26</v>
      </c>
      <c r="I26" s="5">
        <f t="shared" si="5"/>
        <v>0</v>
      </c>
      <c r="J26" s="5">
        <f t="shared" si="6"/>
        <v>0</v>
      </c>
    </row>
    <row r="27" spans="1:10">
      <c r="A27" s="5" t="s">
        <v>6</v>
      </c>
      <c r="B27" s="5">
        <v>24.32</v>
      </c>
      <c r="C27" s="10">
        <f>C7</f>
        <v>0</v>
      </c>
      <c r="D27" s="11">
        <f t="shared" si="1"/>
        <v>0</v>
      </c>
      <c r="E27" s="12">
        <f t="shared" si="2"/>
        <v>0</v>
      </c>
      <c r="F27" s="17">
        <f t="shared" si="3"/>
        <v>0</v>
      </c>
      <c r="G27" s="11">
        <f t="shared" si="4"/>
        <v>0</v>
      </c>
      <c r="H27" s="5">
        <v>12</v>
      </c>
      <c r="I27" s="5">
        <f t="shared" si="5"/>
        <v>0</v>
      </c>
      <c r="J27" s="5">
        <f t="shared" si="6"/>
        <v>0</v>
      </c>
    </row>
    <row r="28" spans="1:10">
      <c r="A28" s="5" t="s">
        <v>8</v>
      </c>
      <c r="B28" s="5">
        <v>26.98</v>
      </c>
      <c r="C28" s="10">
        <f t="shared" ref="C28:C37" si="7">C9</f>
        <v>0</v>
      </c>
      <c r="D28" s="11">
        <f t="shared" si="1"/>
        <v>0</v>
      </c>
      <c r="E28" s="12">
        <f t="shared" si="2"/>
        <v>0</v>
      </c>
      <c r="F28" s="17">
        <f t="shared" si="3"/>
        <v>0</v>
      </c>
      <c r="G28" s="11">
        <f t="shared" si="4"/>
        <v>0</v>
      </c>
      <c r="H28" s="5">
        <v>13</v>
      </c>
      <c r="I28" s="5">
        <f t="shared" si="5"/>
        <v>0</v>
      </c>
      <c r="J28" s="5">
        <f t="shared" si="6"/>
        <v>0</v>
      </c>
    </row>
    <row r="29" spans="1:10">
      <c r="A29" s="5" t="s">
        <v>9</v>
      </c>
      <c r="B29" s="5">
        <v>10.82</v>
      </c>
      <c r="C29" s="10">
        <f t="shared" si="7"/>
        <v>0</v>
      </c>
      <c r="D29" s="11">
        <f t="shared" si="1"/>
        <v>0</v>
      </c>
      <c r="E29" s="12">
        <f t="shared" si="2"/>
        <v>0</v>
      </c>
      <c r="F29" s="17">
        <f t="shared" si="3"/>
        <v>0</v>
      </c>
      <c r="G29" s="11">
        <f t="shared" si="4"/>
        <v>0</v>
      </c>
      <c r="H29" s="5">
        <v>5</v>
      </c>
      <c r="I29" s="5">
        <f t="shared" si="5"/>
        <v>0</v>
      </c>
      <c r="J29" s="5">
        <f t="shared" si="6"/>
        <v>0</v>
      </c>
    </row>
    <row r="30" spans="1:10">
      <c r="A30" s="5" t="s">
        <v>10</v>
      </c>
      <c r="B30" s="5">
        <v>28.09</v>
      </c>
      <c r="C30" s="10">
        <f t="shared" si="7"/>
        <v>0</v>
      </c>
      <c r="D30" s="11">
        <f t="shared" si="1"/>
        <v>0</v>
      </c>
      <c r="E30" s="12">
        <f t="shared" si="2"/>
        <v>0</v>
      </c>
      <c r="F30" s="17">
        <f t="shared" si="3"/>
        <v>0</v>
      </c>
      <c r="G30" s="11">
        <f t="shared" si="4"/>
        <v>0</v>
      </c>
      <c r="H30" s="5">
        <v>14</v>
      </c>
      <c r="I30" s="5">
        <f t="shared" si="5"/>
        <v>0</v>
      </c>
      <c r="J30" s="5">
        <f t="shared" si="6"/>
        <v>0</v>
      </c>
    </row>
    <row r="31" spans="1:10">
      <c r="A31" s="5" t="s">
        <v>11</v>
      </c>
      <c r="B31" s="5">
        <v>157.25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17">
        <f t="shared" si="3"/>
        <v>0</v>
      </c>
      <c r="G31" s="11">
        <f t="shared" si="4"/>
        <v>0</v>
      </c>
      <c r="H31" s="5">
        <v>64</v>
      </c>
      <c r="I31" s="5">
        <f t="shared" si="5"/>
        <v>0</v>
      </c>
      <c r="J31" s="5">
        <f t="shared" si="6"/>
        <v>0</v>
      </c>
    </row>
    <row r="32" spans="1:10">
      <c r="A32" s="5" t="s">
        <v>12</v>
      </c>
      <c r="B32" s="5">
        <v>39.1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17">
        <f t="shared" si="3"/>
        <v>0</v>
      </c>
      <c r="G32" s="11">
        <f t="shared" si="4"/>
        <v>0</v>
      </c>
      <c r="H32" s="5">
        <v>19</v>
      </c>
      <c r="I32" s="5">
        <f t="shared" si="5"/>
        <v>0</v>
      </c>
      <c r="J32" s="5">
        <f t="shared" si="6"/>
        <v>0</v>
      </c>
    </row>
    <row r="33" spans="1:10">
      <c r="A33" s="5" t="s">
        <v>13</v>
      </c>
      <c r="B33" s="5">
        <v>232.03800000000001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17">
        <f t="shared" si="3"/>
        <v>0</v>
      </c>
      <c r="G33" s="11">
        <f t="shared" si="4"/>
        <v>0</v>
      </c>
      <c r="H33" s="5">
        <v>90</v>
      </c>
      <c r="I33" s="5">
        <f t="shared" si="5"/>
        <v>0</v>
      </c>
      <c r="J33" s="5">
        <f t="shared" si="6"/>
        <v>0</v>
      </c>
    </row>
    <row r="34" spans="1:10">
      <c r="A34" s="5" t="s">
        <v>14</v>
      </c>
      <c r="B34" s="5">
        <v>40.08</v>
      </c>
      <c r="C34" s="10">
        <f t="shared" si="7"/>
        <v>0</v>
      </c>
      <c r="D34" s="11">
        <f t="shared" si="1"/>
        <v>0</v>
      </c>
      <c r="E34" s="12">
        <f t="shared" si="2"/>
        <v>0</v>
      </c>
      <c r="F34" s="17">
        <f t="shared" si="3"/>
        <v>0</v>
      </c>
      <c r="G34" s="11">
        <f t="shared" si="4"/>
        <v>0</v>
      </c>
      <c r="H34" s="5">
        <v>20</v>
      </c>
      <c r="I34" s="5">
        <f t="shared" si="5"/>
        <v>0</v>
      </c>
      <c r="J34" s="5">
        <f t="shared" si="6"/>
        <v>0</v>
      </c>
    </row>
    <row r="35" spans="1:10">
      <c r="A35" s="5" t="s">
        <v>15</v>
      </c>
      <c r="B35" s="5">
        <v>238.029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17">
        <f t="shared" si="3"/>
        <v>0</v>
      </c>
      <c r="G35" s="11">
        <f t="shared" si="4"/>
        <v>0</v>
      </c>
      <c r="H35" s="5">
        <v>92</v>
      </c>
      <c r="I35" s="5">
        <f t="shared" si="5"/>
        <v>0</v>
      </c>
      <c r="J35" s="5">
        <f t="shared" si="6"/>
        <v>0</v>
      </c>
    </row>
    <row r="36" spans="1:10">
      <c r="A36" s="5" t="s">
        <v>42</v>
      </c>
      <c r="B36" s="5">
        <v>32.066000000000003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17">
        <f t="shared" si="3"/>
        <v>0</v>
      </c>
      <c r="G36" s="11">
        <f t="shared" si="4"/>
        <v>0</v>
      </c>
      <c r="H36" s="5">
        <v>16</v>
      </c>
      <c r="I36" s="5">
        <f t="shared" si="5"/>
        <v>0</v>
      </c>
      <c r="J36" s="5">
        <f t="shared" si="6"/>
        <v>0</v>
      </c>
    </row>
    <row r="37" spans="1:10">
      <c r="A37" s="5" t="s">
        <v>16</v>
      </c>
      <c r="B37" s="5">
        <v>47.9</v>
      </c>
      <c r="C37" s="10">
        <f t="shared" si="7"/>
        <v>0</v>
      </c>
      <c r="D37" s="11">
        <f t="shared" si="1"/>
        <v>0</v>
      </c>
      <c r="E37" s="12">
        <f t="shared" si="2"/>
        <v>0</v>
      </c>
      <c r="F37" s="17">
        <f t="shared" si="3"/>
        <v>0</v>
      </c>
      <c r="G37" s="11">
        <f t="shared" si="4"/>
        <v>0</v>
      </c>
      <c r="H37" s="5">
        <v>22</v>
      </c>
      <c r="I37" s="5">
        <f t="shared" si="5"/>
        <v>0</v>
      </c>
      <c r="J37" s="5">
        <f t="shared" si="6"/>
        <v>0</v>
      </c>
    </row>
    <row r="38" spans="1:10">
      <c r="A38"/>
      <c r="B38"/>
      <c r="C38"/>
      <c r="D38"/>
      <c r="E38"/>
      <c r="F38" s="7"/>
      <c r="G38"/>
    </row>
    <row r="39" spans="1:10">
      <c r="A39" s="5" t="s">
        <v>26</v>
      </c>
      <c r="B39"/>
      <c r="C39" s="5">
        <f>SUM(C23:C37)</f>
        <v>1.0000000000000002</v>
      </c>
      <c r="D39" s="5">
        <f>SUM(D23:D37)</f>
        <v>100.00000000000001</v>
      </c>
      <c r="E39" s="15">
        <f>SUM(E23:E37)</f>
        <v>16.651865008880996</v>
      </c>
      <c r="F39" s="15">
        <f>SUM(F23:F37)</f>
        <v>1</v>
      </c>
      <c r="G39" s="5">
        <f>SUM(G23:G37)</f>
        <v>1</v>
      </c>
    </row>
    <row r="40" spans="1:10">
      <c r="A40"/>
      <c r="B40"/>
    </row>
    <row r="41" spans="1:10">
      <c r="A41" s="5" t="str">
        <f>A23&amp;" "&amp;G23&amp;" "&amp;A24&amp;" "&amp;G24&amp;""</f>
        <v>H 0.66666667 O 0.33333333</v>
      </c>
      <c r="B41"/>
    </row>
    <row r="42" spans="1:10">
      <c r="A42"/>
      <c r="B42"/>
    </row>
    <row r="43" spans="1:10">
      <c r="A43" s="5" t="s">
        <v>27</v>
      </c>
      <c r="B43" s="5">
        <v>0.99819999999999998</v>
      </c>
    </row>
    <row r="44" spans="1:10">
      <c r="A44" s="5" t="s">
        <v>28</v>
      </c>
      <c r="B44" s="5">
        <f>100*B43*C23/0.1119</f>
        <v>99.820475335596839</v>
      </c>
    </row>
    <row r="45" spans="1:10">
      <c r="A45" s="5" t="s">
        <v>29</v>
      </c>
      <c r="B45" s="5">
        <f>2*SUM(I23:I37)*B43/SUM(J23:J37)</f>
        <v>1.1081261101243338</v>
      </c>
    </row>
    <row r="46" spans="1:10">
      <c r="A46" s="5" t="s">
        <v>30</v>
      </c>
      <c r="B46" s="5">
        <f>1.0704*B45-0.1883</f>
        <v>0.99783818827708692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zoomScaleNormal="100" workbookViewId="0">
      <selection activeCell="C11" sqref="C11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44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B25</f>
        <v>22.991</v>
      </c>
      <c r="C5" s="6">
        <v>0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B26</f>
        <v>55.85</v>
      </c>
      <c r="C6" s="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B27</f>
        <v>24.32</v>
      </c>
      <c r="C7" s="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2*B23+B24</f>
        <v>18.015999999999998</v>
      </c>
      <c r="C8" s="6">
        <v>0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8" si="0">B28</f>
        <v>26.98</v>
      </c>
      <c r="C9" s="6">
        <v>0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6">
        <f>B11/(B11+2*B19)</f>
        <v>0.46746546846397069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6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6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6">
        <v>0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6">
        <v>0</v>
      </c>
      <c r="D18"/>
      <c r="E18"/>
      <c r="F18" s="7"/>
      <c r="G18"/>
      <c r="H18"/>
      <c r="I18"/>
      <c r="J18"/>
    </row>
    <row r="19" spans="1:10">
      <c r="A19" s="8" t="s">
        <v>17</v>
      </c>
      <c r="B19" s="8">
        <f>B24</f>
        <v>16</v>
      </c>
      <c r="C19" s="14">
        <f>1-SUM(C5:C18)</f>
        <v>0.53253453153602925</v>
      </c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 s="5" t="s">
        <v>2</v>
      </c>
      <c r="C22" t="s">
        <v>3</v>
      </c>
      <c r="D22" s="5" t="s">
        <v>18</v>
      </c>
      <c r="E22" s="5" t="s">
        <v>19</v>
      </c>
      <c r="F22" t="s">
        <v>20</v>
      </c>
      <c r="G22"/>
      <c r="H22" s="5" t="s">
        <v>21</v>
      </c>
      <c r="I22" s="5" t="s">
        <v>22</v>
      </c>
      <c r="J22" s="5" t="s">
        <v>23</v>
      </c>
    </row>
    <row r="23" spans="1:10">
      <c r="A23" s="5" t="s">
        <v>24</v>
      </c>
      <c r="B23" s="5">
        <v>1.008</v>
      </c>
      <c r="C23" s="10">
        <f>C8*(2*B23/B8)</f>
        <v>0</v>
      </c>
      <c r="D23" s="11">
        <f t="shared" ref="D23:D37" si="1">100*C23</f>
        <v>0</v>
      </c>
      <c r="E23" s="12">
        <f t="shared" ref="E23:E37" si="2">D23/B23</f>
        <v>0</v>
      </c>
      <c r="F23" s="6">
        <f t="shared" ref="F23:F37" si="3">E23/$E$39</f>
        <v>0</v>
      </c>
      <c r="G23" s="11">
        <f t="shared" ref="G23:G37" si="4">ROUND(F23,8)</f>
        <v>0</v>
      </c>
      <c r="H23" s="5">
        <v>1</v>
      </c>
      <c r="I23" s="5">
        <f t="shared" ref="I23:I37" si="5">F23*H23</f>
        <v>0</v>
      </c>
      <c r="J23" s="5">
        <f t="shared" ref="J23:J37" si="6">F23*B23</f>
        <v>0</v>
      </c>
    </row>
    <row r="24" spans="1:10">
      <c r="A24" s="5" t="s">
        <v>25</v>
      </c>
      <c r="B24" s="5">
        <v>16</v>
      </c>
      <c r="C24" s="10">
        <f>C19+C8*(B24/B8)</f>
        <v>0.53253453153602925</v>
      </c>
      <c r="D24" s="11">
        <f t="shared" si="1"/>
        <v>53.253453153602926</v>
      </c>
      <c r="E24" s="12">
        <f t="shared" si="2"/>
        <v>3.3283408221001829</v>
      </c>
      <c r="F24" s="6">
        <f t="shared" si="3"/>
        <v>0.66666666666666663</v>
      </c>
      <c r="G24" s="11">
        <f t="shared" si="4"/>
        <v>0.66666667000000002</v>
      </c>
      <c r="H24" s="5">
        <v>8</v>
      </c>
      <c r="I24" s="5">
        <f t="shared" si="5"/>
        <v>5.333333333333333</v>
      </c>
      <c r="J24" s="5">
        <f t="shared" si="6"/>
        <v>10.666666666666666</v>
      </c>
    </row>
    <row r="25" spans="1:10">
      <c r="A25" s="5" t="s">
        <v>4</v>
      </c>
      <c r="B25" s="5">
        <v>22.991</v>
      </c>
      <c r="C25" s="10">
        <f>C5</f>
        <v>0</v>
      </c>
      <c r="D25" s="11">
        <f t="shared" si="1"/>
        <v>0</v>
      </c>
      <c r="E25" s="12">
        <f t="shared" si="2"/>
        <v>0</v>
      </c>
      <c r="F25" s="6">
        <f t="shared" si="3"/>
        <v>0</v>
      </c>
      <c r="G25" s="11">
        <f t="shared" si="4"/>
        <v>0</v>
      </c>
      <c r="H25" s="5">
        <v>11</v>
      </c>
      <c r="I25" s="5">
        <f t="shared" si="5"/>
        <v>0</v>
      </c>
      <c r="J25" s="5">
        <f t="shared" si="6"/>
        <v>0</v>
      </c>
    </row>
    <row r="26" spans="1:10">
      <c r="A26" s="5" t="s">
        <v>5</v>
      </c>
      <c r="B26" s="5">
        <v>55.85</v>
      </c>
      <c r="C26" s="10">
        <f>C6</f>
        <v>0</v>
      </c>
      <c r="D26" s="11">
        <f t="shared" si="1"/>
        <v>0</v>
      </c>
      <c r="E26" s="12">
        <f t="shared" si="2"/>
        <v>0</v>
      </c>
      <c r="F26" s="6">
        <f t="shared" si="3"/>
        <v>0</v>
      </c>
      <c r="G26" s="11">
        <f t="shared" si="4"/>
        <v>0</v>
      </c>
      <c r="H26" s="5">
        <v>26</v>
      </c>
      <c r="I26" s="5">
        <f t="shared" si="5"/>
        <v>0</v>
      </c>
      <c r="J26" s="5">
        <f t="shared" si="6"/>
        <v>0</v>
      </c>
    </row>
    <row r="27" spans="1:10">
      <c r="A27" s="5" t="s">
        <v>6</v>
      </c>
      <c r="B27" s="5">
        <v>24.32</v>
      </c>
      <c r="C27" s="10">
        <f>C7</f>
        <v>0</v>
      </c>
      <c r="D27" s="11">
        <f t="shared" si="1"/>
        <v>0</v>
      </c>
      <c r="E27" s="12">
        <f t="shared" si="2"/>
        <v>0</v>
      </c>
      <c r="F27" s="6">
        <f t="shared" si="3"/>
        <v>0</v>
      </c>
      <c r="G27" s="11">
        <f t="shared" si="4"/>
        <v>0</v>
      </c>
      <c r="H27" s="5">
        <v>12</v>
      </c>
      <c r="I27" s="5">
        <f t="shared" si="5"/>
        <v>0</v>
      </c>
      <c r="J27" s="5">
        <f t="shared" si="6"/>
        <v>0</v>
      </c>
    </row>
    <row r="28" spans="1:10">
      <c r="A28" s="5" t="s">
        <v>8</v>
      </c>
      <c r="B28" s="5">
        <v>26.98</v>
      </c>
      <c r="C28" s="10">
        <f t="shared" ref="C28:C37" si="7">C9</f>
        <v>0</v>
      </c>
      <c r="D28" s="11">
        <f t="shared" si="1"/>
        <v>0</v>
      </c>
      <c r="E28" s="12">
        <f t="shared" si="2"/>
        <v>0</v>
      </c>
      <c r="F28" s="6">
        <f t="shared" si="3"/>
        <v>0</v>
      </c>
      <c r="G28" s="11">
        <f t="shared" si="4"/>
        <v>0</v>
      </c>
      <c r="H28" s="5">
        <v>13</v>
      </c>
      <c r="I28" s="5">
        <f t="shared" si="5"/>
        <v>0</v>
      </c>
      <c r="J28" s="5">
        <f t="shared" si="6"/>
        <v>0</v>
      </c>
    </row>
    <row r="29" spans="1:10">
      <c r="A29" s="5" t="s">
        <v>9</v>
      </c>
      <c r="B29" s="5">
        <v>10.82</v>
      </c>
      <c r="C29" s="10">
        <f t="shared" si="7"/>
        <v>0</v>
      </c>
      <c r="D29" s="11">
        <f t="shared" si="1"/>
        <v>0</v>
      </c>
      <c r="E29" s="12">
        <f t="shared" si="2"/>
        <v>0</v>
      </c>
      <c r="F29" s="6">
        <f t="shared" si="3"/>
        <v>0</v>
      </c>
      <c r="G29" s="11">
        <f t="shared" si="4"/>
        <v>0</v>
      </c>
      <c r="H29" s="5">
        <v>5</v>
      </c>
      <c r="I29" s="5">
        <f t="shared" si="5"/>
        <v>0</v>
      </c>
      <c r="J29" s="5">
        <f t="shared" si="6"/>
        <v>0</v>
      </c>
    </row>
    <row r="30" spans="1:10">
      <c r="A30" s="5" t="s">
        <v>10</v>
      </c>
      <c r="B30" s="5">
        <v>28.09</v>
      </c>
      <c r="C30" s="10">
        <f t="shared" si="7"/>
        <v>0.46746546846397069</v>
      </c>
      <c r="D30" s="11">
        <f t="shared" si="1"/>
        <v>46.746546846397067</v>
      </c>
      <c r="E30" s="12">
        <f t="shared" si="2"/>
        <v>1.6641704110500914</v>
      </c>
      <c r="F30" s="6">
        <f t="shared" si="3"/>
        <v>0.33333333333333331</v>
      </c>
      <c r="G30" s="11">
        <f t="shared" si="4"/>
        <v>0.33333332999999998</v>
      </c>
      <c r="H30" s="5">
        <v>14</v>
      </c>
      <c r="I30" s="5">
        <f t="shared" si="5"/>
        <v>4.6666666666666661</v>
      </c>
      <c r="J30" s="5">
        <f t="shared" si="6"/>
        <v>9.3633333333333333</v>
      </c>
    </row>
    <row r="31" spans="1:10">
      <c r="A31" s="5" t="s">
        <v>11</v>
      </c>
      <c r="B31" s="5">
        <v>157.25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6">
        <f t="shared" si="3"/>
        <v>0</v>
      </c>
      <c r="G31" s="11">
        <f t="shared" si="4"/>
        <v>0</v>
      </c>
      <c r="H31" s="5">
        <v>64</v>
      </c>
      <c r="I31" s="5">
        <f t="shared" si="5"/>
        <v>0</v>
      </c>
      <c r="J31" s="5">
        <f t="shared" si="6"/>
        <v>0</v>
      </c>
    </row>
    <row r="32" spans="1:10">
      <c r="A32" s="5" t="s">
        <v>12</v>
      </c>
      <c r="B32" s="5">
        <v>39.1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6">
        <f t="shared" si="3"/>
        <v>0</v>
      </c>
      <c r="G32" s="11">
        <f t="shared" si="4"/>
        <v>0</v>
      </c>
      <c r="H32" s="5">
        <v>19</v>
      </c>
      <c r="I32" s="5">
        <f t="shared" si="5"/>
        <v>0</v>
      </c>
      <c r="J32" s="5">
        <f t="shared" si="6"/>
        <v>0</v>
      </c>
    </row>
    <row r="33" spans="1:10">
      <c r="A33" s="5" t="s">
        <v>13</v>
      </c>
      <c r="B33" s="5">
        <v>232.03800000000001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6">
        <f t="shared" si="3"/>
        <v>0</v>
      </c>
      <c r="G33" s="11">
        <f t="shared" si="4"/>
        <v>0</v>
      </c>
      <c r="H33" s="5">
        <v>90</v>
      </c>
      <c r="I33" s="5">
        <f t="shared" si="5"/>
        <v>0</v>
      </c>
      <c r="J33" s="5">
        <f t="shared" si="6"/>
        <v>0</v>
      </c>
    </row>
    <row r="34" spans="1:10">
      <c r="A34" s="5" t="s">
        <v>14</v>
      </c>
      <c r="B34" s="5">
        <v>40.08</v>
      </c>
      <c r="C34" s="10">
        <f t="shared" si="7"/>
        <v>0</v>
      </c>
      <c r="D34" s="11">
        <f t="shared" si="1"/>
        <v>0</v>
      </c>
      <c r="E34" s="12">
        <f t="shared" si="2"/>
        <v>0</v>
      </c>
      <c r="F34" s="6">
        <f t="shared" si="3"/>
        <v>0</v>
      </c>
      <c r="G34" s="11">
        <f t="shared" si="4"/>
        <v>0</v>
      </c>
      <c r="H34" s="5">
        <v>20</v>
      </c>
      <c r="I34" s="5">
        <f t="shared" si="5"/>
        <v>0</v>
      </c>
      <c r="J34" s="5">
        <f t="shared" si="6"/>
        <v>0</v>
      </c>
    </row>
    <row r="35" spans="1:10">
      <c r="A35" s="5" t="s">
        <v>15</v>
      </c>
      <c r="B35" s="5">
        <v>238.029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6">
        <f t="shared" si="3"/>
        <v>0</v>
      </c>
      <c r="G35" s="11">
        <f t="shared" si="4"/>
        <v>0</v>
      </c>
      <c r="H35" s="5">
        <v>92</v>
      </c>
      <c r="I35" s="5">
        <f t="shared" si="5"/>
        <v>0</v>
      </c>
      <c r="J35" s="5">
        <f t="shared" si="6"/>
        <v>0</v>
      </c>
    </row>
    <row r="36" spans="1:10">
      <c r="A36" s="5" t="s">
        <v>42</v>
      </c>
      <c r="B36" s="5">
        <v>32.066000000000003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6">
        <f t="shared" si="3"/>
        <v>0</v>
      </c>
      <c r="G36" s="11">
        <f t="shared" si="4"/>
        <v>0</v>
      </c>
      <c r="H36" s="5">
        <v>16</v>
      </c>
      <c r="I36" s="5">
        <f t="shared" si="5"/>
        <v>0</v>
      </c>
      <c r="J36" s="5">
        <f t="shared" si="6"/>
        <v>0</v>
      </c>
    </row>
    <row r="37" spans="1:10">
      <c r="A37" s="5" t="s">
        <v>16</v>
      </c>
      <c r="B37" s="5">
        <v>47.9</v>
      </c>
      <c r="C37" s="10">
        <f t="shared" si="7"/>
        <v>0</v>
      </c>
      <c r="D37" s="11">
        <f t="shared" si="1"/>
        <v>0</v>
      </c>
      <c r="E37" s="12">
        <f t="shared" si="2"/>
        <v>0</v>
      </c>
      <c r="F37" s="6">
        <f t="shared" si="3"/>
        <v>0</v>
      </c>
      <c r="G37" s="11">
        <f t="shared" si="4"/>
        <v>0</v>
      </c>
      <c r="H37" s="5">
        <v>22</v>
      </c>
      <c r="I37" s="5">
        <f t="shared" si="5"/>
        <v>0</v>
      </c>
      <c r="J37" s="5">
        <f t="shared" si="6"/>
        <v>0</v>
      </c>
    </row>
    <row r="38" spans="1:10">
      <c r="A38"/>
      <c r="B38"/>
      <c r="C38"/>
      <c r="D38"/>
      <c r="E38"/>
      <c r="F38" s="7"/>
      <c r="G38"/>
    </row>
    <row r="39" spans="1:10">
      <c r="A39" s="5" t="s">
        <v>26</v>
      </c>
      <c r="B39"/>
      <c r="C39" s="5">
        <f>SUM(C23:C37)</f>
        <v>1</v>
      </c>
      <c r="D39" s="5">
        <f>SUM(D23:D37)</f>
        <v>100</v>
      </c>
      <c r="E39" s="15">
        <f>SUM(E23:E37)</f>
        <v>4.9925112331502746</v>
      </c>
      <c r="F39" s="15">
        <f>SUM(F23:F37)</f>
        <v>1</v>
      </c>
      <c r="G39" s="5">
        <f>SUM(G23:G37)</f>
        <v>1</v>
      </c>
    </row>
    <row r="40" spans="1:10">
      <c r="A40"/>
      <c r="B40"/>
    </row>
    <row r="41" spans="1:10">
      <c r="A41" s="5" t="str">
        <f>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"&amp;A37&amp;" "&amp;G37&amp;" "&amp;A36&amp;" "&amp;G36</f>
        <v>H 0 O 0.66666667 Na 0 Fe 0 Mg 0 Al 0 B 0 Si 0.33333333 Gd 0 K 0 Th 0 Ca 0 U 0 Ti 0 S 0</v>
      </c>
      <c r="B41"/>
    </row>
    <row r="42" spans="1:10">
      <c r="A42"/>
      <c r="B42"/>
    </row>
    <row r="43" spans="1:10">
      <c r="A43" s="5" t="s">
        <v>27</v>
      </c>
      <c r="B43" s="5">
        <v>2.6480000000000001</v>
      </c>
    </row>
    <row r="44" spans="1:10">
      <c r="A44" s="5" t="s">
        <v>28</v>
      </c>
      <c r="B44" s="5">
        <f>100*B43*C23/0.1119</f>
        <v>0</v>
      </c>
    </row>
    <row r="45" spans="1:10">
      <c r="A45" s="5" t="s">
        <v>29</v>
      </c>
      <c r="B45" s="5">
        <f>2*SUM(I23:I37)*B43/SUM(J23:J37)</f>
        <v>2.6440339490763853</v>
      </c>
    </row>
    <row r="46" spans="1:10">
      <c r="A46" s="5" t="s">
        <v>30</v>
      </c>
      <c r="B46" s="5">
        <f>1.0704*B45-0.1883</f>
        <v>2.6418739390913628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zoomScaleNormal="100" workbookViewId="0">
      <selection activeCell="F30" sqref="F30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45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 t="s">
        <v>2</v>
      </c>
      <c r="F4"/>
      <c r="G4"/>
      <c r="H4"/>
      <c r="I4"/>
      <c r="J4"/>
    </row>
    <row r="5" spans="1:10">
      <c r="A5" s="5" t="s">
        <v>4</v>
      </c>
      <c r="B5" s="5">
        <f>B25</f>
        <v>22.991</v>
      </c>
      <c r="C5" s="16">
        <v>0</v>
      </c>
      <c r="D5"/>
      <c r="E5">
        <f>B13+B9+3*B11+8*B19</f>
        <v>278.35000000000002</v>
      </c>
      <c r="F5" s="7"/>
      <c r="G5"/>
      <c r="H5"/>
      <c r="I5"/>
      <c r="J5"/>
    </row>
    <row r="6" spans="1:10">
      <c r="A6" s="5" t="s">
        <v>5</v>
      </c>
      <c r="B6" s="5">
        <f>B26</f>
        <v>55.85</v>
      </c>
      <c r="C6" s="1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B27</f>
        <v>24.32</v>
      </c>
      <c r="C7" s="1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2*B23+B24</f>
        <v>18.015999999999998</v>
      </c>
      <c r="C8" s="16">
        <v>0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8" si="0">B28</f>
        <v>26.98</v>
      </c>
      <c r="C9" s="16">
        <f>B9/E5</f>
        <v>9.6928327645051188E-2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f>3*B11/E5</f>
        <v>0.30274833842284887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f>B13/E5</f>
        <v>0.14047063050116759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v>0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0</v>
      </c>
      <c r="D18"/>
      <c r="E18"/>
      <c r="F18" s="7"/>
      <c r="G18"/>
      <c r="H18"/>
      <c r="I18"/>
      <c r="J18"/>
    </row>
    <row r="19" spans="1:10">
      <c r="A19" s="8" t="s">
        <v>17</v>
      </c>
      <c r="B19" s="8">
        <f>B24</f>
        <v>16</v>
      </c>
      <c r="C19" s="14">
        <f>1-SUM(C5:C18)</f>
        <v>0.45985270343093232</v>
      </c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 s="5" t="s">
        <v>2</v>
      </c>
      <c r="C22" t="s">
        <v>3</v>
      </c>
      <c r="D22" s="5" t="s">
        <v>18</v>
      </c>
      <c r="E22" s="5" t="s">
        <v>19</v>
      </c>
      <c r="F22" t="s">
        <v>20</v>
      </c>
      <c r="G22"/>
      <c r="H22" s="5" t="s">
        <v>21</v>
      </c>
      <c r="I22" s="5" t="s">
        <v>22</v>
      </c>
      <c r="J22" s="5" t="s">
        <v>23</v>
      </c>
    </row>
    <row r="23" spans="1:10">
      <c r="A23" s="5" t="s">
        <v>24</v>
      </c>
      <c r="B23" s="5">
        <v>1.008</v>
      </c>
      <c r="C23" s="10">
        <f>C8*(2*B23/B8)</f>
        <v>0</v>
      </c>
      <c r="D23" s="11">
        <f t="shared" ref="D23:D37" si="1">100*C23</f>
        <v>0</v>
      </c>
      <c r="E23" s="12">
        <f t="shared" ref="E23:E37" si="2">D23/B23</f>
        <v>0</v>
      </c>
      <c r="F23" s="6">
        <f t="shared" ref="F23:F37" si="3">E23/$E$39</f>
        <v>0</v>
      </c>
      <c r="G23" s="11">
        <f t="shared" ref="G23:G37" si="4">ROUND(F23,8)</f>
        <v>0</v>
      </c>
      <c r="H23" s="5">
        <v>1</v>
      </c>
      <c r="I23" s="5">
        <f t="shared" ref="I23:I37" si="5">F23*H23</f>
        <v>0</v>
      </c>
      <c r="J23" s="5">
        <f t="shared" ref="J23:J37" si="6">F23*B23</f>
        <v>0</v>
      </c>
    </row>
    <row r="24" spans="1:10">
      <c r="A24" s="5" t="s">
        <v>25</v>
      </c>
      <c r="B24" s="5">
        <v>16</v>
      </c>
      <c r="C24" s="10">
        <f>C19+C8*(B24/B8)</f>
        <v>0.45985270343093232</v>
      </c>
      <c r="D24" s="11">
        <f t="shared" si="1"/>
        <v>45.985270343093234</v>
      </c>
      <c r="E24" s="12">
        <f t="shared" si="2"/>
        <v>2.8740793964433271</v>
      </c>
      <c r="F24" s="6">
        <f t="shared" si="3"/>
        <v>0.61538461538461542</v>
      </c>
      <c r="G24" s="11">
        <f t="shared" si="4"/>
        <v>0.61538462000000005</v>
      </c>
      <c r="H24" s="5">
        <v>8</v>
      </c>
      <c r="I24" s="5">
        <f t="shared" si="5"/>
        <v>4.9230769230769234</v>
      </c>
      <c r="J24" s="5">
        <f t="shared" si="6"/>
        <v>9.8461538461538467</v>
      </c>
    </row>
    <row r="25" spans="1:10">
      <c r="A25" s="5" t="s">
        <v>4</v>
      </c>
      <c r="B25" s="5">
        <v>22.991</v>
      </c>
      <c r="C25" s="10">
        <f>C5</f>
        <v>0</v>
      </c>
      <c r="D25" s="11">
        <f t="shared" si="1"/>
        <v>0</v>
      </c>
      <c r="E25" s="12">
        <f t="shared" si="2"/>
        <v>0</v>
      </c>
      <c r="F25" s="6">
        <f t="shared" si="3"/>
        <v>0</v>
      </c>
      <c r="G25" s="11">
        <f t="shared" si="4"/>
        <v>0</v>
      </c>
      <c r="H25" s="5">
        <v>11</v>
      </c>
      <c r="I25" s="5">
        <f t="shared" si="5"/>
        <v>0</v>
      </c>
      <c r="J25" s="5">
        <f t="shared" si="6"/>
        <v>0</v>
      </c>
    </row>
    <row r="26" spans="1:10">
      <c r="A26" s="5" t="s">
        <v>5</v>
      </c>
      <c r="B26" s="5">
        <v>55.85</v>
      </c>
      <c r="C26" s="10">
        <f>C6</f>
        <v>0</v>
      </c>
      <c r="D26" s="11">
        <f t="shared" si="1"/>
        <v>0</v>
      </c>
      <c r="E26" s="12">
        <f t="shared" si="2"/>
        <v>0</v>
      </c>
      <c r="F26" s="6">
        <f t="shared" si="3"/>
        <v>0</v>
      </c>
      <c r="G26" s="11">
        <f t="shared" si="4"/>
        <v>0</v>
      </c>
      <c r="H26" s="5">
        <v>26</v>
      </c>
      <c r="I26" s="5">
        <f t="shared" si="5"/>
        <v>0</v>
      </c>
      <c r="J26" s="5">
        <f t="shared" si="6"/>
        <v>0</v>
      </c>
    </row>
    <row r="27" spans="1:10">
      <c r="A27" s="5" t="s">
        <v>6</v>
      </c>
      <c r="B27" s="5">
        <v>24.32</v>
      </c>
      <c r="C27" s="10">
        <f>C7</f>
        <v>0</v>
      </c>
      <c r="D27" s="11">
        <f t="shared" si="1"/>
        <v>0</v>
      </c>
      <c r="E27" s="12">
        <f t="shared" si="2"/>
        <v>0</v>
      </c>
      <c r="F27" s="6">
        <f t="shared" si="3"/>
        <v>0</v>
      </c>
      <c r="G27" s="11">
        <f t="shared" si="4"/>
        <v>0</v>
      </c>
      <c r="H27" s="5">
        <v>12</v>
      </c>
      <c r="I27" s="5">
        <f t="shared" si="5"/>
        <v>0</v>
      </c>
      <c r="J27" s="5">
        <f t="shared" si="6"/>
        <v>0</v>
      </c>
    </row>
    <row r="28" spans="1:10">
      <c r="A28" s="5" t="s">
        <v>8</v>
      </c>
      <c r="B28" s="5">
        <v>26.98</v>
      </c>
      <c r="C28" s="10">
        <f t="shared" ref="C28:C37" si="7">C9</f>
        <v>9.6928327645051188E-2</v>
      </c>
      <c r="D28" s="11">
        <f t="shared" si="1"/>
        <v>9.692832764505118</v>
      </c>
      <c r="E28" s="12">
        <f t="shared" si="2"/>
        <v>0.35925992455541578</v>
      </c>
      <c r="F28" s="6">
        <f t="shared" si="3"/>
        <v>7.69230769230769E-2</v>
      </c>
      <c r="G28" s="11">
        <f t="shared" si="4"/>
        <v>7.6923080000000005E-2</v>
      </c>
      <c r="H28" s="5">
        <v>13</v>
      </c>
      <c r="I28" s="5">
        <f t="shared" si="5"/>
        <v>0.99999999999999967</v>
      </c>
      <c r="J28" s="5">
        <f t="shared" si="6"/>
        <v>2.0753846153846149</v>
      </c>
    </row>
    <row r="29" spans="1:10">
      <c r="A29" s="5" t="s">
        <v>9</v>
      </c>
      <c r="B29" s="5">
        <v>10.82</v>
      </c>
      <c r="C29" s="10">
        <f t="shared" si="7"/>
        <v>0</v>
      </c>
      <c r="D29" s="11">
        <f t="shared" si="1"/>
        <v>0</v>
      </c>
      <c r="E29" s="12">
        <f t="shared" si="2"/>
        <v>0</v>
      </c>
      <c r="F29" s="6">
        <f t="shared" si="3"/>
        <v>0</v>
      </c>
      <c r="G29" s="11">
        <f t="shared" si="4"/>
        <v>0</v>
      </c>
      <c r="H29" s="5">
        <v>5</v>
      </c>
      <c r="I29" s="5">
        <f t="shared" si="5"/>
        <v>0</v>
      </c>
      <c r="J29" s="5">
        <f t="shared" si="6"/>
        <v>0</v>
      </c>
    </row>
    <row r="30" spans="1:10">
      <c r="A30" s="5" t="s">
        <v>10</v>
      </c>
      <c r="B30" s="5">
        <v>28.09</v>
      </c>
      <c r="C30" s="10">
        <f t="shared" si="7"/>
        <v>0.30274833842284887</v>
      </c>
      <c r="D30" s="11">
        <f t="shared" si="1"/>
        <v>30.274833842284888</v>
      </c>
      <c r="E30" s="12">
        <f t="shared" si="2"/>
        <v>1.0777797736662473</v>
      </c>
      <c r="F30" s="6">
        <f t="shared" si="3"/>
        <v>0.23076923076923073</v>
      </c>
      <c r="G30" s="11">
        <f t="shared" si="4"/>
        <v>0.23076922999999999</v>
      </c>
      <c r="H30" s="5">
        <v>14</v>
      </c>
      <c r="I30" s="5">
        <f t="shared" si="5"/>
        <v>3.2307692307692299</v>
      </c>
      <c r="J30" s="5">
        <f t="shared" si="6"/>
        <v>6.4823076923076908</v>
      </c>
    </row>
    <row r="31" spans="1:10">
      <c r="A31" s="5" t="s">
        <v>11</v>
      </c>
      <c r="B31" s="5">
        <v>157.25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6">
        <f t="shared" si="3"/>
        <v>0</v>
      </c>
      <c r="G31" s="11">
        <f t="shared" si="4"/>
        <v>0</v>
      </c>
      <c r="H31" s="5">
        <v>64</v>
      </c>
      <c r="I31" s="5">
        <f t="shared" si="5"/>
        <v>0</v>
      </c>
      <c r="J31" s="5">
        <f t="shared" si="6"/>
        <v>0</v>
      </c>
    </row>
    <row r="32" spans="1:10">
      <c r="A32" s="5" t="s">
        <v>12</v>
      </c>
      <c r="B32" s="5">
        <v>39.1</v>
      </c>
      <c r="C32" s="10">
        <f t="shared" si="7"/>
        <v>0.14047063050116759</v>
      </c>
      <c r="D32" s="11">
        <f t="shared" si="1"/>
        <v>14.047063050116758</v>
      </c>
      <c r="E32" s="12">
        <f t="shared" si="2"/>
        <v>0.35925992455541578</v>
      </c>
      <c r="F32" s="6">
        <f t="shared" si="3"/>
        <v>7.69230769230769E-2</v>
      </c>
      <c r="G32" s="11">
        <f t="shared" si="4"/>
        <v>7.6923080000000005E-2</v>
      </c>
      <c r="H32" s="5">
        <v>19</v>
      </c>
      <c r="I32" s="5">
        <f t="shared" si="5"/>
        <v>1.461538461538461</v>
      </c>
      <c r="J32" s="5">
        <f t="shared" si="6"/>
        <v>3.0076923076923068</v>
      </c>
    </row>
    <row r="33" spans="1:10">
      <c r="A33" s="5" t="s">
        <v>13</v>
      </c>
      <c r="B33" s="5">
        <v>232.03800000000001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6">
        <f t="shared" si="3"/>
        <v>0</v>
      </c>
      <c r="G33" s="11">
        <f t="shared" si="4"/>
        <v>0</v>
      </c>
      <c r="H33" s="5">
        <v>90</v>
      </c>
      <c r="I33" s="5">
        <f t="shared" si="5"/>
        <v>0</v>
      </c>
      <c r="J33" s="5">
        <f t="shared" si="6"/>
        <v>0</v>
      </c>
    </row>
    <row r="34" spans="1:10">
      <c r="A34" s="5" t="s">
        <v>14</v>
      </c>
      <c r="B34" s="5">
        <v>40.08</v>
      </c>
      <c r="C34" s="10">
        <f t="shared" si="7"/>
        <v>0</v>
      </c>
      <c r="D34" s="11">
        <f t="shared" si="1"/>
        <v>0</v>
      </c>
      <c r="E34" s="12">
        <f t="shared" si="2"/>
        <v>0</v>
      </c>
      <c r="F34" s="6">
        <f t="shared" si="3"/>
        <v>0</v>
      </c>
      <c r="G34" s="11">
        <f t="shared" si="4"/>
        <v>0</v>
      </c>
      <c r="H34" s="5">
        <v>20</v>
      </c>
      <c r="I34" s="5">
        <f t="shared" si="5"/>
        <v>0</v>
      </c>
      <c r="J34" s="5">
        <f t="shared" si="6"/>
        <v>0</v>
      </c>
    </row>
    <row r="35" spans="1:10">
      <c r="A35" s="5" t="s">
        <v>15</v>
      </c>
      <c r="B35" s="5">
        <v>238.029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6">
        <f t="shared" si="3"/>
        <v>0</v>
      </c>
      <c r="G35" s="11">
        <f t="shared" si="4"/>
        <v>0</v>
      </c>
      <c r="H35" s="5">
        <v>92</v>
      </c>
      <c r="I35" s="5">
        <f t="shared" si="5"/>
        <v>0</v>
      </c>
      <c r="J35" s="5">
        <f t="shared" si="6"/>
        <v>0</v>
      </c>
    </row>
    <row r="36" spans="1:10">
      <c r="A36" s="5" t="s">
        <v>42</v>
      </c>
      <c r="B36" s="5">
        <v>32.066000000000003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6">
        <f t="shared" si="3"/>
        <v>0</v>
      </c>
      <c r="G36" s="11">
        <f t="shared" si="4"/>
        <v>0</v>
      </c>
      <c r="H36" s="5">
        <v>16</v>
      </c>
      <c r="I36" s="5">
        <f t="shared" si="5"/>
        <v>0</v>
      </c>
      <c r="J36" s="5">
        <f t="shared" si="6"/>
        <v>0</v>
      </c>
    </row>
    <row r="37" spans="1:10">
      <c r="A37" s="5" t="s">
        <v>16</v>
      </c>
      <c r="B37" s="5">
        <v>47.9</v>
      </c>
      <c r="C37" s="10">
        <f t="shared" si="7"/>
        <v>0</v>
      </c>
      <c r="D37" s="11">
        <f t="shared" si="1"/>
        <v>0</v>
      </c>
      <c r="E37" s="12">
        <f t="shared" si="2"/>
        <v>0</v>
      </c>
      <c r="F37" s="6">
        <f t="shared" si="3"/>
        <v>0</v>
      </c>
      <c r="G37" s="11">
        <f t="shared" si="4"/>
        <v>0</v>
      </c>
      <c r="H37" s="5">
        <v>22</v>
      </c>
      <c r="I37" s="5">
        <f t="shared" si="5"/>
        <v>0</v>
      </c>
      <c r="J37" s="5">
        <f t="shared" si="6"/>
        <v>0</v>
      </c>
    </row>
    <row r="38" spans="1:10">
      <c r="A38"/>
      <c r="B38"/>
      <c r="C38"/>
      <c r="D38"/>
      <c r="E38"/>
      <c r="F38" s="7"/>
      <c r="G38"/>
    </row>
    <row r="39" spans="1:10">
      <c r="A39" s="5" t="s">
        <v>26</v>
      </c>
      <c r="B39"/>
      <c r="C39" s="5">
        <f>SUM(C23:C37)</f>
        <v>1</v>
      </c>
      <c r="D39" s="5">
        <f>SUM(D23:D37)</f>
        <v>100</v>
      </c>
      <c r="E39" s="15">
        <f>SUM(E23:E37)</f>
        <v>4.6703790192204062</v>
      </c>
      <c r="F39" s="15">
        <f>SUM(F23:F37)</f>
        <v>0.99999999999999989</v>
      </c>
      <c r="G39" s="5">
        <f>SUM(G23:G37)</f>
        <v>1.0000000100000002</v>
      </c>
    </row>
    <row r="40" spans="1:10">
      <c r="A40"/>
      <c r="B40"/>
    </row>
    <row r="41" spans="1:10">
      <c r="A41" s="5" t="str">
        <f>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"&amp;A37&amp;" "&amp;G37&amp;" "&amp;A36&amp;" "&amp;G36</f>
        <v>H 0 O 0.61538462 Na 0 Fe 0 Mg 0 Al 0.07692308 B 0 Si 0.23076923 Gd 0 K 0.07692308 Th 0 Ca 0 U 0 Ti 0 S 0</v>
      </c>
      <c r="B41"/>
    </row>
    <row r="42" spans="1:10">
      <c r="A42"/>
      <c r="B42"/>
    </row>
    <row r="43" spans="1:10">
      <c r="A43" s="5" t="s">
        <v>27</v>
      </c>
      <c r="B43" s="5">
        <v>2.56</v>
      </c>
    </row>
    <row r="44" spans="1:10">
      <c r="A44" s="5" t="s">
        <v>28</v>
      </c>
      <c r="B44" s="5">
        <f>100*B43*C23/0.1119</f>
        <v>0</v>
      </c>
    </row>
    <row r="45" spans="1:10">
      <c r="A45" s="5" t="s">
        <v>29</v>
      </c>
      <c r="B45" s="5">
        <f>2*SUM(I23:I37)*B43/SUM(J23:J37)</f>
        <v>2.5383869229387463</v>
      </c>
    </row>
    <row r="46" spans="1:10">
      <c r="A46" s="5" t="s">
        <v>30</v>
      </c>
      <c r="B46" s="5">
        <f>1.0704*B45-0.1883</f>
        <v>2.5287893623136344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zoomScaleNormal="100" workbookViewId="0">
      <selection activeCell="F34" sqref="F34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46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 t="s">
        <v>2</v>
      </c>
      <c r="F4"/>
      <c r="G4"/>
      <c r="H4"/>
      <c r="I4"/>
      <c r="J4"/>
    </row>
    <row r="5" spans="1:10">
      <c r="A5" s="5" t="s">
        <v>4</v>
      </c>
      <c r="B5" s="5">
        <f>B25</f>
        <v>22.991</v>
      </c>
      <c r="C5" s="16">
        <f>B5/E5</f>
        <v>4.2452420827555397E-2</v>
      </c>
      <c r="D5"/>
      <c r="E5">
        <f>B5+B15+6*B11+2*B9+16*B19</f>
        <v>541.57099999999991</v>
      </c>
      <c r="F5" s="7"/>
      <c r="G5"/>
      <c r="H5"/>
      <c r="I5"/>
      <c r="J5"/>
    </row>
    <row r="6" spans="1:10">
      <c r="A6" s="5" t="s">
        <v>5</v>
      </c>
      <c r="B6" s="5">
        <f>B26</f>
        <v>55.85</v>
      </c>
      <c r="C6" s="1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B27</f>
        <v>24.32</v>
      </c>
      <c r="C7" s="1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2*B23+B24</f>
        <v>18.015999999999998</v>
      </c>
      <c r="C8" s="16">
        <v>0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8" si="0">B28</f>
        <v>26.98</v>
      </c>
      <c r="C9" s="16">
        <f>2*B9/E5</f>
        <v>9.9636058799307953E-2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f>6*B11/E5</f>
        <v>0.31120573295098891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f>B15/E5</f>
        <v>7.4006916913941123E-2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v>0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0</v>
      </c>
      <c r="D18"/>
      <c r="E18"/>
      <c r="F18" s="7"/>
      <c r="G18"/>
      <c r="H18"/>
      <c r="I18"/>
      <c r="J18"/>
    </row>
    <row r="19" spans="1:10">
      <c r="A19" s="8" t="s">
        <v>17</v>
      </c>
      <c r="B19" s="8">
        <f>B24</f>
        <v>16</v>
      </c>
      <c r="C19" s="14">
        <f>1-SUM(C5:C18)</f>
        <v>0.47269887050820658</v>
      </c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 s="5" t="s">
        <v>2</v>
      </c>
      <c r="C22" t="s">
        <v>3</v>
      </c>
      <c r="D22" s="5" t="s">
        <v>18</v>
      </c>
      <c r="E22" s="5" t="s">
        <v>19</v>
      </c>
      <c r="F22" t="s">
        <v>20</v>
      </c>
      <c r="G22"/>
      <c r="H22" s="5" t="s">
        <v>21</v>
      </c>
      <c r="I22" s="5" t="s">
        <v>22</v>
      </c>
      <c r="J22" s="5" t="s">
        <v>23</v>
      </c>
    </row>
    <row r="23" spans="1:10">
      <c r="A23" s="5" t="s">
        <v>24</v>
      </c>
      <c r="B23" s="5">
        <v>1.008</v>
      </c>
      <c r="C23" s="10">
        <f>C8*(2*B23/B8)</f>
        <v>0</v>
      </c>
      <c r="D23" s="11">
        <f t="shared" ref="D23:D37" si="1">100*C23</f>
        <v>0</v>
      </c>
      <c r="E23" s="12">
        <f t="shared" ref="E23:E37" si="2">D23/B23</f>
        <v>0</v>
      </c>
      <c r="F23" s="6">
        <f t="shared" ref="F23:F37" si="3">E23/$E$39</f>
        <v>0</v>
      </c>
      <c r="G23" s="11">
        <f t="shared" ref="G23:G37" si="4">ROUND(F23,8)</f>
        <v>0</v>
      </c>
      <c r="H23" s="5">
        <v>1</v>
      </c>
      <c r="I23" s="5">
        <f t="shared" ref="I23:I37" si="5">F23*H23</f>
        <v>0</v>
      </c>
      <c r="J23" s="5">
        <f t="shared" ref="J23:J37" si="6">F23*B23</f>
        <v>0</v>
      </c>
    </row>
    <row r="24" spans="1:10">
      <c r="A24" s="5" t="s">
        <v>25</v>
      </c>
      <c r="B24" s="5">
        <v>16</v>
      </c>
      <c r="C24" s="10">
        <f>C19+C8*(B24/B8)</f>
        <v>0.47269887050820658</v>
      </c>
      <c r="D24" s="11">
        <f t="shared" si="1"/>
        <v>47.269887050820657</v>
      </c>
      <c r="E24" s="12">
        <f t="shared" si="2"/>
        <v>2.954367940676291</v>
      </c>
      <c r="F24" s="6">
        <f t="shared" si="3"/>
        <v>0.61538461538461531</v>
      </c>
      <c r="G24" s="11">
        <f t="shared" si="4"/>
        <v>0.61538462000000005</v>
      </c>
      <c r="H24" s="5">
        <v>8</v>
      </c>
      <c r="I24" s="5">
        <f t="shared" si="5"/>
        <v>4.9230769230769225</v>
      </c>
      <c r="J24" s="5">
        <f t="shared" si="6"/>
        <v>9.8461538461538449</v>
      </c>
    </row>
    <row r="25" spans="1:10">
      <c r="A25" s="5" t="s">
        <v>4</v>
      </c>
      <c r="B25" s="5">
        <v>22.991</v>
      </c>
      <c r="C25" s="10">
        <f>C5</f>
        <v>4.2452420827555397E-2</v>
      </c>
      <c r="D25" s="11">
        <f t="shared" si="1"/>
        <v>4.2452420827555395</v>
      </c>
      <c r="E25" s="12">
        <f t="shared" si="2"/>
        <v>0.18464799629226825</v>
      </c>
      <c r="F25" s="6">
        <f t="shared" si="3"/>
        <v>3.8461538461538471E-2</v>
      </c>
      <c r="G25" s="11">
        <f t="shared" si="4"/>
        <v>3.8461540000000002E-2</v>
      </c>
      <c r="H25" s="5">
        <v>11</v>
      </c>
      <c r="I25" s="5">
        <f t="shared" si="5"/>
        <v>0.42307692307692318</v>
      </c>
      <c r="J25" s="5">
        <f t="shared" si="6"/>
        <v>0.88426923076923092</v>
      </c>
    </row>
    <row r="26" spans="1:10">
      <c r="A26" s="5" t="s">
        <v>5</v>
      </c>
      <c r="B26" s="5">
        <v>55.85</v>
      </c>
      <c r="C26" s="10">
        <f>C6</f>
        <v>0</v>
      </c>
      <c r="D26" s="11">
        <f t="shared" si="1"/>
        <v>0</v>
      </c>
      <c r="E26" s="12">
        <f t="shared" si="2"/>
        <v>0</v>
      </c>
      <c r="F26" s="6">
        <f t="shared" si="3"/>
        <v>0</v>
      </c>
      <c r="G26" s="11">
        <f t="shared" si="4"/>
        <v>0</v>
      </c>
      <c r="H26" s="5">
        <v>26</v>
      </c>
      <c r="I26" s="5">
        <f t="shared" si="5"/>
        <v>0</v>
      </c>
      <c r="J26" s="5">
        <f t="shared" si="6"/>
        <v>0</v>
      </c>
    </row>
    <row r="27" spans="1:10">
      <c r="A27" s="5" t="s">
        <v>6</v>
      </c>
      <c r="B27" s="5">
        <v>24.32</v>
      </c>
      <c r="C27" s="10">
        <f>C7</f>
        <v>0</v>
      </c>
      <c r="D27" s="11">
        <f t="shared" si="1"/>
        <v>0</v>
      </c>
      <c r="E27" s="12">
        <f t="shared" si="2"/>
        <v>0</v>
      </c>
      <c r="F27" s="6">
        <f t="shared" si="3"/>
        <v>0</v>
      </c>
      <c r="G27" s="11">
        <f t="shared" si="4"/>
        <v>0</v>
      </c>
      <c r="H27" s="5">
        <v>12</v>
      </c>
      <c r="I27" s="5">
        <f t="shared" si="5"/>
        <v>0</v>
      </c>
      <c r="J27" s="5">
        <f t="shared" si="6"/>
        <v>0</v>
      </c>
    </row>
    <row r="28" spans="1:10">
      <c r="A28" s="5" t="s">
        <v>8</v>
      </c>
      <c r="B28" s="5">
        <v>26.98</v>
      </c>
      <c r="C28" s="10">
        <f t="shared" ref="C28:C37" si="7">C9</f>
        <v>9.9636058799307953E-2</v>
      </c>
      <c r="D28" s="11">
        <f t="shared" si="1"/>
        <v>9.963605879930796</v>
      </c>
      <c r="E28" s="12">
        <f t="shared" si="2"/>
        <v>0.36929599258453655</v>
      </c>
      <c r="F28" s="6">
        <f t="shared" si="3"/>
        <v>7.6923076923076955E-2</v>
      </c>
      <c r="G28" s="11">
        <f t="shared" si="4"/>
        <v>7.6923080000000005E-2</v>
      </c>
      <c r="H28" s="5">
        <v>13</v>
      </c>
      <c r="I28" s="5">
        <f t="shared" si="5"/>
        <v>1.0000000000000004</v>
      </c>
      <c r="J28" s="5">
        <f t="shared" si="6"/>
        <v>2.0753846153846163</v>
      </c>
    </row>
    <row r="29" spans="1:10">
      <c r="A29" s="5" t="s">
        <v>9</v>
      </c>
      <c r="B29" s="5">
        <v>10.82</v>
      </c>
      <c r="C29" s="10">
        <f t="shared" si="7"/>
        <v>0</v>
      </c>
      <c r="D29" s="11">
        <f t="shared" si="1"/>
        <v>0</v>
      </c>
      <c r="E29" s="12">
        <f t="shared" si="2"/>
        <v>0</v>
      </c>
      <c r="F29" s="6">
        <f t="shared" si="3"/>
        <v>0</v>
      </c>
      <c r="G29" s="11">
        <f t="shared" si="4"/>
        <v>0</v>
      </c>
      <c r="H29" s="5">
        <v>5</v>
      </c>
      <c r="I29" s="5">
        <f t="shared" si="5"/>
        <v>0</v>
      </c>
      <c r="J29" s="5">
        <f t="shared" si="6"/>
        <v>0</v>
      </c>
    </row>
    <row r="30" spans="1:10">
      <c r="A30" s="5" t="s">
        <v>10</v>
      </c>
      <c r="B30" s="5">
        <v>28.09</v>
      </c>
      <c r="C30" s="10">
        <f t="shared" si="7"/>
        <v>0.31120573295098891</v>
      </c>
      <c r="D30" s="11">
        <f t="shared" si="1"/>
        <v>31.12057329509889</v>
      </c>
      <c r="E30" s="12">
        <f t="shared" si="2"/>
        <v>1.1078879777536095</v>
      </c>
      <c r="F30" s="6">
        <f t="shared" si="3"/>
        <v>0.23076923076923081</v>
      </c>
      <c r="G30" s="11">
        <f t="shared" si="4"/>
        <v>0.23076922999999999</v>
      </c>
      <c r="H30" s="5">
        <v>14</v>
      </c>
      <c r="I30" s="5">
        <f t="shared" si="5"/>
        <v>3.2307692307692313</v>
      </c>
      <c r="J30" s="5">
        <f t="shared" si="6"/>
        <v>6.4823076923076934</v>
      </c>
    </row>
    <row r="31" spans="1:10">
      <c r="A31" s="5" t="s">
        <v>11</v>
      </c>
      <c r="B31" s="5">
        <v>157.25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6">
        <f t="shared" si="3"/>
        <v>0</v>
      </c>
      <c r="G31" s="11">
        <f t="shared" si="4"/>
        <v>0</v>
      </c>
      <c r="H31" s="5">
        <v>64</v>
      </c>
      <c r="I31" s="5">
        <f t="shared" si="5"/>
        <v>0</v>
      </c>
      <c r="J31" s="5">
        <f t="shared" si="6"/>
        <v>0</v>
      </c>
    </row>
    <row r="32" spans="1:10">
      <c r="A32" s="5" t="s">
        <v>12</v>
      </c>
      <c r="B32" s="5">
        <v>39.1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6">
        <f t="shared" si="3"/>
        <v>0</v>
      </c>
      <c r="G32" s="11">
        <f t="shared" si="4"/>
        <v>0</v>
      </c>
      <c r="H32" s="5">
        <v>19</v>
      </c>
      <c r="I32" s="5">
        <f t="shared" si="5"/>
        <v>0</v>
      </c>
      <c r="J32" s="5">
        <f t="shared" si="6"/>
        <v>0</v>
      </c>
    </row>
    <row r="33" spans="1:10">
      <c r="A33" s="5" t="s">
        <v>13</v>
      </c>
      <c r="B33" s="5">
        <v>232.03800000000001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6">
        <f t="shared" si="3"/>
        <v>0</v>
      </c>
      <c r="G33" s="11">
        <f t="shared" si="4"/>
        <v>0</v>
      </c>
      <c r="H33" s="5">
        <v>90</v>
      </c>
      <c r="I33" s="5">
        <f t="shared" si="5"/>
        <v>0</v>
      </c>
      <c r="J33" s="5">
        <f t="shared" si="6"/>
        <v>0</v>
      </c>
    </row>
    <row r="34" spans="1:10">
      <c r="A34" s="5" t="s">
        <v>14</v>
      </c>
      <c r="B34" s="5">
        <v>40.08</v>
      </c>
      <c r="C34" s="10">
        <f t="shared" si="7"/>
        <v>7.4006916913941123E-2</v>
      </c>
      <c r="D34" s="11">
        <f t="shared" si="1"/>
        <v>7.4006916913941119</v>
      </c>
      <c r="E34" s="12">
        <f t="shared" si="2"/>
        <v>0.18464799629226827</v>
      </c>
      <c r="F34" s="6">
        <f t="shared" si="3"/>
        <v>3.8461538461538478E-2</v>
      </c>
      <c r="G34" s="11">
        <f t="shared" si="4"/>
        <v>3.8461540000000002E-2</v>
      </c>
      <c r="H34" s="5">
        <v>20</v>
      </c>
      <c r="I34" s="5">
        <f t="shared" si="5"/>
        <v>0.76923076923076961</v>
      </c>
      <c r="J34" s="5">
        <f t="shared" si="6"/>
        <v>1.5415384615384622</v>
      </c>
    </row>
    <row r="35" spans="1:10">
      <c r="A35" s="5" t="s">
        <v>15</v>
      </c>
      <c r="B35" s="5">
        <v>238.029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6">
        <f t="shared" si="3"/>
        <v>0</v>
      </c>
      <c r="G35" s="11">
        <f t="shared" si="4"/>
        <v>0</v>
      </c>
      <c r="H35" s="5">
        <v>92</v>
      </c>
      <c r="I35" s="5">
        <f t="shared" si="5"/>
        <v>0</v>
      </c>
      <c r="J35" s="5">
        <f t="shared" si="6"/>
        <v>0</v>
      </c>
    </row>
    <row r="36" spans="1:10">
      <c r="A36" s="5" t="s">
        <v>42</v>
      </c>
      <c r="B36" s="5">
        <v>32.066000000000003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6">
        <f t="shared" si="3"/>
        <v>0</v>
      </c>
      <c r="G36" s="11">
        <f t="shared" si="4"/>
        <v>0</v>
      </c>
      <c r="H36" s="5">
        <v>16</v>
      </c>
      <c r="I36" s="5">
        <f t="shared" si="5"/>
        <v>0</v>
      </c>
      <c r="J36" s="5">
        <f t="shared" si="6"/>
        <v>0</v>
      </c>
    </row>
    <row r="37" spans="1:10">
      <c r="A37" s="5" t="s">
        <v>16</v>
      </c>
      <c r="B37" s="5">
        <v>47.9</v>
      </c>
      <c r="C37" s="10">
        <f t="shared" si="7"/>
        <v>0</v>
      </c>
      <c r="D37" s="11">
        <f t="shared" si="1"/>
        <v>0</v>
      </c>
      <c r="E37" s="12">
        <f t="shared" si="2"/>
        <v>0</v>
      </c>
      <c r="F37" s="6">
        <f t="shared" si="3"/>
        <v>0</v>
      </c>
      <c r="G37" s="11">
        <f t="shared" si="4"/>
        <v>0</v>
      </c>
      <c r="H37" s="5">
        <v>22</v>
      </c>
      <c r="I37" s="5">
        <f t="shared" si="5"/>
        <v>0</v>
      </c>
      <c r="J37" s="5">
        <f t="shared" si="6"/>
        <v>0</v>
      </c>
    </row>
    <row r="38" spans="1:10">
      <c r="A38"/>
      <c r="B38"/>
      <c r="C38"/>
      <c r="D38"/>
      <c r="E38"/>
      <c r="F38" s="7"/>
      <c r="G38"/>
    </row>
    <row r="39" spans="1:10">
      <c r="A39" s="5" t="s">
        <v>26</v>
      </c>
      <c r="B39"/>
      <c r="C39" s="5">
        <f>SUM(C23:C37)</f>
        <v>0.99999999999999989</v>
      </c>
      <c r="D39" s="5">
        <f>SUM(D23:D37)</f>
        <v>100</v>
      </c>
      <c r="E39" s="15">
        <f>SUM(E23:E37)</f>
        <v>4.8008479035989735</v>
      </c>
      <c r="F39" s="15">
        <f>SUM(F23:F37)</f>
        <v>1</v>
      </c>
      <c r="G39" s="5">
        <f>SUM(G23:G37)</f>
        <v>1.0000000099999999</v>
      </c>
    </row>
    <row r="40" spans="1:10">
      <c r="A40"/>
      <c r="B40"/>
    </row>
    <row r="41" spans="1:10">
      <c r="A41" s="5" t="str">
        <f>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"&amp;A37&amp;" "&amp;G37&amp;" "&amp;A36&amp;" "&amp;G36</f>
        <v>H 0 O 0.61538462 Na 0.03846154 Fe 0 Mg 0 Al 0.07692308 B 0 Si 0.23076923 Gd 0 K 0 Th 0 Ca 0.03846154 U 0 Ti 0 S 0</v>
      </c>
      <c r="B41"/>
    </row>
    <row r="42" spans="1:10">
      <c r="A42"/>
      <c r="B42"/>
    </row>
    <row r="43" spans="1:10">
      <c r="A43" s="5" t="s">
        <v>27</v>
      </c>
      <c r="B43" s="5">
        <v>2.68</v>
      </c>
    </row>
    <row r="44" spans="1:10">
      <c r="A44" s="5" t="s">
        <v>28</v>
      </c>
      <c r="B44" s="5">
        <f>100*B43*C23/0.1119</f>
        <v>0</v>
      </c>
    </row>
    <row r="45" spans="1:10">
      <c r="A45" s="5" t="s">
        <v>29</v>
      </c>
      <c r="B45" s="5">
        <f>2*SUM(I23:I37)*B43/SUM(J23:J37)</f>
        <v>2.6623286697404409</v>
      </c>
    </row>
    <row r="46" spans="1:10">
      <c r="A46" s="5" t="s">
        <v>30</v>
      </c>
      <c r="B46" s="5">
        <f>1.0704*B45-0.1883</f>
        <v>2.6614566080901683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zoomScaleNormal="100" workbookViewId="0">
      <selection activeCell="C5" sqref="C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47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 t="s">
        <v>2</v>
      </c>
      <c r="F4"/>
      <c r="G4"/>
      <c r="H4"/>
      <c r="I4"/>
      <c r="J4"/>
    </row>
    <row r="5" spans="1:10">
      <c r="A5" s="5" t="s">
        <v>4</v>
      </c>
      <c r="B5" s="5">
        <f>B26</f>
        <v>22.991</v>
      </c>
      <c r="C5" s="16">
        <v>0</v>
      </c>
      <c r="D5"/>
      <c r="E5">
        <f>B15+B19+3*B20</f>
        <v>100.09099999999999</v>
      </c>
      <c r="F5" s="7"/>
      <c r="G5"/>
      <c r="H5"/>
      <c r="I5"/>
      <c r="J5"/>
    </row>
    <row r="6" spans="1:10">
      <c r="A6" s="5" t="s">
        <v>5</v>
      </c>
      <c r="B6" s="5">
        <f>B27</f>
        <v>55.85</v>
      </c>
      <c r="C6" s="1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B28</f>
        <v>24.32</v>
      </c>
      <c r="C7" s="1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2*B24+B25</f>
        <v>18.015999999999998</v>
      </c>
      <c r="C8" s="16">
        <v>0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9" si="0">B29</f>
        <v>26.98</v>
      </c>
      <c r="C9" s="16">
        <v>0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f>B15/E5</f>
        <v>0.40043560360072333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v>0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0</v>
      </c>
      <c r="D18"/>
      <c r="E18"/>
      <c r="F18" s="7"/>
      <c r="G18"/>
      <c r="H18"/>
      <c r="I18"/>
      <c r="J18"/>
    </row>
    <row r="19" spans="1:10">
      <c r="A19" s="5" t="s">
        <v>48</v>
      </c>
      <c r="B19" s="5">
        <f t="shared" si="0"/>
        <v>12.010999999999999</v>
      </c>
      <c r="C19" s="16">
        <f>B19/E5</f>
        <v>0.12000079927266187</v>
      </c>
      <c r="D19"/>
      <c r="E19"/>
      <c r="F19" s="7"/>
      <c r="G19"/>
      <c r="H19"/>
      <c r="I19"/>
      <c r="J19"/>
    </row>
    <row r="20" spans="1:10">
      <c r="A20" s="8" t="s">
        <v>17</v>
      </c>
      <c r="B20" s="8">
        <f>B25</f>
        <v>16</v>
      </c>
      <c r="C20" s="14">
        <f>1-SUM(C5:C19)</f>
        <v>0.47956359712661478</v>
      </c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 s="7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 s="5" t="s">
        <v>2</v>
      </c>
      <c r="C23" t="s">
        <v>3</v>
      </c>
      <c r="D23" s="5" t="s">
        <v>18</v>
      </c>
      <c r="E23" s="5" t="s">
        <v>19</v>
      </c>
      <c r="F23" t="s">
        <v>20</v>
      </c>
      <c r="G23"/>
      <c r="H23" s="5" t="s">
        <v>21</v>
      </c>
      <c r="I23" s="5" t="s">
        <v>22</v>
      </c>
      <c r="J23" s="5" t="s">
        <v>23</v>
      </c>
    </row>
    <row r="24" spans="1:10">
      <c r="A24" s="5" t="s">
        <v>24</v>
      </c>
      <c r="B24" s="5">
        <v>1.008</v>
      </c>
      <c r="C24" s="10">
        <f>C8*(2*B24/B8)</f>
        <v>0</v>
      </c>
      <c r="D24" s="11">
        <f t="shared" ref="D24:D39" si="1">100*C24</f>
        <v>0</v>
      </c>
      <c r="E24" s="12">
        <f t="shared" ref="E24:E39" si="2">D24/B24</f>
        <v>0</v>
      </c>
      <c r="F24" s="17">
        <f t="shared" ref="F24:F39" si="3">E24/$E$41</f>
        <v>0</v>
      </c>
      <c r="G24" s="11">
        <f t="shared" ref="G24:G39" si="4">ROUND(F24,8)</f>
        <v>0</v>
      </c>
      <c r="H24" s="5">
        <v>1</v>
      </c>
      <c r="I24" s="5">
        <f t="shared" ref="I24:I39" si="5">F24*H24</f>
        <v>0</v>
      </c>
      <c r="J24" s="5">
        <f t="shared" ref="J24:J39" si="6">F24*B24</f>
        <v>0</v>
      </c>
    </row>
    <row r="25" spans="1:10">
      <c r="A25" s="5" t="s">
        <v>25</v>
      </c>
      <c r="B25" s="5">
        <v>16</v>
      </c>
      <c r="C25" s="10">
        <f>C20+C8*(B25/B8)</f>
        <v>0.47956359712661478</v>
      </c>
      <c r="D25" s="11">
        <f t="shared" si="1"/>
        <v>47.956359712661481</v>
      </c>
      <c r="E25" s="12">
        <f t="shared" si="2"/>
        <v>2.9972724820413426</v>
      </c>
      <c r="F25" s="17">
        <f t="shared" si="3"/>
        <v>0.6</v>
      </c>
      <c r="G25" s="11">
        <f t="shared" si="4"/>
        <v>0.6</v>
      </c>
      <c r="H25" s="5">
        <v>8</v>
      </c>
      <c r="I25" s="5">
        <f t="shared" si="5"/>
        <v>4.8</v>
      </c>
      <c r="J25" s="5">
        <f t="shared" si="6"/>
        <v>9.6</v>
      </c>
    </row>
    <row r="26" spans="1:10">
      <c r="A26" s="5" t="s">
        <v>4</v>
      </c>
      <c r="B26" s="5">
        <v>22.991</v>
      </c>
      <c r="C26" s="10">
        <f>C5</f>
        <v>0</v>
      </c>
      <c r="D26" s="11">
        <f t="shared" si="1"/>
        <v>0</v>
      </c>
      <c r="E26" s="12">
        <f t="shared" si="2"/>
        <v>0</v>
      </c>
      <c r="F26" s="17">
        <f t="shared" si="3"/>
        <v>0</v>
      </c>
      <c r="G26" s="11">
        <f t="shared" si="4"/>
        <v>0</v>
      </c>
      <c r="H26" s="5">
        <v>11</v>
      </c>
      <c r="I26" s="5">
        <f t="shared" si="5"/>
        <v>0</v>
      </c>
      <c r="J26" s="5">
        <f t="shared" si="6"/>
        <v>0</v>
      </c>
    </row>
    <row r="27" spans="1:10">
      <c r="A27" s="5" t="s">
        <v>5</v>
      </c>
      <c r="B27" s="5">
        <v>55.85</v>
      </c>
      <c r="C27" s="10">
        <f>C6</f>
        <v>0</v>
      </c>
      <c r="D27" s="11">
        <f t="shared" si="1"/>
        <v>0</v>
      </c>
      <c r="E27" s="12">
        <f t="shared" si="2"/>
        <v>0</v>
      </c>
      <c r="F27" s="17">
        <f t="shared" si="3"/>
        <v>0</v>
      </c>
      <c r="G27" s="11">
        <f t="shared" si="4"/>
        <v>0</v>
      </c>
      <c r="H27" s="5">
        <v>26</v>
      </c>
      <c r="I27" s="5">
        <f t="shared" si="5"/>
        <v>0</v>
      </c>
      <c r="J27" s="5">
        <f t="shared" si="6"/>
        <v>0</v>
      </c>
    </row>
    <row r="28" spans="1:10">
      <c r="A28" s="5" t="s">
        <v>6</v>
      </c>
      <c r="B28" s="5">
        <v>24.32</v>
      </c>
      <c r="C28" s="10">
        <f>C7</f>
        <v>0</v>
      </c>
      <c r="D28" s="11">
        <f t="shared" si="1"/>
        <v>0</v>
      </c>
      <c r="E28" s="12">
        <f t="shared" si="2"/>
        <v>0</v>
      </c>
      <c r="F28" s="17">
        <f t="shared" si="3"/>
        <v>0</v>
      </c>
      <c r="G28" s="11">
        <f t="shared" si="4"/>
        <v>0</v>
      </c>
      <c r="H28" s="5">
        <v>12</v>
      </c>
      <c r="I28" s="5">
        <f t="shared" si="5"/>
        <v>0</v>
      </c>
      <c r="J28" s="5">
        <f t="shared" si="6"/>
        <v>0</v>
      </c>
    </row>
    <row r="29" spans="1:10">
      <c r="A29" s="5" t="s">
        <v>8</v>
      </c>
      <c r="B29" s="5">
        <v>26.98</v>
      </c>
      <c r="C29" s="10">
        <f t="shared" ref="C29:C39" si="7">C9</f>
        <v>0</v>
      </c>
      <c r="D29" s="11">
        <f t="shared" si="1"/>
        <v>0</v>
      </c>
      <c r="E29" s="12">
        <f t="shared" si="2"/>
        <v>0</v>
      </c>
      <c r="F29" s="17">
        <f t="shared" si="3"/>
        <v>0</v>
      </c>
      <c r="G29" s="11">
        <f t="shared" si="4"/>
        <v>0</v>
      </c>
      <c r="H29" s="5">
        <v>13</v>
      </c>
      <c r="I29" s="5">
        <f t="shared" si="5"/>
        <v>0</v>
      </c>
      <c r="J29" s="5">
        <f t="shared" si="6"/>
        <v>0</v>
      </c>
    </row>
    <row r="30" spans="1:10">
      <c r="A30" s="5" t="s">
        <v>9</v>
      </c>
      <c r="B30" s="5">
        <v>10.82</v>
      </c>
      <c r="C30" s="10">
        <f t="shared" si="7"/>
        <v>0</v>
      </c>
      <c r="D30" s="11">
        <f t="shared" si="1"/>
        <v>0</v>
      </c>
      <c r="E30" s="12">
        <f t="shared" si="2"/>
        <v>0</v>
      </c>
      <c r="F30" s="17">
        <f t="shared" si="3"/>
        <v>0</v>
      </c>
      <c r="G30" s="11">
        <f t="shared" si="4"/>
        <v>0</v>
      </c>
      <c r="H30" s="5">
        <v>5</v>
      </c>
      <c r="I30" s="5">
        <f t="shared" si="5"/>
        <v>0</v>
      </c>
      <c r="J30" s="5">
        <f t="shared" si="6"/>
        <v>0</v>
      </c>
    </row>
    <row r="31" spans="1:10">
      <c r="A31" s="5" t="s">
        <v>10</v>
      </c>
      <c r="B31" s="5">
        <v>28.09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17">
        <f t="shared" si="3"/>
        <v>0</v>
      </c>
      <c r="G31" s="11">
        <f t="shared" si="4"/>
        <v>0</v>
      </c>
      <c r="H31" s="5">
        <v>14</v>
      </c>
      <c r="I31" s="5">
        <f t="shared" si="5"/>
        <v>0</v>
      </c>
      <c r="J31" s="5">
        <f t="shared" si="6"/>
        <v>0</v>
      </c>
    </row>
    <row r="32" spans="1:10">
      <c r="A32" s="5" t="s">
        <v>11</v>
      </c>
      <c r="B32" s="5">
        <v>157.25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17">
        <f t="shared" si="3"/>
        <v>0</v>
      </c>
      <c r="G32" s="11">
        <f t="shared" si="4"/>
        <v>0</v>
      </c>
      <c r="H32" s="5">
        <v>64</v>
      </c>
      <c r="I32" s="5">
        <f t="shared" si="5"/>
        <v>0</v>
      </c>
      <c r="J32" s="5">
        <f t="shared" si="6"/>
        <v>0</v>
      </c>
    </row>
    <row r="33" spans="1:10">
      <c r="A33" s="5" t="s">
        <v>12</v>
      </c>
      <c r="B33" s="5">
        <v>39.1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17">
        <f t="shared" si="3"/>
        <v>0</v>
      </c>
      <c r="G33" s="11">
        <f t="shared" si="4"/>
        <v>0</v>
      </c>
      <c r="H33" s="5">
        <v>19</v>
      </c>
      <c r="I33" s="5">
        <f t="shared" si="5"/>
        <v>0</v>
      </c>
      <c r="J33" s="5">
        <f t="shared" si="6"/>
        <v>0</v>
      </c>
    </row>
    <row r="34" spans="1:10">
      <c r="A34" s="5" t="s">
        <v>13</v>
      </c>
      <c r="B34" s="5">
        <v>232.03800000000001</v>
      </c>
      <c r="C34" s="10">
        <f t="shared" si="7"/>
        <v>0</v>
      </c>
      <c r="D34" s="11">
        <f t="shared" si="1"/>
        <v>0</v>
      </c>
      <c r="E34" s="12">
        <f t="shared" si="2"/>
        <v>0</v>
      </c>
      <c r="F34" s="17">
        <f t="shared" si="3"/>
        <v>0</v>
      </c>
      <c r="G34" s="11">
        <f t="shared" si="4"/>
        <v>0</v>
      </c>
      <c r="H34" s="5">
        <v>90</v>
      </c>
      <c r="I34" s="5">
        <f t="shared" si="5"/>
        <v>0</v>
      </c>
      <c r="J34" s="5">
        <f t="shared" si="6"/>
        <v>0</v>
      </c>
    </row>
    <row r="35" spans="1:10">
      <c r="A35" s="5" t="s">
        <v>14</v>
      </c>
      <c r="B35" s="5">
        <v>40.08</v>
      </c>
      <c r="C35" s="10">
        <f t="shared" si="7"/>
        <v>0.40043560360072333</v>
      </c>
      <c r="D35" s="11">
        <f t="shared" si="1"/>
        <v>40.043560360072334</v>
      </c>
      <c r="E35" s="12">
        <f t="shared" si="2"/>
        <v>0.99909082734711419</v>
      </c>
      <c r="F35" s="17">
        <f t="shared" si="3"/>
        <v>0.2</v>
      </c>
      <c r="G35" s="11">
        <f t="shared" si="4"/>
        <v>0.2</v>
      </c>
      <c r="H35" s="5">
        <v>20</v>
      </c>
      <c r="I35" s="5">
        <f t="shared" si="5"/>
        <v>4</v>
      </c>
      <c r="J35" s="5">
        <f t="shared" si="6"/>
        <v>8.016</v>
      </c>
    </row>
    <row r="36" spans="1:10">
      <c r="A36" s="5" t="s">
        <v>15</v>
      </c>
      <c r="B36" s="5">
        <v>238.029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17">
        <f t="shared" si="3"/>
        <v>0</v>
      </c>
      <c r="G36" s="11">
        <f t="shared" si="4"/>
        <v>0</v>
      </c>
      <c r="H36" s="5">
        <v>92</v>
      </c>
      <c r="I36" s="5">
        <f t="shared" si="5"/>
        <v>0</v>
      </c>
      <c r="J36" s="5">
        <f t="shared" si="6"/>
        <v>0</v>
      </c>
    </row>
    <row r="37" spans="1:10">
      <c r="A37" s="5" t="s">
        <v>42</v>
      </c>
      <c r="B37" s="5">
        <v>32.066000000000003</v>
      </c>
      <c r="C37" s="10">
        <f t="shared" si="7"/>
        <v>0</v>
      </c>
      <c r="D37" s="11">
        <f t="shared" si="1"/>
        <v>0</v>
      </c>
      <c r="E37" s="12">
        <f t="shared" si="2"/>
        <v>0</v>
      </c>
      <c r="F37" s="17">
        <f t="shared" si="3"/>
        <v>0</v>
      </c>
      <c r="G37" s="11">
        <f t="shared" si="4"/>
        <v>0</v>
      </c>
      <c r="H37" s="5">
        <v>16</v>
      </c>
      <c r="I37" s="5">
        <f t="shared" si="5"/>
        <v>0</v>
      </c>
      <c r="J37" s="5">
        <f t="shared" si="6"/>
        <v>0</v>
      </c>
    </row>
    <row r="38" spans="1:10">
      <c r="A38" s="5" t="s">
        <v>16</v>
      </c>
      <c r="B38" s="5">
        <v>47.9</v>
      </c>
      <c r="C38" s="10">
        <f t="shared" si="7"/>
        <v>0</v>
      </c>
      <c r="D38" s="11">
        <f t="shared" si="1"/>
        <v>0</v>
      </c>
      <c r="E38" s="12">
        <f t="shared" si="2"/>
        <v>0</v>
      </c>
      <c r="F38" s="17">
        <f t="shared" si="3"/>
        <v>0</v>
      </c>
      <c r="G38" s="11">
        <f t="shared" si="4"/>
        <v>0</v>
      </c>
      <c r="H38" s="5">
        <v>22</v>
      </c>
      <c r="I38" s="5">
        <f t="shared" si="5"/>
        <v>0</v>
      </c>
      <c r="J38" s="5">
        <f t="shared" si="6"/>
        <v>0</v>
      </c>
    </row>
    <row r="39" spans="1:10">
      <c r="A39" s="5" t="s">
        <v>48</v>
      </c>
      <c r="B39" s="5">
        <v>12.010999999999999</v>
      </c>
      <c r="C39" s="10">
        <f t="shared" si="7"/>
        <v>0.12000079927266187</v>
      </c>
      <c r="D39" s="11">
        <f t="shared" si="1"/>
        <v>12.000079927266187</v>
      </c>
      <c r="E39" s="12">
        <f t="shared" si="2"/>
        <v>0.99909082734711407</v>
      </c>
      <c r="F39" s="17">
        <f t="shared" si="3"/>
        <v>0.19999999999999998</v>
      </c>
      <c r="G39" s="11">
        <f t="shared" si="4"/>
        <v>0.2</v>
      </c>
      <c r="H39" s="5">
        <v>6</v>
      </c>
      <c r="I39" s="5">
        <f t="shared" si="5"/>
        <v>1.2</v>
      </c>
      <c r="J39" s="5">
        <f t="shared" si="6"/>
        <v>2.4021999999999997</v>
      </c>
    </row>
    <row r="40" spans="1:10">
      <c r="A40"/>
      <c r="B40"/>
      <c r="C40"/>
      <c r="D40"/>
      <c r="E40"/>
      <c r="F40" s="7"/>
      <c r="G40"/>
    </row>
    <row r="41" spans="1:10">
      <c r="A41" s="5" t="s">
        <v>26</v>
      </c>
      <c r="B41"/>
      <c r="C41" s="5">
        <f>SUM(C24:C39)</f>
        <v>0.99999999999999989</v>
      </c>
      <c r="D41" s="5">
        <f>SUM(D24:D39)</f>
        <v>100</v>
      </c>
      <c r="E41" s="15">
        <f>SUM(E24:E39)</f>
        <v>4.9954541367355709</v>
      </c>
      <c r="F41" s="15">
        <f>SUM(F24:F39)</f>
        <v>1</v>
      </c>
      <c r="G41" s="5">
        <f>SUM(G24:G39)</f>
        <v>1</v>
      </c>
    </row>
    <row r="42" spans="1:10">
      <c r="A42"/>
      <c r="B42"/>
    </row>
    <row r="43" spans="1:10">
      <c r="A43" s="5" t="str">
        <f>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"&amp;A36&amp;" "&amp;G36&amp;" "&amp;A37&amp;" "&amp;G37&amp;" "&amp;A39&amp;" "&amp;G39&amp;" "&amp;A38&amp;" "&amp;G38&amp;" "&amp;A39&amp;" "&amp;G39</f>
        <v>O 0.6 Na 0 Fe 0 Mg 0 Al 0 B 0 Si 0 Gd 0 K 0 Th 0 Ca 0.2 U 0 S 0 C 0.2 Ti 0 C 0.2</v>
      </c>
      <c r="B43"/>
    </row>
    <row r="44" spans="1:10">
      <c r="A44"/>
      <c r="B44"/>
    </row>
    <row r="45" spans="1:10">
      <c r="A45" s="5" t="s">
        <v>27</v>
      </c>
      <c r="B45" s="5">
        <v>2.71</v>
      </c>
    </row>
    <row r="46" spans="1:10">
      <c r="A46" s="5" t="s">
        <v>28</v>
      </c>
      <c r="B46" s="5">
        <f>100*B45*C24/0.1119</f>
        <v>0</v>
      </c>
    </row>
    <row r="47" spans="1:10">
      <c r="A47" s="5" t="s">
        <v>29</v>
      </c>
      <c r="B47" s="5">
        <f>2*SUM(I24:I38)*B45/SUM(J24:J38)</f>
        <v>2.7075386012715716</v>
      </c>
    </row>
    <row r="48" spans="1:10">
      <c r="A48" s="5" t="s">
        <v>30</v>
      </c>
      <c r="B48" s="5">
        <f>1.0704*B47-0.1883</f>
        <v>2.7098493188010906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zoomScaleNormal="100" workbookViewId="0">
      <selection activeCell="C5" sqref="C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49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 t="s">
        <v>2</v>
      </c>
      <c r="F4"/>
      <c r="G4"/>
      <c r="H4"/>
      <c r="I4"/>
      <c r="J4"/>
    </row>
    <row r="5" spans="1:10">
      <c r="A5" s="5" t="s">
        <v>4</v>
      </c>
      <c r="B5" s="5">
        <f>B26</f>
        <v>22.991</v>
      </c>
      <c r="C5" s="16">
        <v>0</v>
      </c>
      <c r="D5"/>
      <c r="E5">
        <f>B6+B19+3*B20</f>
        <v>115.861</v>
      </c>
      <c r="F5" s="7"/>
      <c r="G5"/>
      <c r="H5"/>
      <c r="I5"/>
      <c r="J5"/>
    </row>
    <row r="6" spans="1:10">
      <c r="A6" s="5" t="s">
        <v>5</v>
      </c>
      <c r="B6" s="5">
        <f>B27</f>
        <v>55.85</v>
      </c>
      <c r="C6" s="16">
        <f>B6/E5</f>
        <v>0.48204313789799846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B28</f>
        <v>24.32</v>
      </c>
      <c r="C7" s="1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2*B24+B25</f>
        <v>18.015999999999998</v>
      </c>
      <c r="C8" s="16">
        <v>0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9" si="0">B29</f>
        <v>26.98</v>
      </c>
      <c r="C9" s="16">
        <v>0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v>0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0</v>
      </c>
      <c r="D18"/>
      <c r="E18"/>
      <c r="F18" s="7"/>
      <c r="G18"/>
      <c r="H18"/>
      <c r="I18"/>
      <c r="J18"/>
    </row>
    <row r="19" spans="1:10">
      <c r="A19" s="5" t="s">
        <v>48</v>
      </c>
      <c r="B19" s="5">
        <f t="shared" si="0"/>
        <v>12.010999999999999</v>
      </c>
      <c r="C19" s="16">
        <f>B19/E5</f>
        <v>0.10366732550211027</v>
      </c>
      <c r="D19"/>
      <c r="E19"/>
      <c r="F19" s="7"/>
      <c r="G19"/>
      <c r="H19"/>
      <c r="I19"/>
      <c r="J19"/>
    </row>
    <row r="20" spans="1:10">
      <c r="A20" s="8" t="s">
        <v>17</v>
      </c>
      <c r="B20" s="8">
        <f>B25</f>
        <v>16</v>
      </c>
      <c r="C20" s="14">
        <f>1-SUM(C5:C19)</f>
        <v>0.41428953659989132</v>
      </c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 s="7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 s="5" t="s">
        <v>2</v>
      </c>
      <c r="C23" t="s">
        <v>3</v>
      </c>
      <c r="D23" s="5" t="s">
        <v>18</v>
      </c>
      <c r="E23" s="5" t="s">
        <v>19</v>
      </c>
      <c r="F23" t="s">
        <v>20</v>
      </c>
      <c r="G23"/>
      <c r="H23" s="5" t="s">
        <v>21</v>
      </c>
      <c r="I23" s="5" t="s">
        <v>22</v>
      </c>
      <c r="J23" s="5" t="s">
        <v>23</v>
      </c>
    </row>
    <row r="24" spans="1:10">
      <c r="A24" s="5" t="s">
        <v>24</v>
      </c>
      <c r="B24" s="5">
        <v>1.008</v>
      </c>
      <c r="C24" s="10">
        <f>C8*(2*B24/B8)</f>
        <v>0</v>
      </c>
      <c r="D24" s="11">
        <f t="shared" ref="D24:D39" si="1">100*C24</f>
        <v>0</v>
      </c>
      <c r="E24" s="12">
        <f t="shared" ref="E24:E39" si="2">D24/B24</f>
        <v>0</v>
      </c>
      <c r="F24" s="17">
        <f t="shared" ref="F24:F39" si="3">E24/$E$41</f>
        <v>0</v>
      </c>
      <c r="G24" s="11">
        <f t="shared" ref="G24:G39" si="4">ROUND(F24,8)</f>
        <v>0</v>
      </c>
      <c r="H24" s="5">
        <v>1</v>
      </c>
      <c r="I24" s="5">
        <f t="shared" ref="I24:I39" si="5">F24*H24</f>
        <v>0</v>
      </c>
      <c r="J24" s="5">
        <f t="shared" ref="J24:J39" si="6">F24*B24</f>
        <v>0</v>
      </c>
    </row>
    <row r="25" spans="1:10">
      <c r="A25" s="5" t="s">
        <v>25</v>
      </c>
      <c r="B25" s="5">
        <v>16</v>
      </c>
      <c r="C25" s="10">
        <f>C20+C8*(B25/B8)</f>
        <v>0.41428953659989132</v>
      </c>
      <c r="D25" s="11">
        <f t="shared" si="1"/>
        <v>41.428953659989133</v>
      </c>
      <c r="E25" s="12">
        <f t="shared" si="2"/>
        <v>2.5893096037493208</v>
      </c>
      <c r="F25" s="17">
        <f t="shared" si="3"/>
        <v>0.60000000000000009</v>
      </c>
      <c r="G25" s="11">
        <f t="shared" si="4"/>
        <v>0.6</v>
      </c>
      <c r="H25" s="5">
        <v>8</v>
      </c>
      <c r="I25" s="5">
        <f t="shared" si="5"/>
        <v>4.8000000000000007</v>
      </c>
      <c r="J25" s="5">
        <f t="shared" si="6"/>
        <v>9.6000000000000014</v>
      </c>
    </row>
    <row r="26" spans="1:10">
      <c r="A26" s="5" t="s">
        <v>4</v>
      </c>
      <c r="B26" s="5">
        <v>22.991</v>
      </c>
      <c r="C26" s="10">
        <f>C5</f>
        <v>0</v>
      </c>
      <c r="D26" s="11">
        <f t="shared" si="1"/>
        <v>0</v>
      </c>
      <c r="E26" s="12">
        <f t="shared" si="2"/>
        <v>0</v>
      </c>
      <c r="F26" s="17">
        <f t="shared" si="3"/>
        <v>0</v>
      </c>
      <c r="G26" s="11">
        <f t="shared" si="4"/>
        <v>0</v>
      </c>
      <c r="H26" s="5">
        <v>11</v>
      </c>
      <c r="I26" s="5">
        <f t="shared" si="5"/>
        <v>0</v>
      </c>
      <c r="J26" s="5">
        <f t="shared" si="6"/>
        <v>0</v>
      </c>
    </row>
    <row r="27" spans="1:10">
      <c r="A27" s="5" t="s">
        <v>5</v>
      </c>
      <c r="B27" s="5">
        <v>55.85</v>
      </c>
      <c r="C27" s="10">
        <f>C6</f>
        <v>0.48204313789799846</v>
      </c>
      <c r="D27" s="11">
        <f t="shared" si="1"/>
        <v>48.204313789799848</v>
      </c>
      <c r="E27" s="12">
        <f t="shared" si="2"/>
        <v>0.86310320124977347</v>
      </c>
      <c r="F27" s="17">
        <f t="shared" si="3"/>
        <v>0.19999999999999998</v>
      </c>
      <c r="G27" s="11">
        <f t="shared" si="4"/>
        <v>0.2</v>
      </c>
      <c r="H27" s="5">
        <v>26</v>
      </c>
      <c r="I27" s="5">
        <f t="shared" si="5"/>
        <v>5.1999999999999993</v>
      </c>
      <c r="J27" s="5">
        <f t="shared" si="6"/>
        <v>11.17</v>
      </c>
    </row>
    <row r="28" spans="1:10">
      <c r="A28" s="5" t="s">
        <v>6</v>
      </c>
      <c r="B28" s="5">
        <v>24.32</v>
      </c>
      <c r="C28" s="10">
        <f>C7</f>
        <v>0</v>
      </c>
      <c r="D28" s="11">
        <f t="shared" si="1"/>
        <v>0</v>
      </c>
      <c r="E28" s="12">
        <f t="shared" si="2"/>
        <v>0</v>
      </c>
      <c r="F28" s="17">
        <f t="shared" si="3"/>
        <v>0</v>
      </c>
      <c r="G28" s="11">
        <f t="shared" si="4"/>
        <v>0</v>
      </c>
      <c r="H28" s="5">
        <v>12</v>
      </c>
      <c r="I28" s="5">
        <f t="shared" si="5"/>
        <v>0</v>
      </c>
      <c r="J28" s="5">
        <f t="shared" si="6"/>
        <v>0</v>
      </c>
    </row>
    <row r="29" spans="1:10">
      <c r="A29" s="5" t="s">
        <v>8</v>
      </c>
      <c r="B29" s="5">
        <v>26.98</v>
      </c>
      <c r="C29" s="10">
        <f t="shared" ref="C29:C39" si="7">C9</f>
        <v>0</v>
      </c>
      <c r="D29" s="11">
        <f t="shared" si="1"/>
        <v>0</v>
      </c>
      <c r="E29" s="12">
        <f t="shared" si="2"/>
        <v>0</v>
      </c>
      <c r="F29" s="17">
        <f t="shared" si="3"/>
        <v>0</v>
      </c>
      <c r="G29" s="11">
        <f t="shared" si="4"/>
        <v>0</v>
      </c>
      <c r="H29" s="5">
        <v>13</v>
      </c>
      <c r="I29" s="5">
        <f t="shared" si="5"/>
        <v>0</v>
      </c>
      <c r="J29" s="5">
        <f t="shared" si="6"/>
        <v>0</v>
      </c>
    </row>
    <row r="30" spans="1:10">
      <c r="A30" s="5" t="s">
        <v>9</v>
      </c>
      <c r="B30" s="5">
        <v>10.82</v>
      </c>
      <c r="C30" s="10">
        <f t="shared" si="7"/>
        <v>0</v>
      </c>
      <c r="D30" s="11">
        <f t="shared" si="1"/>
        <v>0</v>
      </c>
      <c r="E30" s="12">
        <f t="shared" si="2"/>
        <v>0</v>
      </c>
      <c r="F30" s="17">
        <f t="shared" si="3"/>
        <v>0</v>
      </c>
      <c r="G30" s="11">
        <f t="shared" si="4"/>
        <v>0</v>
      </c>
      <c r="H30" s="5">
        <v>5</v>
      </c>
      <c r="I30" s="5">
        <f t="shared" si="5"/>
        <v>0</v>
      </c>
      <c r="J30" s="5">
        <f t="shared" si="6"/>
        <v>0</v>
      </c>
    </row>
    <row r="31" spans="1:10">
      <c r="A31" s="5" t="s">
        <v>10</v>
      </c>
      <c r="B31" s="5">
        <v>28.09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17">
        <f t="shared" si="3"/>
        <v>0</v>
      </c>
      <c r="G31" s="11">
        <f t="shared" si="4"/>
        <v>0</v>
      </c>
      <c r="H31" s="5">
        <v>14</v>
      </c>
      <c r="I31" s="5">
        <f t="shared" si="5"/>
        <v>0</v>
      </c>
      <c r="J31" s="5">
        <f t="shared" si="6"/>
        <v>0</v>
      </c>
    </row>
    <row r="32" spans="1:10">
      <c r="A32" s="5" t="s">
        <v>11</v>
      </c>
      <c r="B32" s="5">
        <v>157.25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17">
        <f t="shared" si="3"/>
        <v>0</v>
      </c>
      <c r="G32" s="11">
        <f t="shared" si="4"/>
        <v>0</v>
      </c>
      <c r="H32" s="5">
        <v>64</v>
      </c>
      <c r="I32" s="5">
        <f t="shared" si="5"/>
        <v>0</v>
      </c>
      <c r="J32" s="5">
        <f t="shared" si="6"/>
        <v>0</v>
      </c>
    </row>
    <row r="33" spans="1:10">
      <c r="A33" s="5" t="s">
        <v>12</v>
      </c>
      <c r="B33" s="5">
        <v>39.1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17">
        <f t="shared" si="3"/>
        <v>0</v>
      </c>
      <c r="G33" s="11">
        <f t="shared" si="4"/>
        <v>0</v>
      </c>
      <c r="H33" s="5">
        <v>19</v>
      </c>
      <c r="I33" s="5">
        <f t="shared" si="5"/>
        <v>0</v>
      </c>
      <c r="J33" s="5">
        <f t="shared" si="6"/>
        <v>0</v>
      </c>
    </row>
    <row r="34" spans="1:10">
      <c r="A34" s="5" t="s">
        <v>13</v>
      </c>
      <c r="B34" s="5">
        <v>232.03800000000001</v>
      </c>
      <c r="C34" s="10">
        <f t="shared" si="7"/>
        <v>0</v>
      </c>
      <c r="D34" s="11">
        <f t="shared" si="1"/>
        <v>0</v>
      </c>
      <c r="E34" s="12">
        <f t="shared" si="2"/>
        <v>0</v>
      </c>
      <c r="F34" s="17">
        <f t="shared" si="3"/>
        <v>0</v>
      </c>
      <c r="G34" s="11">
        <f t="shared" si="4"/>
        <v>0</v>
      </c>
      <c r="H34" s="5">
        <v>90</v>
      </c>
      <c r="I34" s="5">
        <f t="shared" si="5"/>
        <v>0</v>
      </c>
      <c r="J34" s="5">
        <f t="shared" si="6"/>
        <v>0</v>
      </c>
    </row>
    <row r="35" spans="1:10">
      <c r="A35" s="5" t="s">
        <v>14</v>
      </c>
      <c r="B35" s="5">
        <v>40.08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17">
        <f t="shared" si="3"/>
        <v>0</v>
      </c>
      <c r="G35" s="11">
        <f t="shared" si="4"/>
        <v>0</v>
      </c>
      <c r="H35" s="5">
        <v>20</v>
      </c>
      <c r="I35" s="5">
        <f t="shared" si="5"/>
        <v>0</v>
      </c>
      <c r="J35" s="5">
        <f t="shared" si="6"/>
        <v>0</v>
      </c>
    </row>
    <row r="36" spans="1:10">
      <c r="A36" s="5" t="s">
        <v>15</v>
      </c>
      <c r="B36" s="5">
        <v>238.029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17">
        <f t="shared" si="3"/>
        <v>0</v>
      </c>
      <c r="G36" s="11">
        <f t="shared" si="4"/>
        <v>0</v>
      </c>
      <c r="H36" s="5">
        <v>92</v>
      </c>
      <c r="I36" s="5">
        <f t="shared" si="5"/>
        <v>0</v>
      </c>
      <c r="J36" s="5">
        <f t="shared" si="6"/>
        <v>0</v>
      </c>
    </row>
    <row r="37" spans="1:10">
      <c r="A37" s="5" t="s">
        <v>42</v>
      </c>
      <c r="B37" s="5">
        <v>32.066000000000003</v>
      </c>
      <c r="C37" s="10">
        <f t="shared" si="7"/>
        <v>0</v>
      </c>
      <c r="D37" s="11">
        <f t="shared" si="1"/>
        <v>0</v>
      </c>
      <c r="E37" s="12">
        <f t="shared" si="2"/>
        <v>0</v>
      </c>
      <c r="F37" s="17">
        <f t="shared" si="3"/>
        <v>0</v>
      </c>
      <c r="G37" s="11">
        <f t="shared" si="4"/>
        <v>0</v>
      </c>
      <c r="H37" s="5">
        <v>16</v>
      </c>
      <c r="I37" s="5">
        <f t="shared" si="5"/>
        <v>0</v>
      </c>
      <c r="J37" s="5">
        <f t="shared" si="6"/>
        <v>0</v>
      </c>
    </row>
    <row r="38" spans="1:10">
      <c r="A38" s="5" t="s">
        <v>16</v>
      </c>
      <c r="B38" s="5">
        <v>47.9</v>
      </c>
      <c r="C38" s="10">
        <f t="shared" si="7"/>
        <v>0</v>
      </c>
      <c r="D38" s="11">
        <f t="shared" si="1"/>
        <v>0</v>
      </c>
      <c r="E38" s="12">
        <f t="shared" si="2"/>
        <v>0</v>
      </c>
      <c r="F38" s="17">
        <f t="shared" si="3"/>
        <v>0</v>
      </c>
      <c r="G38" s="11">
        <f t="shared" si="4"/>
        <v>0</v>
      </c>
      <c r="H38" s="5">
        <v>22</v>
      </c>
      <c r="I38" s="5">
        <f t="shared" si="5"/>
        <v>0</v>
      </c>
      <c r="J38" s="5">
        <f t="shared" si="6"/>
        <v>0</v>
      </c>
    </row>
    <row r="39" spans="1:10">
      <c r="A39" s="5" t="s">
        <v>48</v>
      </c>
      <c r="B39" s="5">
        <v>12.010999999999999</v>
      </c>
      <c r="C39" s="10">
        <f t="shared" si="7"/>
        <v>0.10366732550211027</v>
      </c>
      <c r="D39" s="11">
        <f t="shared" si="1"/>
        <v>10.366732550211028</v>
      </c>
      <c r="E39" s="12">
        <f t="shared" si="2"/>
        <v>0.86310320124977336</v>
      </c>
      <c r="F39" s="17">
        <f t="shared" si="3"/>
        <v>0.19999999999999996</v>
      </c>
      <c r="G39" s="11">
        <f t="shared" si="4"/>
        <v>0.2</v>
      </c>
      <c r="H39" s="5">
        <v>6</v>
      </c>
      <c r="I39" s="5">
        <f t="shared" si="5"/>
        <v>1.1999999999999997</v>
      </c>
      <c r="J39" s="5">
        <f t="shared" si="6"/>
        <v>2.4021999999999992</v>
      </c>
    </row>
    <row r="40" spans="1:10">
      <c r="A40"/>
      <c r="B40"/>
      <c r="C40"/>
      <c r="D40"/>
      <c r="E40"/>
      <c r="F40" s="7"/>
      <c r="G40"/>
    </row>
    <row r="41" spans="1:10">
      <c r="A41" s="5" t="s">
        <v>26</v>
      </c>
      <c r="B41"/>
      <c r="C41" s="5">
        <f>SUM(C24:C39)</f>
        <v>1</v>
      </c>
      <c r="D41" s="5">
        <f>SUM(D24:D39)</f>
        <v>100</v>
      </c>
      <c r="E41" s="15">
        <f>SUM(E24:E39)</f>
        <v>4.3155160062488678</v>
      </c>
      <c r="F41" s="15">
        <f>SUM(F24:F39)</f>
        <v>1</v>
      </c>
      <c r="G41" s="5">
        <f>SUM(G24:G39)</f>
        <v>1</v>
      </c>
    </row>
    <row r="42" spans="1:10">
      <c r="A42"/>
      <c r="B42"/>
    </row>
    <row r="43" spans="1:10">
      <c r="A43" s="5" t="str">
        <f>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"&amp;A36&amp;" "&amp;G36&amp;" "&amp;A37&amp;" "&amp;G37&amp;" "&amp;A39&amp;" "&amp;G39&amp;" "&amp;A38&amp;" "&amp;G38&amp;" "&amp;A39&amp;" "&amp;G39</f>
        <v>O 0.6 Na 0 Fe 0.2 Mg 0 Al 0 B 0 Si 0 Gd 0 K 0 Th 0 Ca 0 U 0 S 0 C 0.2 Ti 0 C 0.2</v>
      </c>
      <c r="B43"/>
    </row>
    <row r="44" spans="1:10">
      <c r="A44"/>
      <c r="B44"/>
    </row>
    <row r="45" spans="1:10">
      <c r="A45" s="5" t="s">
        <v>27</v>
      </c>
      <c r="B45" s="5">
        <v>3.96</v>
      </c>
    </row>
    <row r="46" spans="1:10">
      <c r="A46" s="5" t="s">
        <v>28</v>
      </c>
      <c r="B46" s="5">
        <f>100*B45*C24/0.1119</f>
        <v>0</v>
      </c>
    </row>
    <row r="47" spans="1:10">
      <c r="A47" s="5" t="s">
        <v>29</v>
      </c>
      <c r="B47" s="5">
        <f>2*SUM(I24:I38)*B45/SUM(J24:J38)</f>
        <v>3.8131921039961481</v>
      </c>
    </row>
    <row r="48" spans="1:10">
      <c r="A48" s="5" t="s">
        <v>30</v>
      </c>
      <c r="B48" s="5">
        <f>1.0704*B47-0.1883</f>
        <v>3.8933408281174771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zoomScaleNormal="100" workbookViewId="0">
      <selection activeCell="C5" sqref="C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" style="3"/>
    <col min="8" max="256" width="11.5703125" style="3"/>
    <col min="257" max="1025" width="9.85546875"/>
  </cols>
  <sheetData>
    <row r="1" spans="1:10">
      <c r="A1" s="2" t="s">
        <v>50</v>
      </c>
      <c r="B1" s="2"/>
      <c r="C1" s="2"/>
      <c r="D1" s="2"/>
      <c r="E1" s="2"/>
      <c r="F1" s="2"/>
      <c r="G1"/>
      <c r="H1"/>
      <c r="I1"/>
      <c r="J1"/>
    </row>
    <row r="2" spans="1:10">
      <c r="A2" s="1"/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 t="s">
        <v>2</v>
      </c>
      <c r="F4"/>
      <c r="G4"/>
      <c r="H4"/>
      <c r="I4"/>
      <c r="J4"/>
    </row>
    <row r="5" spans="1:10">
      <c r="A5" s="5" t="s">
        <v>4</v>
      </c>
      <c r="B5" s="5">
        <f>B26</f>
        <v>22.991</v>
      </c>
      <c r="C5" s="16">
        <v>0</v>
      </c>
      <c r="D5"/>
      <c r="E5">
        <f>2*B6+B17</f>
        <v>143.76600000000002</v>
      </c>
      <c r="F5" s="7"/>
      <c r="G5"/>
      <c r="H5"/>
      <c r="I5"/>
      <c r="J5"/>
    </row>
    <row r="6" spans="1:10">
      <c r="A6" s="5" t="s">
        <v>5</v>
      </c>
      <c r="B6" s="5">
        <f>B27</f>
        <v>55.85</v>
      </c>
      <c r="C6" s="16">
        <f>2*B6/E5</f>
        <v>0.77695699956874353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B28</f>
        <v>24.32</v>
      </c>
      <c r="C7" s="16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2*B24+B25</f>
        <v>18.015999999999998</v>
      </c>
      <c r="C8" s="16">
        <v>0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9" si="0">B29</f>
        <v>26.98</v>
      </c>
      <c r="C9" s="16">
        <v>0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0</v>
      </c>
      <c r="D16"/>
      <c r="E16"/>
      <c r="F16" s="7"/>
      <c r="G16"/>
      <c r="H16"/>
      <c r="I16"/>
      <c r="J16"/>
    </row>
    <row r="17" spans="1:10">
      <c r="A17" s="5" t="s">
        <v>42</v>
      </c>
      <c r="B17" s="5">
        <f t="shared" si="0"/>
        <v>32.066000000000003</v>
      </c>
      <c r="C17" s="16">
        <f>B17/E5</f>
        <v>0.22304300043125633</v>
      </c>
      <c r="D17"/>
      <c r="E17"/>
      <c r="F17" s="7"/>
      <c r="G17"/>
      <c r="H17"/>
      <c r="I17"/>
      <c r="J17"/>
    </row>
    <row r="18" spans="1:10">
      <c r="A18" s="5" t="s">
        <v>16</v>
      </c>
      <c r="B18" s="5">
        <f t="shared" si="0"/>
        <v>47.9</v>
      </c>
      <c r="C18" s="16">
        <v>0</v>
      </c>
      <c r="D18"/>
      <c r="E18"/>
      <c r="F18" s="7"/>
      <c r="G18"/>
      <c r="H18"/>
      <c r="I18"/>
      <c r="J18"/>
    </row>
    <row r="19" spans="1:10">
      <c r="A19" s="5" t="s">
        <v>48</v>
      </c>
      <c r="B19" s="5">
        <f t="shared" si="0"/>
        <v>12.010999999999999</v>
      </c>
      <c r="C19" s="16">
        <v>0</v>
      </c>
      <c r="D19"/>
      <c r="E19"/>
      <c r="F19" s="7"/>
      <c r="G19"/>
      <c r="H19"/>
      <c r="I19"/>
      <c r="J19"/>
    </row>
    <row r="20" spans="1:10">
      <c r="A20" s="8" t="s">
        <v>17</v>
      </c>
      <c r="B20" s="8">
        <f>B25</f>
        <v>16</v>
      </c>
      <c r="C20" s="14">
        <f>1-SUM(C5:C19)</f>
        <v>0</v>
      </c>
      <c r="D20"/>
      <c r="E20"/>
      <c r="F20" s="7"/>
      <c r="G20"/>
      <c r="H20"/>
      <c r="I20"/>
      <c r="J20"/>
    </row>
    <row r="21" spans="1:10">
      <c r="A21"/>
      <c r="B21"/>
      <c r="C21"/>
      <c r="D21"/>
      <c r="E21"/>
      <c r="F21" s="7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 s="5" t="s">
        <v>2</v>
      </c>
      <c r="C23" t="s">
        <v>3</v>
      </c>
      <c r="D23" s="5" t="s">
        <v>18</v>
      </c>
      <c r="E23" s="5" t="s">
        <v>19</v>
      </c>
      <c r="F23" t="s">
        <v>20</v>
      </c>
      <c r="G23"/>
      <c r="H23" s="5" t="s">
        <v>21</v>
      </c>
      <c r="I23" s="5" t="s">
        <v>22</v>
      </c>
      <c r="J23" s="5" t="s">
        <v>23</v>
      </c>
    </row>
    <row r="24" spans="1:10">
      <c r="A24" s="5" t="s">
        <v>24</v>
      </c>
      <c r="B24" s="5">
        <v>1.008</v>
      </c>
      <c r="C24" s="10">
        <f>C8*(2*B24/B8)</f>
        <v>0</v>
      </c>
      <c r="D24" s="11">
        <f t="shared" ref="D24:D39" si="1">100*C24</f>
        <v>0</v>
      </c>
      <c r="E24" s="12">
        <f t="shared" ref="E24:E39" si="2">D24/B24</f>
        <v>0</v>
      </c>
      <c r="F24" s="17">
        <f t="shared" ref="F24:F39" si="3">E24/$E$41</f>
        <v>0</v>
      </c>
      <c r="G24" s="11">
        <f t="shared" ref="G24:G39" si="4">ROUND(F24,8)</f>
        <v>0</v>
      </c>
      <c r="H24" s="5">
        <v>1</v>
      </c>
      <c r="I24" s="5">
        <f t="shared" ref="I24:I39" si="5">F24*H24</f>
        <v>0</v>
      </c>
      <c r="J24" s="5">
        <f t="shared" ref="J24:J39" si="6">F24*B24</f>
        <v>0</v>
      </c>
    </row>
    <row r="25" spans="1:10">
      <c r="A25" s="5" t="s">
        <v>25</v>
      </c>
      <c r="B25" s="5">
        <v>16</v>
      </c>
      <c r="C25" s="10">
        <f>C20+C8*(B25/B8)</f>
        <v>0</v>
      </c>
      <c r="D25" s="11">
        <f t="shared" si="1"/>
        <v>0</v>
      </c>
      <c r="E25" s="12">
        <f t="shared" si="2"/>
        <v>0</v>
      </c>
      <c r="F25" s="17">
        <f t="shared" si="3"/>
        <v>0</v>
      </c>
      <c r="G25" s="11">
        <f t="shared" si="4"/>
        <v>0</v>
      </c>
      <c r="H25" s="5">
        <v>8</v>
      </c>
      <c r="I25" s="5">
        <f t="shared" si="5"/>
        <v>0</v>
      </c>
      <c r="J25" s="5">
        <f t="shared" si="6"/>
        <v>0</v>
      </c>
    </row>
    <row r="26" spans="1:10">
      <c r="A26" s="5" t="s">
        <v>4</v>
      </c>
      <c r="B26" s="5">
        <v>22.991</v>
      </c>
      <c r="C26" s="10">
        <f>C5</f>
        <v>0</v>
      </c>
      <c r="D26" s="11">
        <f t="shared" si="1"/>
        <v>0</v>
      </c>
      <c r="E26" s="12">
        <f t="shared" si="2"/>
        <v>0</v>
      </c>
      <c r="F26" s="17">
        <f t="shared" si="3"/>
        <v>0</v>
      </c>
      <c r="G26" s="11">
        <f t="shared" si="4"/>
        <v>0</v>
      </c>
      <c r="H26" s="5">
        <v>11</v>
      </c>
      <c r="I26" s="5">
        <f t="shared" si="5"/>
        <v>0</v>
      </c>
      <c r="J26" s="5">
        <f t="shared" si="6"/>
        <v>0</v>
      </c>
    </row>
    <row r="27" spans="1:10">
      <c r="A27" s="5" t="s">
        <v>5</v>
      </c>
      <c r="B27" s="5">
        <v>55.85</v>
      </c>
      <c r="C27" s="10">
        <f>C6</f>
        <v>0.77695699956874353</v>
      </c>
      <c r="D27" s="11">
        <f t="shared" si="1"/>
        <v>77.69569995687435</v>
      </c>
      <c r="E27" s="12">
        <f t="shared" si="2"/>
        <v>1.3911495068374995</v>
      </c>
      <c r="F27" s="17">
        <f t="shared" si="3"/>
        <v>0.66666666666666663</v>
      </c>
      <c r="G27" s="11">
        <f t="shared" si="4"/>
        <v>0.66666667000000002</v>
      </c>
      <c r="H27" s="5">
        <v>26</v>
      </c>
      <c r="I27" s="5">
        <f t="shared" si="5"/>
        <v>17.333333333333332</v>
      </c>
      <c r="J27" s="5">
        <f t="shared" si="6"/>
        <v>37.233333333333334</v>
      </c>
    </row>
    <row r="28" spans="1:10">
      <c r="A28" s="5" t="s">
        <v>6</v>
      </c>
      <c r="B28" s="5">
        <v>24.32</v>
      </c>
      <c r="C28" s="10">
        <f>C7</f>
        <v>0</v>
      </c>
      <c r="D28" s="11">
        <f t="shared" si="1"/>
        <v>0</v>
      </c>
      <c r="E28" s="12">
        <f t="shared" si="2"/>
        <v>0</v>
      </c>
      <c r="F28" s="17">
        <f t="shared" si="3"/>
        <v>0</v>
      </c>
      <c r="G28" s="11">
        <f t="shared" si="4"/>
        <v>0</v>
      </c>
      <c r="H28" s="5">
        <v>12</v>
      </c>
      <c r="I28" s="5">
        <f t="shared" si="5"/>
        <v>0</v>
      </c>
      <c r="J28" s="5">
        <f t="shared" si="6"/>
        <v>0</v>
      </c>
    </row>
    <row r="29" spans="1:10">
      <c r="A29" s="5" t="s">
        <v>8</v>
      </c>
      <c r="B29" s="5">
        <v>26.98</v>
      </c>
      <c r="C29" s="10">
        <f t="shared" ref="C29:C39" si="7">C9</f>
        <v>0</v>
      </c>
      <c r="D29" s="11">
        <f t="shared" si="1"/>
        <v>0</v>
      </c>
      <c r="E29" s="12">
        <f t="shared" si="2"/>
        <v>0</v>
      </c>
      <c r="F29" s="17">
        <f t="shared" si="3"/>
        <v>0</v>
      </c>
      <c r="G29" s="11">
        <f t="shared" si="4"/>
        <v>0</v>
      </c>
      <c r="H29" s="5">
        <v>13</v>
      </c>
      <c r="I29" s="5">
        <f t="shared" si="5"/>
        <v>0</v>
      </c>
      <c r="J29" s="5">
        <f t="shared" si="6"/>
        <v>0</v>
      </c>
    </row>
    <row r="30" spans="1:10">
      <c r="A30" s="5" t="s">
        <v>9</v>
      </c>
      <c r="B30" s="5">
        <v>10.82</v>
      </c>
      <c r="C30" s="10">
        <f t="shared" si="7"/>
        <v>0</v>
      </c>
      <c r="D30" s="11">
        <f t="shared" si="1"/>
        <v>0</v>
      </c>
      <c r="E30" s="12">
        <f t="shared" si="2"/>
        <v>0</v>
      </c>
      <c r="F30" s="17">
        <f t="shared" si="3"/>
        <v>0</v>
      </c>
      <c r="G30" s="11">
        <f t="shared" si="4"/>
        <v>0</v>
      </c>
      <c r="H30" s="5">
        <v>5</v>
      </c>
      <c r="I30" s="5">
        <f t="shared" si="5"/>
        <v>0</v>
      </c>
      <c r="J30" s="5">
        <f t="shared" si="6"/>
        <v>0</v>
      </c>
    </row>
    <row r="31" spans="1:10">
      <c r="A31" s="5" t="s">
        <v>10</v>
      </c>
      <c r="B31" s="5">
        <v>28.09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17">
        <f t="shared" si="3"/>
        <v>0</v>
      </c>
      <c r="G31" s="11">
        <f t="shared" si="4"/>
        <v>0</v>
      </c>
      <c r="H31" s="5">
        <v>14</v>
      </c>
      <c r="I31" s="5">
        <f t="shared" si="5"/>
        <v>0</v>
      </c>
      <c r="J31" s="5">
        <f t="shared" si="6"/>
        <v>0</v>
      </c>
    </row>
    <row r="32" spans="1:10">
      <c r="A32" s="5" t="s">
        <v>11</v>
      </c>
      <c r="B32" s="5">
        <v>157.25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17">
        <f t="shared" si="3"/>
        <v>0</v>
      </c>
      <c r="G32" s="11">
        <f t="shared" si="4"/>
        <v>0</v>
      </c>
      <c r="H32" s="5">
        <v>64</v>
      </c>
      <c r="I32" s="5">
        <f t="shared" si="5"/>
        <v>0</v>
      </c>
      <c r="J32" s="5">
        <f t="shared" si="6"/>
        <v>0</v>
      </c>
    </row>
    <row r="33" spans="1:10">
      <c r="A33" s="5" t="s">
        <v>12</v>
      </c>
      <c r="B33" s="5">
        <v>39.1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17">
        <f t="shared" si="3"/>
        <v>0</v>
      </c>
      <c r="G33" s="11">
        <f t="shared" si="4"/>
        <v>0</v>
      </c>
      <c r="H33" s="5">
        <v>19</v>
      </c>
      <c r="I33" s="5">
        <f t="shared" si="5"/>
        <v>0</v>
      </c>
      <c r="J33" s="5">
        <f t="shared" si="6"/>
        <v>0</v>
      </c>
    </row>
    <row r="34" spans="1:10">
      <c r="A34" s="5" t="s">
        <v>13</v>
      </c>
      <c r="B34" s="5">
        <v>232.03800000000001</v>
      </c>
      <c r="C34" s="10">
        <f t="shared" si="7"/>
        <v>0</v>
      </c>
      <c r="D34" s="11">
        <f t="shared" si="1"/>
        <v>0</v>
      </c>
      <c r="E34" s="12">
        <f t="shared" si="2"/>
        <v>0</v>
      </c>
      <c r="F34" s="17">
        <f t="shared" si="3"/>
        <v>0</v>
      </c>
      <c r="G34" s="11">
        <f t="shared" si="4"/>
        <v>0</v>
      </c>
      <c r="H34" s="5">
        <v>90</v>
      </c>
      <c r="I34" s="5">
        <f t="shared" si="5"/>
        <v>0</v>
      </c>
      <c r="J34" s="5">
        <f t="shared" si="6"/>
        <v>0</v>
      </c>
    </row>
    <row r="35" spans="1:10">
      <c r="A35" s="5" t="s">
        <v>14</v>
      </c>
      <c r="B35" s="5">
        <v>40.08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17">
        <f t="shared" si="3"/>
        <v>0</v>
      </c>
      <c r="G35" s="11">
        <f t="shared" si="4"/>
        <v>0</v>
      </c>
      <c r="H35" s="5">
        <v>20</v>
      </c>
      <c r="I35" s="5">
        <f t="shared" si="5"/>
        <v>0</v>
      </c>
      <c r="J35" s="5">
        <f t="shared" si="6"/>
        <v>0</v>
      </c>
    </row>
    <row r="36" spans="1:10">
      <c r="A36" s="5" t="s">
        <v>15</v>
      </c>
      <c r="B36" s="5">
        <v>238.029</v>
      </c>
      <c r="C36" s="10">
        <f t="shared" si="7"/>
        <v>0</v>
      </c>
      <c r="D36" s="11">
        <f t="shared" si="1"/>
        <v>0</v>
      </c>
      <c r="E36" s="12">
        <f t="shared" si="2"/>
        <v>0</v>
      </c>
      <c r="F36" s="17">
        <f t="shared" si="3"/>
        <v>0</v>
      </c>
      <c r="G36" s="11">
        <f t="shared" si="4"/>
        <v>0</v>
      </c>
      <c r="H36" s="5">
        <v>92</v>
      </c>
      <c r="I36" s="5">
        <f t="shared" si="5"/>
        <v>0</v>
      </c>
      <c r="J36" s="5">
        <f t="shared" si="6"/>
        <v>0</v>
      </c>
    </row>
    <row r="37" spans="1:10">
      <c r="A37" s="5" t="s">
        <v>42</v>
      </c>
      <c r="B37" s="5">
        <v>32.066000000000003</v>
      </c>
      <c r="C37" s="10">
        <f t="shared" si="7"/>
        <v>0.22304300043125633</v>
      </c>
      <c r="D37" s="11">
        <f t="shared" si="1"/>
        <v>22.304300043125632</v>
      </c>
      <c r="E37" s="12">
        <f t="shared" si="2"/>
        <v>0.69557475341874975</v>
      </c>
      <c r="F37" s="17">
        <f t="shared" si="3"/>
        <v>0.33333333333333331</v>
      </c>
      <c r="G37" s="11">
        <f t="shared" si="4"/>
        <v>0.33333332999999998</v>
      </c>
      <c r="H37" s="5">
        <v>16</v>
      </c>
      <c r="I37" s="5">
        <f t="shared" si="5"/>
        <v>5.333333333333333</v>
      </c>
      <c r="J37" s="5">
        <f t="shared" si="6"/>
        <v>10.688666666666666</v>
      </c>
    </row>
    <row r="38" spans="1:10">
      <c r="A38" s="5" t="s">
        <v>16</v>
      </c>
      <c r="B38" s="5">
        <v>47.9</v>
      </c>
      <c r="C38" s="10">
        <f t="shared" si="7"/>
        <v>0</v>
      </c>
      <c r="D38" s="11">
        <f t="shared" si="1"/>
        <v>0</v>
      </c>
      <c r="E38" s="12">
        <f t="shared" si="2"/>
        <v>0</v>
      </c>
      <c r="F38" s="17">
        <f t="shared" si="3"/>
        <v>0</v>
      </c>
      <c r="G38" s="11">
        <f t="shared" si="4"/>
        <v>0</v>
      </c>
      <c r="H38" s="5">
        <v>22</v>
      </c>
      <c r="I38" s="5">
        <f t="shared" si="5"/>
        <v>0</v>
      </c>
      <c r="J38" s="5">
        <f t="shared" si="6"/>
        <v>0</v>
      </c>
    </row>
    <row r="39" spans="1:10">
      <c r="A39" s="5" t="s">
        <v>48</v>
      </c>
      <c r="B39" s="5">
        <v>12.010999999999999</v>
      </c>
      <c r="C39" s="10">
        <f t="shared" si="7"/>
        <v>0</v>
      </c>
      <c r="D39" s="11">
        <f t="shared" si="1"/>
        <v>0</v>
      </c>
      <c r="E39" s="12">
        <f t="shared" si="2"/>
        <v>0</v>
      </c>
      <c r="F39" s="17">
        <f t="shared" si="3"/>
        <v>0</v>
      </c>
      <c r="G39" s="11">
        <f t="shared" si="4"/>
        <v>0</v>
      </c>
      <c r="H39" s="5">
        <v>6</v>
      </c>
      <c r="I39" s="5">
        <f t="shared" si="5"/>
        <v>0</v>
      </c>
      <c r="J39" s="5">
        <f t="shared" si="6"/>
        <v>0</v>
      </c>
    </row>
    <row r="40" spans="1:10">
      <c r="A40"/>
      <c r="B40"/>
      <c r="C40"/>
      <c r="D40"/>
      <c r="E40"/>
      <c r="F40" s="7"/>
      <c r="G40"/>
    </row>
    <row r="41" spans="1:10">
      <c r="A41" s="5" t="s">
        <v>26</v>
      </c>
      <c r="B41"/>
      <c r="C41" s="5">
        <f>SUM(C24:C39)</f>
        <v>0.99999999999999989</v>
      </c>
      <c r="D41" s="5">
        <f>SUM(D24:D39)</f>
        <v>99.999999999999986</v>
      </c>
      <c r="E41" s="15">
        <f>SUM(E24:E39)</f>
        <v>2.0867242602562492</v>
      </c>
      <c r="F41" s="15">
        <f>SUM(F24:F39)</f>
        <v>1</v>
      </c>
      <c r="G41" s="5">
        <f>SUM(G24:G39)</f>
        <v>1</v>
      </c>
    </row>
    <row r="42" spans="1:10">
      <c r="A42"/>
      <c r="B42"/>
    </row>
    <row r="43" spans="1:10">
      <c r="A43" s="5" t="str">
        <f>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"&amp;G35&amp;" "&amp;A36&amp;" "&amp;G36&amp;" "&amp;A37&amp;" "&amp;G37&amp;" "&amp;A39&amp;" "&amp;G39&amp;" "&amp;A38&amp;" "&amp;G38</f>
        <v>O 0 Na 0 Fe 0.66666667 Mg 0 Al 0 B 0 Si 0 Gd 0 K 0 Th 0 Ca 0 U 0 S 0.33333333 C 0 Ti 0</v>
      </c>
      <c r="B43"/>
    </row>
    <row r="44" spans="1:10">
      <c r="A44"/>
      <c r="B44"/>
    </row>
    <row r="45" spans="1:10">
      <c r="A45" s="5" t="s">
        <v>27</v>
      </c>
      <c r="B45" s="5">
        <v>5.01</v>
      </c>
    </row>
    <row r="46" spans="1:10">
      <c r="A46" s="5" t="s">
        <v>28</v>
      </c>
      <c r="B46" s="5">
        <f>100*B45*C24/0.1119</f>
        <v>0</v>
      </c>
    </row>
    <row r="47" spans="1:10">
      <c r="A47" s="5" t="s">
        <v>29</v>
      </c>
      <c r="B47" s="5">
        <f>2*SUM(I24:I38)*B45/SUM(J24:J38)</f>
        <v>4.739368139893994</v>
      </c>
    </row>
    <row r="48" spans="1:10">
      <c r="A48" s="5" t="s">
        <v>30</v>
      </c>
      <c r="B48" s="5">
        <f>1.0704*B47-0.1883</f>
        <v>4.8847196569425311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topLeftCell="A13" zoomScaleNormal="100" workbookViewId="0">
      <selection activeCell="F23" sqref="F23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.5703125" style="3"/>
    <col min="8" max="256" width="11.5703125" style="3"/>
    <col min="257" max="1025" width="9.85546875"/>
  </cols>
  <sheetData>
    <row r="1" spans="1:10">
      <c r="A1" s="2" t="s">
        <v>31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>
        <v>0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>
        <v>0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>
        <v>4.5900000000000003E-2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>
        <v>0.20319999999999999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>
        <v>0.21149999999999999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>
        <v>0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>
        <v>9.8199999999999996E-2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>
        <v>0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>
        <v>6.9999999999999997E-7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>
        <v>0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0.44119930000000007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5.1362344582593263E-3</v>
      </c>
      <c r="D22" s="11">
        <f t="shared" ref="D22:D35" si="1">100*C22</f>
        <v>0.51362344582593267</v>
      </c>
      <c r="E22" s="12">
        <f t="shared" ref="E22:E35" si="2">D22/B22</f>
        <v>0.50954706927175863</v>
      </c>
      <c r="F22" s="6">
        <f t="shared" ref="F22:F35" si="3">E22/$E$37</f>
        <v>9.652240411607356E-2</v>
      </c>
      <c r="G22" s="13">
        <f t="shared" ref="G22:G35" si="4">ROUND(F22,9)</f>
        <v>9.6522404000000006E-2</v>
      </c>
      <c r="H22" s="5">
        <v>1</v>
      </c>
      <c r="I22" s="5">
        <f t="shared" ref="I22:I35" si="5">F22*H22</f>
        <v>9.652240411607356E-2</v>
      </c>
      <c r="J22" s="5">
        <f t="shared" ref="J22:J35" si="6">F22*B22</f>
        <v>9.7294583349002151E-2</v>
      </c>
    </row>
    <row r="23" spans="1:10">
      <c r="A23" s="5" t="s">
        <v>25</v>
      </c>
      <c r="B23" s="5">
        <v>16</v>
      </c>
      <c r="C23" s="10">
        <f>C18+C8*(B23/B8)</f>
        <v>0.48196306554174073</v>
      </c>
      <c r="D23" s="11">
        <f t="shared" si="1"/>
        <v>48.196306554174072</v>
      </c>
      <c r="E23" s="12">
        <f t="shared" si="2"/>
        <v>3.0122691596358795</v>
      </c>
      <c r="F23" s="6">
        <f t="shared" si="3"/>
        <v>0.57060766054115419</v>
      </c>
      <c r="G23" s="13">
        <f t="shared" si="4"/>
        <v>0.57060766100000004</v>
      </c>
      <c r="H23" s="5">
        <v>8</v>
      </c>
      <c r="I23" s="5">
        <f t="shared" si="5"/>
        <v>4.5648612843292335</v>
      </c>
      <c r="J23" s="5">
        <f t="shared" si="6"/>
        <v>9.1297225686584671</v>
      </c>
    </row>
    <row r="24" spans="1:10">
      <c r="A24" s="5" t="s">
        <v>4</v>
      </c>
      <c r="B24" s="5">
        <v>22.991</v>
      </c>
      <c r="C24" s="10">
        <f>C5</f>
        <v>0</v>
      </c>
      <c r="D24" s="11">
        <f t="shared" si="1"/>
        <v>0</v>
      </c>
      <c r="E24" s="12">
        <f t="shared" si="2"/>
        <v>0</v>
      </c>
      <c r="F24" s="6">
        <f t="shared" si="3"/>
        <v>0</v>
      </c>
      <c r="G24" s="13">
        <f t="shared" si="4"/>
        <v>0</v>
      </c>
      <c r="H24" s="5">
        <v>11</v>
      </c>
      <c r="I24" s="5">
        <f t="shared" si="5"/>
        <v>0</v>
      </c>
      <c r="J24" s="5">
        <f t="shared" si="6"/>
        <v>0</v>
      </c>
    </row>
    <row r="25" spans="1:10">
      <c r="A25" s="5" t="s">
        <v>5</v>
      </c>
      <c r="B25" s="5">
        <v>55.85</v>
      </c>
      <c r="C25" s="10">
        <f>C6</f>
        <v>0</v>
      </c>
      <c r="D25" s="11">
        <f t="shared" si="1"/>
        <v>0</v>
      </c>
      <c r="E25" s="12">
        <f t="shared" si="2"/>
        <v>0</v>
      </c>
      <c r="F25" s="6">
        <f t="shared" si="3"/>
        <v>0</v>
      </c>
      <c r="G25" s="13">
        <f t="shared" si="4"/>
        <v>0</v>
      </c>
      <c r="H25" s="5">
        <v>26</v>
      </c>
      <c r="I25" s="5">
        <f t="shared" si="5"/>
        <v>0</v>
      </c>
      <c r="J25" s="5">
        <f t="shared" si="6"/>
        <v>0</v>
      </c>
    </row>
    <row r="26" spans="1:10">
      <c r="A26" s="5" t="s">
        <v>6</v>
      </c>
      <c r="B26" s="5">
        <v>24.32</v>
      </c>
      <c r="C26" s="10">
        <f>C7</f>
        <v>0</v>
      </c>
      <c r="D26" s="11">
        <f t="shared" si="1"/>
        <v>0</v>
      </c>
      <c r="E26" s="12">
        <f t="shared" si="2"/>
        <v>0</v>
      </c>
      <c r="F26" s="6">
        <f t="shared" si="3"/>
        <v>0</v>
      </c>
      <c r="G26" s="13">
        <f t="shared" si="4"/>
        <v>0</v>
      </c>
      <c r="H26" s="5">
        <v>12</v>
      </c>
      <c r="I26" s="5">
        <f t="shared" si="5"/>
        <v>0</v>
      </c>
      <c r="J26" s="5">
        <f t="shared" si="6"/>
        <v>0</v>
      </c>
    </row>
    <row r="27" spans="1:10">
      <c r="A27" s="5" t="s">
        <v>8</v>
      </c>
      <c r="B27" s="5">
        <v>26.98</v>
      </c>
      <c r="C27" s="10">
        <f t="shared" ref="C27:C35" si="7">C9</f>
        <v>0.20319999999999999</v>
      </c>
      <c r="D27" s="11">
        <f t="shared" si="1"/>
        <v>20.32</v>
      </c>
      <c r="E27" s="12">
        <f t="shared" si="2"/>
        <v>0.75315048183839883</v>
      </c>
      <c r="F27" s="6">
        <f t="shared" si="3"/>
        <v>0.14266767400334174</v>
      </c>
      <c r="G27" s="13">
        <f t="shared" si="4"/>
        <v>0.14266767399999999</v>
      </c>
      <c r="H27" s="5">
        <v>13</v>
      </c>
      <c r="I27" s="5">
        <f t="shared" si="5"/>
        <v>1.8546797620434425</v>
      </c>
      <c r="J27" s="5">
        <f t="shared" si="6"/>
        <v>3.84917384461016</v>
      </c>
    </row>
    <row r="28" spans="1:10">
      <c r="A28" s="5" t="s">
        <v>9</v>
      </c>
      <c r="B28" s="5">
        <v>10.82</v>
      </c>
      <c r="C28" s="10">
        <f t="shared" si="7"/>
        <v>0</v>
      </c>
      <c r="D28" s="11">
        <f t="shared" si="1"/>
        <v>0</v>
      </c>
      <c r="E28" s="12">
        <f t="shared" si="2"/>
        <v>0</v>
      </c>
      <c r="F28" s="6">
        <f t="shared" si="3"/>
        <v>0</v>
      </c>
      <c r="G28" s="13">
        <f t="shared" si="4"/>
        <v>0</v>
      </c>
      <c r="H28" s="5">
        <v>5</v>
      </c>
      <c r="I28" s="5">
        <f t="shared" si="5"/>
        <v>0</v>
      </c>
      <c r="J28" s="5">
        <f t="shared" si="6"/>
        <v>0</v>
      </c>
    </row>
    <row r="29" spans="1:10">
      <c r="A29" s="5" t="s">
        <v>10</v>
      </c>
      <c r="B29" s="5">
        <v>28.09</v>
      </c>
      <c r="C29" s="10">
        <f t="shared" si="7"/>
        <v>0.21149999999999999</v>
      </c>
      <c r="D29" s="11">
        <f t="shared" si="1"/>
        <v>21.15</v>
      </c>
      <c r="E29" s="12">
        <f t="shared" si="2"/>
        <v>0.75293698825204691</v>
      </c>
      <c r="F29" s="6">
        <f t="shared" si="3"/>
        <v>0.14262723237299835</v>
      </c>
      <c r="G29" s="13">
        <f t="shared" si="4"/>
        <v>0.14262723199999999</v>
      </c>
      <c r="H29" s="5">
        <v>14</v>
      </c>
      <c r="I29" s="5">
        <f t="shared" si="5"/>
        <v>1.9967812532219769</v>
      </c>
      <c r="J29" s="5">
        <f t="shared" si="6"/>
        <v>4.0063989573575238</v>
      </c>
    </row>
    <row r="30" spans="1:10">
      <c r="A30" s="5" t="s">
        <v>11</v>
      </c>
      <c r="B30" s="5">
        <v>157.25</v>
      </c>
      <c r="C30" s="10">
        <f t="shared" si="7"/>
        <v>0</v>
      </c>
      <c r="D30" s="11">
        <f t="shared" si="1"/>
        <v>0</v>
      </c>
      <c r="E30" s="12">
        <f t="shared" si="2"/>
        <v>0</v>
      </c>
      <c r="F30" s="6">
        <f t="shared" si="3"/>
        <v>0</v>
      </c>
      <c r="G30" s="13">
        <f t="shared" si="4"/>
        <v>0</v>
      </c>
      <c r="H30" s="5">
        <v>64</v>
      </c>
      <c r="I30" s="5">
        <f t="shared" si="5"/>
        <v>0</v>
      </c>
      <c r="J30" s="5">
        <f t="shared" si="6"/>
        <v>0</v>
      </c>
    </row>
    <row r="31" spans="1:10">
      <c r="A31" s="5" t="s">
        <v>12</v>
      </c>
      <c r="B31" s="5">
        <v>39.1</v>
      </c>
      <c r="C31" s="10">
        <f t="shared" si="7"/>
        <v>9.8199999999999996E-2</v>
      </c>
      <c r="D31" s="11">
        <f t="shared" si="1"/>
        <v>9.82</v>
      </c>
      <c r="E31" s="12">
        <f t="shared" si="2"/>
        <v>0.25115089514066496</v>
      </c>
      <c r="F31" s="6">
        <f t="shared" si="3"/>
        <v>4.7574973259147467E-2</v>
      </c>
      <c r="G31" s="13">
        <f t="shared" si="4"/>
        <v>4.7574973E-2</v>
      </c>
      <c r="H31" s="5">
        <v>19</v>
      </c>
      <c r="I31" s="5">
        <f t="shared" si="5"/>
        <v>0.90392449192380186</v>
      </c>
      <c r="J31" s="5">
        <f t="shared" si="6"/>
        <v>1.860181454432666</v>
      </c>
    </row>
    <row r="32" spans="1:10">
      <c r="A32" s="5" t="s">
        <v>13</v>
      </c>
      <c r="B32" s="5">
        <v>232.03800000000001</v>
      </c>
      <c r="C32" s="10">
        <f t="shared" si="7"/>
        <v>0</v>
      </c>
      <c r="D32" s="11">
        <f t="shared" si="1"/>
        <v>0</v>
      </c>
      <c r="E32" s="12">
        <f t="shared" si="2"/>
        <v>0</v>
      </c>
      <c r="F32" s="6">
        <f t="shared" si="3"/>
        <v>0</v>
      </c>
      <c r="G32" s="13">
        <f t="shared" si="4"/>
        <v>0</v>
      </c>
      <c r="H32" s="5">
        <v>90</v>
      </c>
      <c r="I32" s="5">
        <f t="shared" si="5"/>
        <v>0</v>
      </c>
      <c r="J32" s="5">
        <f t="shared" si="6"/>
        <v>0</v>
      </c>
    </row>
    <row r="33" spans="1:10">
      <c r="A33" s="5" t="s">
        <v>14</v>
      </c>
      <c r="B33" s="5">
        <v>40.08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6">
        <f t="shared" si="3"/>
        <v>0</v>
      </c>
      <c r="G33" s="13">
        <f t="shared" si="4"/>
        <v>0</v>
      </c>
      <c r="H33" s="5">
        <v>20</v>
      </c>
      <c r="I33" s="5">
        <f t="shared" si="5"/>
        <v>0</v>
      </c>
      <c r="J33" s="5">
        <f t="shared" si="6"/>
        <v>0</v>
      </c>
    </row>
    <row r="34" spans="1:10">
      <c r="A34" s="5" t="s">
        <v>15</v>
      </c>
      <c r="B34" s="5">
        <v>238.029</v>
      </c>
      <c r="C34" s="10">
        <f t="shared" si="7"/>
        <v>6.9999999999999997E-7</v>
      </c>
      <c r="D34" s="11">
        <f t="shared" si="1"/>
        <v>6.9999999999999994E-5</v>
      </c>
      <c r="E34" s="12">
        <f t="shared" si="2"/>
        <v>2.9408181356053253E-7</v>
      </c>
      <c r="F34" s="6">
        <f t="shared" si="3"/>
        <v>5.570728469157103E-8</v>
      </c>
      <c r="G34" s="13">
        <f t="shared" si="4"/>
        <v>5.5999999999999999E-8</v>
      </c>
      <c r="H34" s="5">
        <v>92</v>
      </c>
      <c r="I34" s="5">
        <f t="shared" si="5"/>
        <v>5.1250701916245346E-6</v>
      </c>
      <c r="J34" s="5">
        <f t="shared" si="6"/>
        <v>1.325994926784996E-5</v>
      </c>
    </row>
    <row r="35" spans="1:10">
      <c r="A35" s="5" t="s">
        <v>16</v>
      </c>
      <c r="B35" s="5">
        <v>47.9</v>
      </c>
      <c r="C35" s="10">
        <f t="shared" si="7"/>
        <v>0</v>
      </c>
      <c r="D35" s="11">
        <f t="shared" si="1"/>
        <v>0</v>
      </c>
      <c r="E35" s="12">
        <f t="shared" si="2"/>
        <v>0</v>
      </c>
      <c r="F35" s="6">
        <f t="shared" si="3"/>
        <v>0</v>
      </c>
      <c r="G35" s="13">
        <f t="shared" si="4"/>
        <v>0</v>
      </c>
      <c r="H35" s="5">
        <v>22</v>
      </c>
      <c r="I35" s="5">
        <f t="shared" si="5"/>
        <v>0</v>
      </c>
      <c r="J35" s="5">
        <f t="shared" si="6"/>
        <v>0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</v>
      </c>
      <c r="E37" s="15">
        <f>SUM(E22:E35)</f>
        <v>5.2790548882205623</v>
      </c>
      <c r="F37" s="15">
        <f>SUM(F22:F35)</f>
        <v>1</v>
      </c>
      <c r="G37" s="5">
        <f>SUM(G22:G35)</f>
        <v>1.0000000000000002</v>
      </c>
    </row>
    <row r="38" spans="1:10">
      <c r="A38"/>
      <c r="B38"/>
    </row>
    <row r="39" spans="1:10">
      <c r="A39" s="5" t="str">
        <f>A22&amp;" "&amp;G22&amp;" "&amp;A23&amp;" "&amp;G23&amp;" "&amp;A27&amp;" "&amp;G27&amp;" "&amp;" "&amp;A29&amp;" "&amp;G29&amp;" "&amp;A31&amp;" "&amp;G31&amp;" "&amp;A34&amp;" "&amp;G34</f>
        <v>H 0.096522404 O 0.570607661 Al 0.142667674  Si 0.142627232 K 0.047574973 U 0.000000056</v>
      </c>
      <c r="B39"/>
    </row>
    <row r="40" spans="1:10">
      <c r="A40"/>
      <c r="B40"/>
    </row>
    <row r="41" spans="1:10">
      <c r="A41" s="5" t="s">
        <v>27</v>
      </c>
      <c r="B41" s="5">
        <v>2.81</v>
      </c>
    </row>
    <row r="42" spans="1:10">
      <c r="A42" s="5" t="s">
        <v>28</v>
      </c>
      <c r="B42" s="5">
        <f>100*B41*C22/0.1119</f>
        <v>12.897961418863902</v>
      </c>
    </row>
    <row r="43" spans="1:10">
      <c r="A43" s="5" t="s">
        <v>29</v>
      </c>
      <c r="B43" s="5">
        <f>2*SUM(I22:I35)*B41/SUM(J22:J35)</f>
        <v>2.79379577020502</v>
      </c>
    </row>
    <row r="44" spans="1:10">
      <c r="A44" s="5" t="s">
        <v>30</v>
      </c>
      <c r="B44" s="5">
        <f>1.0704*B43-0.1883</f>
        <v>2.8021789924274536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B1" zoomScale="78" zoomScaleNormal="78" workbookViewId="0">
      <selection activeCell="S18" sqref="S18"/>
    </sheetView>
  </sheetViews>
  <sheetFormatPr defaultRowHeight="12.75"/>
  <cols>
    <col min="1" max="1" width="15.42578125"/>
    <col min="2" max="2" width="12.42578125"/>
    <col min="3" max="3" width="11.5703125"/>
    <col min="4" max="4" width="11.7109375" bestFit="1" customWidth="1"/>
    <col min="5" max="5" width="12.85546875"/>
    <col min="6" max="1025" width="11.5703125"/>
  </cols>
  <sheetData>
    <row r="1" spans="1:22">
      <c r="A1" t="s">
        <v>51</v>
      </c>
      <c r="B1" s="18">
        <v>0</v>
      </c>
      <c r="C1" s="19">
        <f>B1/100</f>
        <v>0</v>
      </c>
      <c r="E1" t="s">
        <v>52</v>
      </c>
      <c r="F1">
        <v>0.99820710000000001</v>
      </c>
      <c r="I1" s="5"/>
    </row>
    <row r="2" spans="1:22">
      <c r="A2" t="s">
        <v>53</v>
      </c>
      <c r="B2" s="18">
        <v>20</v>
      </c>
      <c r="C2" s="19">
        <f>B2/100</f>
        <v>0.2</v>
      </c>
      <c r="E2" t="s">
        <v>54</v>
      </c>
      <c r="F2">
        <v>2.6480000000000001</v>
      </c>
      <c r="I2" s="5" t="s">
        <v>2</v>
      </c>
      <c r="J2" t="s">
        <v>43</v>
      </c>
      <c r="K2" t="s">
        <v>44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26</v>
      </c>
    </row>
    <row r="3" spans="1:22">
      <c r="A3" t="s">
        <v>65</v>
      </c>
      <c r="B3" s="18">
        <v>20</v>
      </c>
      <c r="C3" s="19">
        <f>B3/100</f>
        <v>0.2</v>
      </c>
      <c r="E3" t="s">
        <v>66</v>
      </c>
      <c r="F3">
        <f>(C3/(1-C3))*(F1/F2)*C7</f>
        <v>7.0602993876632311E-2</v>
      </c>
      <c r="H3" s="5" t="s">
        <v>24</v>
      </c>
      <c r="I3" s="5">
        <f t="shared" ref="I3:I18" si="0">C35</f>
        <v>1.008</v>
      </c>
      <c r="J3">
        <f>water!C23*$B$20</f>
        <v>7.3794979852207397E-3</v>
      </c>
      <c r="K3">
        <f>quartz!C23*$B$21</f>
        <v>0</v>
      </c>
      <c r="L3">
        <f>'K-feldspar'!C23*$B$22</f>
        <v>0</v>
      </c>
      <c r="M3">
        <f>plagioclase!C23*$B$23</f>
        <v>0</v>
      </c>
      <c r="N3">
        <f>calcite!C24*$B$24</f>
        <v>0</v>
      </c>
      <c r="O3">
        <f>siderite!C24*$B$25</f>
        <v>0</v>
      </c>
      <c r="P3">
        <f>pyrite!C24*$B$26</f>
        <v>0</v>
      </c>
      <c r="Q3">
        <f>Muscovite!C22*$B$27</f>
        <v>0</v>
      </c>
      <c r="R3">
        <f>Kaolinite!C22*$B$28</f>
        <v>1.9450333021169228E-4</v>
      </c>
      <c r="S3">
        <f>Chlorite_2!C23*$B$29</f>
        <v>1.788002520918084E-4</v>
      </c>
      <c r="T3">
        <f>Smectite!C22*$B$30</f>
        <v>2.8378208272821458E-4</v>
      </c>
      <c r="U3">
        <f>Illite_1!C22*$B$31</f>
        <v>9.1482221563229916E-4</v>
      </c>
      <c r="V3">
        <f t="shared" ref="V3:V18" si="1">SUM(J3:U3)</f>
        <v>8.9514058658847536E-3</v>
      </c>
    </row>
    <row r="4" spans="1:22">
      <c r="B4" s="19"/>
      <c r="C4" s="19"/>
      <c r="E4" t="s">
        <v>67</v>
      </c>
      <c r="F4">
        <f>1/(1+F3)</f>
        <v>0.93405305768763047</v>
      </c>
      <c r="H4" s="5" t="s">
        <v>25</v>
      </c>
      <c r="I4" s="5">
        <f t="shared" si="0"/>
        <v>16</v>
      </c>
      <c r="J4">
        <f>water!C24*$B$20</f>
        <v>5.8567444327148728E-2</v>
      </c>
      <c r="K4">
        <f>quartz!C24*$B$21</f>
        <v>0.37264882460924043</v>
      </c>
      <c r="L4">
        <f>'K-feldspar'!C24*$B$22</f>
        <v>5.9851231883474715E-3</v>
      </c>
      <c r="M4">
        <f>plagioclase!C24*$B$23</f>
        <v>1.8932780002796919E-2</v>
      </c>
      <c r="N4">
        <f>calcite!C25*$B$24</f>
        <v>5.2481915153565701E-3</v>
      </c>
      <c r="O4">
        <f>siderite!C25*$B$25</f>
        <v>2.696603417562179E-3</v>
      </c>
      <c r="P4">
        <f>pyrite!C25*$B$26</f>
        <v>0</v>
      </c>
      <c r="Q4">
        <f>Muscovite!C23*$B$27</f>
        <v>0</v>
      </c>
      <c r="R4">
        <f>Kaolinite!C23*$B$28</f>
        <v>6.9188552011121241E-3</v>
      </c>
      <c r="S4">
        <f>Chlorite_2!C24*$B$29</f>
        <v>8.1884639142723852E-3</v>
      </c>
      <c r="T4">
        <f>Smectite!C23*$B$30</f>
        <v>4.9146100088756032E-3</v>
      </c>
      <c r="U4">
        <f>Illite_1!C23*$B$31</f>
        <v>5.1635473573272112E-2</v>
      </c>
      <c r="V4">
        <f t="shared" si="1"/>
        <v>0.53573636975798444</v>
      </c>
    </row>
    <row r="5" spans="1:22">
      <c r="H5" s="5" t="s">
        <v>4</v>
      </c>
      <c r="I5" s="5">
        <f t="shared" si="0"/>
        <v>22.991</v>
      </c>
      <c r="J5">
        <f>water!C25*$B$20</f>
        <v>0</v>
      </c>
      <c r="K5">
        <f>quartz!C25*$B$21</f>
        <v>0</v>
      </c>
      <c r="L5">
        <f>'K-feldspar'!C25*$B$22</f>
        <v>0</v>
      </c>
      <c r="M5">
        <f>plagioclase!C25*$B$23</f>
        <v>1.7003263478293131E-3</v>
      </c>
      <c r="N5">
        <f>calcite!C26*$B$24</f>
        <v>0</v>
      </c>
      <c r="O5">
        <f>siderite!C26*$B$25</f>
        <v>0</v>
      </c>
      <c r="P5">
        <f>pyrite!C26*$B$26</f>
        <v>0</v>
      </c>
      <c r="Q5">
        <f>Muscovite!C24*$B$27</f>
        <v>0</v>
      </c>
      <c r="R5">
        <f>Kaolinite!C24*$B$28</f>
        <v>0</v>
      </c>
      <c r="S5">
        <f>Chlorite_2!C25*$B$29</f>
        <v>1.7367933389870279E-5</v>
      </c>
      <c r="T5">
        <f>Smectite!C24*$B$30</f>
        <v>3.9625325539678772E-5</v>
      </c>
      <c r="U5">
        <f>Illite_1!C24*$B$31</f>
        <v>1.1383351379165819E-4</v>
      </c>
      <c r="V5">
        <f t="shared" si="1"/>
        <v>1.8711531205505203E-3</v>
      </c>
    </row>
    <row r="6" spans="1:22">
      <c r="A6" t="s">
        <v>68</v>
      </c>
      <c r="B6" t="s">
        <v>69</v>
      </c>
      <c r="C6" t="s">
        <v>70</v>
      </c>
      <c r="E6" t="s">
        <v>68</v>
      </c>
      <c r="F6" t="s">
        <v>70</v>
      </c>
      <c r="H6" s="5" t="s">
        <v>5</v>
      </c>
      <c r="I6" s="5">
        <f t="shared" si="0"/>
        <v>55.85</v>
      </c>
      <c r="J6">
        <f>water!C26*$B$20</f>
        <v>0</v>
      </c>
      <c r="K6">
        <f>quartz!C26*$B$21</f>
        <v>0</v>
      </c>
      <c r="L6">
        <f>'K-feldspar'!C26*$B$22</f>
        <v>0</v>
      </c>
      <c r="M6">
        <f>plagioclase!C26*$B$23</f>
        <v>0</v>
      </c>
      <c r="N6">
        <f>calcite!C27*$B$24</f>
        <v>0</v>
      </c>
      <c r="O6">
        <f>siderite!C27*$B$25</f>
        <v>3.137610434809326E-3</v>
      </c>
      <c r="P6">
        <f>pyrite!C27*$B$26</f>
        <v>1.7539309067905948E-2</v>
      </c>
      <c r="Q6">
        <f>Muscovite!C25*$B$27</f>
        <v>0</v>
      </c>
      <c r="R6">
        <f>Kaolinite!C25*$B$28</f>
        <v>9.9324603092229233E-5</v>
      </c>
      <c r="S6">
        <f>Chlorite_2!C26*$B$29</f>
        <v>3.6125301450930175E-3</v>
      </c>
      <c r="T6">
        <f>Smectite!C25*$B$30</f>
        <v>7.9250651079357544E-5</v>
      </c>
      <c r="U6">
        <f>Illite_1!C25*$B$31</f>
        <v>8.3098465067910476E-3</v>
      </c>
      <c r="V6">
        <f t="shared" si="1"/>
        <v>3.2777871408770927E-2</v>
      </c>
    </row>
    <row r="7" spans="1:22">
      <c r="A7" t="s">
        <v>44</v>
      </c>
      <c r="B7" s="18">
        <v>74.691933529197101</v>
      </c>
      <c r="C7">
        <f t="shared" ref="C7:C16" si="2">B7/$B$17</f>
        <v>0.74917009821037084</v>
      </c>
      <c r="E7" t="s">
        <v>43</v>
      </c>
      <c r="F7">
        <f>F4*F3</f>
        <v>6.5946942312369458E-2</v>
      </c>
      <c r="H7" s="5" t="s">
        <v>6</v>
      </c>
      <c r="I7" s="5">
        <f t="shared" si="0"/>
        <v>24.32</v>
      </c>
      <c r="J7">
        <f>water!C27*$B$20</f>
        <v>0</v>
      </c>
      <c r="K7">
        <f>quartz!C27*$B$21</f>
        <v>0</v>
      </c>
      <c r="L7">
        <f>'K-feldspar'!C27*$B$22</f>
        <v>0</v>
      </c>
      <c r="M7">
        <f>plagioclase!C27*$B$23</f>
        <v>0</v>
      </c>
      <c r="N7">
        <f>calcite!C28*$B$24</f>
        <v>0</v>
      </c>
      <c r="O7">
        <f>siderite!C28*$B$25</f>
        <v>0</v>
      </c>
      <c r="P7">
        <f>pyrite!C28*$B$26</f>
        <v>0</v>
      </c>
      <c r="Q7">
        <f>Muscovite!C26*$B$27</f>
        <v>0</v>
      </c>
      <c r="R7">
        <f>Kaolinite!C26*$B$28</f>
        <v>0</v>
      </c>
      <c r="S7">
        <f>Chlorite_2!C27*$B$29</f>
        <v>8.3366080271377334E-4</v>
      </c>
      <c r="T7">
        <f>Smectite!C26*$B$30</f>
        <v>1.5850130215871509E-4</v>
      </c>
      <c r="U7">
        <f>Illite_1!C26*$B$31</f>
        <v>2.4836403009089055E-4</v>
      </c>
      <c r="V7">
        <f t="shared" si="1"/>
        <v>1.2405261349633791E-3</v>
      </c>
    </row>
    <row r="8" spans="1:22">
      <c r="A8" t="s">
        <v>55</v>
      </c>
      <c r="B8" s="18">
        <v>1.3892361324025699</v>
      </c>
      <c r="C8">
        <f t="shared" si="2"/>
        <v>1.3934224494839059E-2</v>
      </c>
      <c r="E8" t="s">
        <v>44</v>
      </c>
      <c r="F8">
        <f>C7*F4</f>
        <v>0.69976462096153935</v>
      </c>
      <c r="H8" s="5" t="s">
        <v>8</v>
      </c>
      <c r="I8" s="5">
        <f t="shared" si="0"/>
        <v>26.98</v>
      </c>
      <c r="J8">
        <f>water!C28*$B$20</f>
        <v>0</v>
      </c>
      <c r="K8">
        <f>quartz!C28*$B$21</f>
        <v>0</v>
      </c>
      <c r="L8">
        <f>'K-feldspar'!C28*$B$22</f>
        <v>1.2615517470438652E-3</v>
      </c>
      <c r="M8">
        <f>plagioclase!C28*$B$23</f>
        <v>3.9906750349645399E-3</v>
      </c>
      <c r="N8">
        <f>calcite!C29*$B$24</f>
        <v>0</v>
      </c>
      <c r="O8">
        <f>siderite!C29*$B$25</f>
        <v>0</v>
      </c>
      <c r="P8">
        <f>pyrite!C29*$B$26</f>
        <v>0</v>
      </c>
      <c r="Q8">
        <f>Muscovite!C27*$B$27</f>
        <v>0</v>
      </c>
      <c r="R8">
        <f>Kaolinite!C27*$B$28</f>
        <v>2.3589593234404444E-3</v>
      </c>
      <c r="S8">
        <f>Chlorite_2!C28*$B$29</f>
        <v>1.6673216054275467E-3</v>
      </c>
      <c r="T8">
        <f>Smectite!C27*$B$30</f>
        <v>7.1325585971421788E-4</v>
      </c>
      <c r="U8">
        <f>Illite_1!C27*$B$31</f>
        <v>1.2387156000783169E-2</v>
      </c>
      <c r="V8">
        <f t="shared" si="1"/>
        <v>2.2378919571373782E-2</v>
      </c>
    </row>
    <row r="9" spans="1:22">
      <c r="A9" t="s">
        <v>56</v>
      </c>
      <c r="B9" s="18">
        <v>4.2751518437237399</v>
      </c>
      <c r="C9">
        <f t="shared" si="2"/>
        <v>4.2880345645019087E-2</v>
      </c>
      <c r="E9" t="s">
        <v>71</v>
      </c>
      <c r="F9">
        <f>F7+F8</f>
        <v>0.76571156327390877</v>
      </c>
      <c r="H9" s="5" t="s">
        <v>9</v>
      </c>
      <c r="I9" s="5">
        <f t="shared" si="0"/>
        <v>10.82</v>
      </c>
      <c r="J9">
        <f>water!C29*$B$20</f>
        <v>0</v>
      </c>
      <c r="K9">
        <f>quartz!C29*$B$21</f>
        <v>0</v>
      </c>
      <c r="L9">
        <f>'K-feldspar'!C29*$B$22</f>
        <v>0</v>
      </c>
      <c r="M9">
        <f>plagioclase!C29*$B$23</f>
        <v>0</v>
      </c>
      <c r="N9">
        <f>calcite!C30*$B$24</f>
        <v>0</v>
      </c>
      <c r="O9">
        <f>siderite!C30*$B$25</f>
        <v>0</v>
      </c>
      <c r="P9">
        <f>pyrite!C30*$B$26</f>
        <v>0</v>
      </c>
      <c r="Q9">
        <f>Muscovite!C28*$B$27</f>
        <v>0</v>
      </c>
      <c r="R9">
        <f>Kaolinite!C28*$B$28</f>
        <v>1.7381805541140117E-7</v>
      </c>
      <c r="S9">
        <f>Chlorite_2!C29*$B$29</f>
        <v>3.4735866779740559E-7</v>
      </c>
      <c r="T9">
        <f>Smectite!C28*$B$30</f>
        <v>1.6642636726665083E-7</v>
      </c>
      <c r="U9">
        <f>Illite_1!C28*$B$31</f>
        <v>1.6868057043672986E-5</v>
      </c>
      <c r="V9">
        <f t="shared" si="1"/>
        <v>1.7555660134148442E-5</v>
      </c>
    </row>
    <row r="10" spans="1:22">
      <c r="A10" t="s">
        <v>57</v>
      </c>
      <c r="B10" s="20">
        <v>1.1681138850444499</v>
      </c>
      <c r="C10">
        <f t="shared" si="2"/>
        <v>1.1716338734725152E-2</v>
      </c>
      <c r="H10" s="5" t="s">
        <v>10</v>
      </c>
      <c r="I10" s="5">
        <f t="shared" si="0"/>
        <v>28.09</v>
      </c>
      <c r="J10">
        <f>water!C30*$B$20</f>
        <v>0</v>
      </c>
      <c r="K10">
        <f>quartz!C30*$B$21</f>
        <v>0.32711579635229887</v>
      </c>
      <c r="L10">
        <f>'K-feldspar'!C30*$B$22</f>
        <v>3.9403619615784469E-3</v>
      </c>
      <c r="M10">
        <f>plagioclase!C30*$B$23</f>
        <v>1.2464573209653882E-2</v>
      </c>
      <c r="N10">
        <f>calcite!C31*$B$24</f>
        <v>0</v>
      </c>
      <c r="O10">
        <f>siderite!C31*$B$25</f>
        <v>0</v>
      </c>
      <c r="P10">
        <f>pyrite!C31*$B$26</f>
        <v>0</v>
      </c>
      <c r="Q10">
        <f>Muscovite!C29*$B$27</f>
        <v>0</v>
      </c>
      <c r="R10">
        <f>Kaolinite!C29*$B$28</f>
        <v>2.731426585036304E-3</v>
      </c>
      <c r="S10">
        <f>Chlorite_2!C30*$B$29</f>
        <v>2.4315106745818392E-3</v>
      </c>
      <c r="T10">
        <f>Smectite!C29*$B$30</f>
        <v>1.6642636726665082E-3</v>
      </c>
      <c r="U10">
        <f>Illite_1!C29*$B$31</f>
        <v>2.47225694952974E-2</v>
      </c>
      <c r="V10">
        <f t="shared" si="1"/>
        <v>0.37507050195111324</v>
      </c>
    </row>
    <row r="11" spans="1:22">
      <c r="A11" t="s">
        <v>58</v>
      </c>
      <c r="B11" s="18">
        <v>0.69476004786882295</v>
      </c>
      <c r="C11">
        <f t="shared" si="2"/>
        <v>6.9685363425632425E-3</v>
      </c>
      <c r="H11" s="5" t="s">
        <v>11</v>
      </c>
      <c r="I11" s="5">
        <f t="shared" si="0"/>
        <v>157.25</v>
      </c>
      <c r="J11">
        <f>water!C31*$B$20</f>
        <v>0</v>
      </c>
      <c r="K11">
        <f>quartz!C31*$B$21</f>
        <v>0</v>
      </c>
      <c r="L11">
        <f>'K-feldspar'!C31*$B$22</f>
        <v>0</v>
      </c>
      <c r="M11">
        <f>plagioclase!C31*$B$23</f>
        <v>0</v>
      </c>
      <c r="N11">
        <f>calcite!C32*$B$24</f>
        <v>0</v>
      </c>
      <c r="O11">
        <f>siderite!C32*$B$25</f>
        <v>0</v>
      </c>
      <c r="P11">
        <f>pyrite!C32*$B$26</f>
        <v>0</v>
      </c>
      <c r="Q11">
        <f>Muscovite!C30*$B$27</f>
        <v>0</v>
      </c>
      <c r="R11">
        <f>Kaolinite!C30*$B$28</f>
        <v>1.6140248002487249E-7</v>
      </c>
      <c r="S11">
        <f>Chlorite_2!C31*$B$29</f>
        <v>8.6839666949351399E-8</v>
      </c>
      <c r="T11">
        <f>Smectite!C30*$B$30</f>
        <v>8.3213183633325417E-8</v>
      </c>
      <c r="U11">
        <f>Illite_1!C30*$B$31</f>
        <v>8.2788010030296862E-7</v>
      </c>
      <c r="V11">
        <f t="shared" si="1"/>
        <v>1.1593354309105179E-6</v>
      </c>
    </row>
    <row r="12" spans="1:22">
      <c r="A12" t="s">
        <v>59</v>
      </c>
      <c r="B12" s="18">
        <v>2.4095570762554099</v>
      </c>
      <c r="C12">
        <f t="shared" si="2"/>
        <v>2.4168180232690302E-2</v>
      </c>
      <c r="H12" s="5" t="s">
        <v>12</v>
      </c>
      <c r="I12" s="5">
        <f t="shared" si="0"/>
        <v>39.1</v>
      </c>
      <c r="J12">
        <f>water!C32*$B$20</f>
        <v>0</v>
      </c>
      <c r="K12">
        <f>quartz!C32*$B$21</f>
        <v>0</v>
      </c>
      <c r="L12">
        <f>'K-feldspar'!C32*$B$22</f>
        <v>1.8282680989405165E-3</v>
      </c>
      <c r="M12">
        <f>plagioclase!C32*$B$23</f>
        <v>0</v>
      </c>
      <c r="N12">
        <f>calcite!C33*$B$24</f>
        <v>0</v>
      </c>
      <c r="O12">
        <f>siderite!C33*$B$25</f>
        <v>0</v>
      </c>
      <c r="P12">
        <f>pyrite!C33*$B$26</f>
        <v>0</v>
      </c>
      <c r="Q12">
        <f>Muscovite!C31*$B$27</f>
        <v>0</v>
      </c>
      <c r="R12">
        <f>Kaolinite!C31*$B$28</f>
        <v>0</v>
      </c>
      <c r="S12">
        <f>Chlorite_2!C32*$B$29</f>
        <v>6.9471733559481116E-5</v>
      </c>
      <c r="T12">
        <f>Smectite!C31*$B$30</f>
        <v>3.9625325539678772E-5</v>
      </c>
      <c r="U12">
        <f>Illite_1!C31*$B$31</f>
        <v>4.2428855140527145E-3</v>
      </c>
      <c r="V12">
        <f t="shared" si="1"/>
        <v>6.1802506720923904E-3</v>
      </c>
    </row>
    <row r="13" spans="1:22">
      <c r="A13" t="s">
        <v>72</v>
      </c>
      <c r="B13" s="18">
        <v>7.6622077940340798</v>
      </c>
      <c r="C13">
        <f t="shared" si="2"/>
        <v>7.6852970519512606E-2</v>
      </c>
      <c r="H13" s="5" t="s">
        <v>13</v>
      </c>
      <c r="I13" s="5">
        <f t="shared" si="0"/>
        <v>232.03800000000001</v>
      </c>
      <c r="J13">
        <f>water!C33*$B$20</f>
        <v>0</v>
      </c>
      <c r="K13">
        <f>quartz!C33*$B$21</f>
        <v>0</v>
      </c>
      <c r="L13">
        <f>'K-feldspar'!C33*$B$22</f>
        <v>0</v>
      </c>
      <c r="M13">
        <f>plagioclase!C33*$B$23</f>
        <v>0</v>
      </c>
      <c r="N13">
        <f>calcite!C34*$B$24</f>
        <v>0</v>
      </c>
      <c r="O13">
        <f>siderite!C34*$B$25</f>
        <v>0</v>
      </c>
      <c r="P13">
        <f>pyrite!C34*$B$26</f>
        <v>0</v>
      </c>
      <c r="Q13">
        <f>Muscovite!C32*$B$27</f>
        <v>0</v>
      </c>
      <c r="R13">
        <f>Kaolinite!C32*$B$28</f>
        <v>3.3522053543627368E-7</v>
      </c>
      <c r="S13">
        <f>Chlorite_2!C33*$B$29</f>
        <v>1.2157553372909195E-7</v>
      </c>
      <c r="T13">
        <f>Smectite!C32*$B$30</f>
        <v>1.5636153457957243E-7</v>
      </c>
      <c r="U13">
        <f>Illite_1!C32*$B$31</f>
        <v>1.8627302256816794E-6</v>
      </c>
      <c r="V13">
        <f t="shared" si="1"/>
        <v>2.4758878294266176E-6</v>
      </c>
    </row>
    <row r="14" spans="1:22">
      <c r="A14" t="s">
        <v>61</v>
      </c>
      <c r="B14" s="18">
        <v>1.32522180132954</v>
      </c>
      <c r="C14">
        <f t="shared" si="2"/>
        <v>1.3292152179518605E-2</v>
      </c>
      <c r="H14" s="5" t="s">
        <v>14</v>
      </c>
      <c r="I14" s="5">
        <f t="shared" si="0"/>
        <v>40.08</v>
      </c>
      <c r="J14">
        <f>water!C34*$B$20</f>
        <v>0</v>
      </c>
      <c r="K14">
        <f>quartz!C34*$B$21</f>
        <v>0</v>
      </c>
      <c r="L14">
        <f>'K-feldspar'!C34*$B$22</f>
        <v>0</v>
      </c>
      <c r="M14">
        <f>plagioclase!C34*$B$23</f>
        <v>2.9641633691878939E-3</v>
      </c>
      <c r="N14">
        <f>calcite!C35*$B$24</f>
        <v>4.3822399153227365E-3</v>
      </c>
      <c r="O14">
        <f>siderite!C35*$B$25</f>
        <v>0</v>
      </c>
      <c r="P14">
        <f>pyrite!C35*$B$26</f>
        <v>0</v>
      </c>
      <c r="Q14">
        <f>Muscovite!C33*$B$27</f>
        <v>0</v>
      </c>
      <c r="R14">
        <f>Kaolinite!C33*$B$28</f>
        <v>0</v>
      </c>
      <c r="S14">
        <f>Chlorite_2!C34*$B$29</f>
        <v>1.2157553372909194E-4</v>
      </c>
      <c r="T14">
        <f>Smectite!C33*$B$30</f>
        <v>1.5850130215871508E-5</v>
      </c>
      <c r="U14">
        <f>Illite_1!C33*$B$31</f>
        <v>1.0348501253787108E-4</v>
      </c>
      <c r="V14">
        <f t="shared" si="1"/>
        <v>7.5873139609934645E-3</v>
      </c>
    </row>
    <row r="15" spans="1:22">
      <c r="A15" t="s">
        <v>62</v>
      </c>
      <c r="B15" s="18">
        <v>1.8538298271112701</v>
      </c>
      <c r="C15">
        <f t="shared" si="2"/>
        <v>1.8594161484645048E-2</v>
      </c>
      <c r="H15" s="5" t="s">
        <v>15</v>
      </c>
      <c r="I15" s="5">
        <f t="shared" si="0"/>
        <v>238.029</v>
      </c>
      <c r="J15">
        <f>water!C35*$B$20</f>
        <v>0</v>
      </c>
      <c r="K15">
        <f>quartz!C35*$B$21</f>
        <v>0</v>
      </c>
      <c r="L15">
        <f>'K-feldspar'!C35*$B$22</f>
        <v>0</v>
      </c>
      <c r="M15">
        <f>plagioclase!C35*$B$23</f>
        <v>0</v>
      </c>
      <c r="N15">
        <f>calcite!C36*$B$24</f>
        <v>0</v>
      </c>
      <c r="O15">
        <f>siderite!C36*$B$25</f>
        <v>0</v>
      </c>
      <c r="P15">
        <f>pyrite!C36*$B$26</f>
        <v>0</v>
      </c>
      <c r="Q15">
        <f>Muscovite!C34*$B$27</f>
        <v>0</v>
      </c>
      <c r="R15">
        <f>Kaolinite!C34*$B$28</f>
        <v>9.5724086230135938E-8</v>
      </c>
      <c r="S15">
        <f>Chlorite_2!C35*$B$29</f>
        <v>5.0367006830623807E-8</v>
      </c>
      <c r="T15">
        <f>Smectite!C34*$B$30</f>
        <v>4.46181165576783E-8</v>
      </c>
      <c r="U15">
        <f>Illite_1!C34*$B$31</f>
        <v>5.3191296444465731E-7</v>
      </c>
      <c r="V15">
        <f t="shared" si="1"/>
        <v>7.2262217406309532E-7</v>
      </c>
    </row>
    <row r="16" spans="1:22">
      <c r="A16" t="s">
        <v>73</v>
      </c>
      <c r="B16" s="18">
        <v>4.2295538994463602</v>
      </c>
      <c r="C16">
        <f t="shared" si="2"/>
        <v>4.2422992156116272E-2</v>
      </c>
      <c r="H16" s="5" t="s">
        <v>42</v>
      </c>
      <c r="I16" s="5">
        <f t="shared" si="0"/>
        <v>32.066000000000003</v>
      </c>
      <c r="J16">
        <f>water!C36*$B$20</f>
        <v>0</v>
      </c>
      <c r="K16">
        <f>quartz!C36*$B$21</f>
        <v>0</v>
      </c>
      <c r="L16">
        <f>'K-feldspar'!C36*$B$22</f>
        <v>0</v>
      </c>
      <c r="M16">
        <f>plagioclase!C36*$B$23</f>
        <v>0</v>
      </c>
      <c r="N16">
        <f>calcite!C37*$B$24</f>
        <v>0</v>
      </c>
      <c r="O16">
        <f>siderite!C37*$B$25</f>
        <v>0</v>
      </c>
      <c r="P16">
        <f>pyrite!C37*$B$26</f>
        <v>5.0350535771841731E-3</v>
      </c>
      <c r="Q16">
        <f>Muscovite!C35*$B$27</f>
        <v>0</v>
      </c>
      <c r="R16">
        <f>Kaolinite!C35*$B$28</f>
        <v>1.1174017847875788E-4</v>
      </c>
      <c r="S16">
        <f>Chlorite_2!C36*$B$29</f>
        <v>1.7367933389870279E-5</v>
      </c>
      <c r="T16">
        <f>Smectite!C35*$B$30</f>
        <v>1.5850130215871508E-5</v>
      </c>
      <c r="U16">
        <f>Illite_1!C35*$B$31</f>
        <v>7.8648609528782026E-4</v>
      </c>
      <c r="V16">
        <f t="shared" si="1"/>
        <v>5.9664979145564933E-3</v>
      </c>
    </row>
    <row r="17" spans="1:22">
      <c r="B17">
        <f>SUM(B7:B16)</f>
        <v>99.699565836413328</v>
      </c>
      <c r="C17">
        <f>SUM(C7:C16)</f>
        <v>1.0000000000000002</v>
      </c>
      <c r="H17" s="5" t="s">
        <v>16</v>
      </c>
      <c r="I17" s="5">
        <f t="shared" si="0"/>
        <v>47.9</v>
      </c>
      <c r="J17">
        <f>water!C37*$B$20</f>
        <v>0</v>
      </c>
      <c r="K17">
        <f>quartz!C37*$B$21</f>
        <v>0</v>
      </c>
      <c r="L17">
        <f>'K-feldspar'!C37*$B$22</f>
        <v>0</v>
      </c>
      <c r="M17">
        <f>plagioclase!C37*$B$23</f>
        <v>0</v>
      </c>
      <c r="N17">
        <f>calcite!C38*$B$24</f>
        <v>0</v>
      </c>
      <c r="O17">
        <f>siderite!C38*$B$25</f>
        <v>0</v>
      </c>
      <c r="P17">
        <f>pyrite!C38*$B$26</f>
        <v>0</v>
      </c>
      <c r="Q17">
        <f>Muscovite!C36*$B$27</f>
        <v>0</v>
      </c>
      <c r="R17">
        <f>Kaolinite!C36*$B$28</f>
        <v>0</v>
      </c>
      <c r="S17">
        <f>Chlorite_2!C37*$B$29</f>
        <v>2.2925672074628766E-4</v>
      </c>
      <c r="T17">
        <f>Smectite!C36*$B$30</f>
        <v>0</v>
      </c>
      <c r="U17">
        <f>Illite_1!C36*$B$31</f>
        <v>0</v>
      </c>
      <c r="V17">
        <f t="shared" si="1"/>
        <v>2.2925672074628766E-4</v>
      </c>
    </row>
    <row r="18" spans="1:22">
      <c r="H18" s="5" t="s">
        <v>48</v>
      </c>
      <c r="I18" s="5">
        <f t="shared" si="0"/>
        <v>12.010999999999999</v>
      </c>
      <c r="J18">
        <v>0</v>
      </c>
      <c r="K18">
        <v>0</v>
      </c>
      <c r="L18">
        <f>'K-feldspar'!C38*$B$22</f>
        <v>0</v>
      </c>
      <c r="M18">
        <f>plagioclase!C38*$B$23</f>
        <v>0</v>
      </c>
      <c r="N18">
        <f>calcite!C39*$B$24</f>
        <v>1.313250589394745E-3</v>
      </c>
      <c r="O18">
        <f>siderite!C39*$B$25</f>
        <v>6.7476882600706913E-4</v>
      </c>
      <c r="P18">
        <f>pyrite!C39*$B$26</f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1"/>
        <v>1.9880194154018142E-3</v>
      </c>
    </row>
    <row r="19" spans="1:22">
      <c r="A19" t="s">
        <v>68</v>
      </c>
      <c r="B19" t="s">
        <v>74</v>
      </c>
      <c r="J19">
        <f t="shared" ref="J19:V19" si="3">SUM(J3:J18)</f>
        <v>6.5946942312369472E-2</v>
      </c>
      <c r="K19">
        <f t="shared" si="3"/>
        <v>0.69976462096153935</v>
      </c>
      <c r="L19">
        <f t="shared" si="3"/>
        <v>1.3015304995910301E-2</v>
      </c>
      <c r="M19">
        <f t="shared" si="3"/>
        <v>4.005251796443255E-2</v>
      </c>
      <c r="N19">
        <f t="shared" si="3"/>
        <v>1.0943682020074052E-2</v>
      </c>
      <c r="O19">
        <f t="shared" si="3"/>
        <v>6.5089826783785738E-3</v>
      </c>
      <c r="P19">
        <f t="shared" si="3"/>
        <v>2.2574362645090121E-2</v>
      </c>
      <c r="Q19">
        <f t="shared" si="3"/>
        <v>0</v>
      </c>
      <c r="R19">
        <f t="shared" si="3"/>
        <v>1.2415575386528656E-2</v>
      </c>
      <c r="S19">
        <f t="shared" si="3"/>
        <v>1.7367933389870277E-2</v>
      </c>
      <c r="T19">
        <f t="shared" si="3"/>
        <v>7.9250651079357543E-3</v>
      </c>
      <c r="U19">
        <f t="shared" si="3"/>
        <v>0.10348501253787108</v>
      </c>
      <c r="V19">
        <f t="shared" si="3"/>
        <v>1</v>
      </c>
    </row>
    <row r="20" spans="1:22">
      <c r="A20" t="s">
        <v>43</v>
      </c>
      <c r="B20">
        <f>F3*F4</f>
        <v>6.5946942312369458E-2</v>
      </c>
    </row>
    <row r="21" spans="1:22">
      <c r="A21" t="s">
        <v>44</v>
      </c>
      <c r="B21">
        <f t="shared" ref="B21:B26" si="4">C7*$F$4</f>
        <v>0.69976462096153935</v>
      </c>
    </row>
    <row r="22" spans="1:22">
      <c r="A22" t="s">
        <v>55</v>
      </c>
      <c r="B22">
        <f t="shared" si="4"/>
        <v>1.3015304995910301E-2</v>
      </c>
    </row>
    <row r="23" spans="1:22">
      <c r="A23" t="s">
        <v>56</v>
      </c>
      <c r="B23">
        <f t="shared" si="4"/>
        <v>4.005251796443255E-2</v>
      </c>
    </row>
    <row r="24" spans="1:22">
      <c r="A24" t="s">
        <v>57</v>
      </c>
      <c r="B24">
        <f t="shared" si="4"/>
        <v>1.0943682020074052E-2</v>
      </c>
    </row>
    <row r="25" spans="1:22">
      <c r="A25" t="s">
        <v>58</v>
      </c>
      <c r="B25">
        <f t="shared" si="4"/>
        <v>6.5089826783785738E-3</v>
      </c>
    </row>
    <row r="26" spans="1:22">
      <c r="A26" t="s">
        <v>59</v>
      </c>
      <c r="B26">
        <f t="shared" si="4"/>
        <v>2.2574362645090124E-2</v>
      </c>
    </row>
    <row r="27" spans="1:22">
      <c r="A27" t="s">
        <v>60</v>
      </c>
      <c r="B27">
        <f>(B1/100)*C13*$F$4</f>
        <v>0</v>
      </c>
    </row>
    <row r="28" spans="1:22">
      <c r="A28" t="s">
        <v>61</v>
      </c>
      <c r="B28">
        <f>C14*$F$4</f>
        <v>1.2415575386528654E-2</v>
      </c>
    </row>
    <row r="29" spans="1:22">
      <c r="A29" t="s">
        <v>62</v>
      </c>
      <c r="B29">
        <f>C15*$F$4</f>
        <v>1.7367933389870277E-2</v>
      </c>
    </row>
    <row r="30" spans="1:22">
      <c r="A30" t="s">
        <v>63</v>
      </c>
      <c r="B30">
        <f>(B2/100)*C16*$F$4</f>
        <v>7.9250651079357543E-3</v>
      </c>
    </row>
    <row r="31" spans="1:22">
      <c r="A31" t="s">
        <v>64</v>
      </c>
      <c r="B31">
        <f>((1-C1)*C13+(1-C2)*C16)*F4</f>
        <v>0.10348501253787108</v>
      </c>
    </row>
    <row r="32" spans="1:22">
      <c r="B32">
        <f>SUM(B20:B31)</f>
        <v>1.0000000000000002</v>
      </c>
    </row>
    <row r="34" spans="2:11">
      <c r="C34" s="5" t="s">
        <v>2</v>
      </c>
      <c r="D34" t="s">
        <v>3</v>
      </c>
      <c r="E34" s="5" t="s">
        <v>18</v>
      </c>
      <c r="F34" s="5" t="s">
        <v>19</v>
      </c>
      <c r="G34" t="s">
        <v>20</v>
      </c>
      <c r="I34" s="5" t="s">
        <v>21</v>
      </c>
      <c r="J34" s="5" t="s">
        <v>22</v>
      </c>
      <c r="K34" s="5" t="s">
        <v>23</v>
      </c>
    </row>
    <row r="35" spans="2:11">
      <c r="B35" s="5" t="s">
        <v>24</v>
      </c>
      <c r="C35" s="5">
        <v>1.008</v>
      </c>
      <c r="D35" s="10">
        <f t="shared" ref="D35:D50" si="5">V3</f>
        <v>8.9514058658847536E-3</v>
      </c>
      <c r="E35" s="11">
        <f t="shared" ref="E35:E50" si="6">100*D35</f>
        <v>0.8951405865884754</v>
      </c>
      <c r="F35" s="12">
        <f t="shared" ref="F35:F50" si="7">E35/C35</f>
        <v>0.8880362962187256</v>
      </c>
      <c r="G35" s="6">
        <f t="shared" ref="G35:G50" si="8">F35/$F$52</f>
        <v>0.15318768851899134</v>
      </c>
      <c r="H35" s="11">
        <f t="shared" ref="H35:H50" si="9">ROUND(G35,8)</f>
        <v>0.15318768999999999</v>
      </c>
      <c r="I35" s="5">
        <v>1</v>
      </c>
      <c r="J35" s="5">
        <f t="shared" ref="J35:J50" si="10">G35*I35</f>
        <v>0.15318768851899134</v>
      </c>
      <c r="K35" s="5">
        <f t="shared" ref="K35:K50" si="11">G35*C35</f>
        <v>0.15441319002714327</v>
      </c>
    </row>
    <row r="36" spans="2:11">
      <c r="B36" s="5" t="s">
        <v>25</v>
      </c>
      <c r="C36" s="5">
        <v>16</v>
      </c>
      <c r="D36" s="10">
        <f t="shared" si="5"/>
        <v>0.53573636975798444</v>
      </c>
      <c r="E36" s="11">
        <f t="shared" si="6"/>
        <v>53.573636975798443</v>
      </c>
      <c r="F36" s="12">
        <f t="shared" si="7"/>
        <v>3.3483523109874027</v>
      </c>
      <c r="G36" s="6">
        <f t="shared" si="8"/>
        <v>0.57759615575560663</v>
      </c>
      <c r="H36" s="11">
        <f t="shared" si="9"/>
        <v>0.57759616000000003</v>
      </c>
      <c r="I36" s="5">
        <v>8</v>
      </c>
      <c r="J36" s="5">
        <f t="shared" si="10"/>
        <v>4.6207692460448531</v>
      </c>
      <c r="K36" s="5">
        <f t="shared" si="11"/>
        <v>9.2415384920897061</v>
      </c>
    </row>
    <row r="37" spans="2:11">
      <c r="B37" s="5" t="s">
        <v>4</v>
      </c>
      <c r="C37" s="5">
        <v>22.991</v>
      </c>
      <c r="D37" s="10">
        <f t="shared" si="5"/>
        <v>1.8711531205505203E-3</v>
      </c>
      <c r="E37" s="11">
        <f t="shared" si="6"/>
        <v>0.18711531205505202</v>
      </c>
      <c r="F37" s="12">
        <f t="shared" si="7"/>
        <v>8.1386330327107136E-3</v>
      </c>
      <c r="G37" s="6">
        <f t="shared" si="8"/>
        <v>1.4039272801054383E-3</v>
      </c>
      <c r="H37" s="11">
        <f t="shared" si="9"/>
        <v>1.4039300000000001E-3</v>
      </c>
      <c r="I37" s="5">
        <v>11</v>
      </c>
      <c r="J37" s="5">
        <f t="shared" si="10"/>
        <v>1.5443200081159821E-2</v>
      </c>
      <c r="K37" s="5">
        <f t="shared" si="11"/>
        <v>3.2277692096904134E-2</v>
      </c>
    </row>
    <row r="38" spans="2:11">
      <c r="B38" s="5" t="s">
        <v>5</v>
      </c>
      <c r="C38" s="5">
        <v>55.85</v>
      </c>
      <c r="D38" s="10">
        <f t="shared" si="5"/>
        <v>3.2777871408770927E-2</v>
      </c>
      <c r="E38" s="11">
        <f t="shared" si="6"/>
        <v>3.2777871408770927</v>
      </c>
      <c r="F38" s="12">
        <f t="shared" si="7"/>
        <v>5.8689116219822604E-2</v>
      </c>
      <c r="G38" s="6">
        <f t="shared" si="8"/>
        <v>1.0123966884257507E-2</v>
      </c>
      <c r="H38" s="11">
        <f t="shared" si="9"/>
        <v>1.0123969999999999E-2</v>
      </c>
      <c r="I38" s="5">
        <v>26</v>
      </c>
      <c r="J38" s="5">
        <f t="shared" si="10"/>
        <v>0.26322313899069522</v>
      </c>
      <c r="K38" s="5">
        <f t="shared" si="11"/>
        <v>0.56542355048578175</v>
      </c>
    </row>
    <row r="39" spans="2:11">
      <c r="B39" s="5" t="s">
        <v>6</v>
      </c>
      <c r="C39" s="5">
        <v>24.32</v>
      </c>
      <c r="D39" s="10">
        <f t="shared" si="5"/>
        <v>1.2405261349633791E-3</v>
      </c>
      <c r="E39" s="11">
        <f t="shared" si="6"/>
        <v>0.12405261349633791</v>
      </c>
      <c r="F39" s="12">
        <f t="shared" si="7"/>
        <v>5.1008475944217891E-3</v>
      </c>
      <c r="G39" s="6">
        <f t="shared" si="8"/>
        <v>8.799044090926141E-4</v>
      </c>
      <c r="H39" s="11">
        <f t="shared" si="9"/>
        <v>8.7989999999999997E-4</v>
      </c>
      <c r="I39" s="5">
        <v>12</v>
      </c>
      <c r="J39" s="5">
        <f t="shared" si="10"/>
        <v>1.055885290911137E-2</v>
      </c>
      <c r="K39" s="5">
        <f t="shared" si="11"/>
        <v>2.1399275229132375E-2</v>
      </c>
    </row>
    <row r="40" spans="2:11">
      <c r="B40" s="5" t="s">
        <v>8</v>
      </c>
      <c r="C40" s="5">
        <v>26.98</v>
      </c>
      <c r="D40" s="10">
        <f t="shared" si="5"/>
        <v>2.2378919571373782E-2</v>
      </c>
      <c r="E40" s="11">
        <f t="shared" si="6"/>
        <v>2.2378919571373781</v>
      </c>
      <c r="F40" s="12">
        <f t="shared" si="7"/>
        <v>8.2946329026589258E-2</v>
      </c>
      <c r="G40" s="6">
        <f t="shared" si="8"/>
        <v>1.430837508424241E-2</v>
      </c>
      <c r="H40" s="11">
        <f t="shared" si="9"/>
        <v>1.4308380000000001E-2</v>
      </c>
      <c r="I40" s="5">
        <v>13</v>
      </c>
      <c r="J40" s="5">
        <f t="shared" si="10"/>
        <v>0.18600887609515132</v>
      </c>
      <c r="K40" s="5">
        <f t="shared" si="11"/>
        <v>0.38603995977286021</v>
      </c>
    </row>
    <row r="41" spans="2:11">
      <c r="B41" s="5" t="s">
        <v>9</v>
      </c>
      <c r="C41" s="5">
        <v>10.82</v>
      </c>
      <c r="D41" s="10">
        <f t="shared" si="5"/>
        <v>1.7555660134148442E-5</v>
      </c>
      <c r="E41" s="11">
        <f t="shared" si="6"/>
        <v>1.7555660134148442E-3</v>
      </c>
      <c r="F41" s="12">
        <f t="shared" si="7"/>
        <v>1.622519420900965E-4</v>
      </c>
      <c r="G41" s="6">
        <f t="shared" si="8"/>
        <v>2.7988720812800287E-5</v>
      </c>
      <c r="H41" s="11">
        <f t="shared" si="9"/>
        <v>2.7990000000000001E-5</v>
      </c>
      <c r="I41" s="5">
        <v>5</v>
      </c>
      <c r="J41" s="5">
        <f t="shared" si="10"/>
        <v>1.3994360406400144E-4</v>
      </c>
      <c r="K41" s="5">
        <f t="shared" si="11"/>
        <v>3.0283795919449908E-4</v>
      </c>
    </row>
    <row r="42" spans="2:11">
      <c r="B42" s="5" t="s">
        <v>10</v>
      </c>
      <c r="C42" s="5">
        <v>28.09</v>
      </c>
      <c r="D42" s="10">
        <f t="shared" si="5"/>
        <v>0.37507050195111324</v>
      </c>
      <c r="E42" s="11">
        <f t="shared" si="6"/>
        <v>37.507050195111326</v>
      </c>
      <c r="F42" s="12">
        <f t="shared" si="7"/>
        <v>1.3352456459633792</v>
      </c>
      <c r="G42" s="6">
        <f t="shared" si="8"/>
        <v>0.23033202019008245</v>
      </c>
      <c r="H42" s="11">
        <f t="shared" si="9"/>
        <v>0.23033202</v>
      </c>
      <c r="I42" s="5">
        <v>14</v>
      </c>
      <c r="J42" s="5">
        <f t="shared" si="10"/>
        <v>3.2246482826611542</v>
      </c>
      <c r="K42" s="5">
        <f t="shared" si="11"/>
        <v>6.470026447139416</v>
      </c>
    </row>
    <row r="43" spans="2:11">
      <c r="B43" s="5" t="s">
        <v>11</v>
      </c>
      <c r="C43" s="5">
        <v>157.25</v>
      </c>
      <c r="D43" s="10">
        <f t="shared" si="5"/>
        <v>1.1593354309105179E-6</v>
      </c>
      <c r="E43" s="11">
        <f t="shared" si="6"/>
        <v>1.1593354309105179E-4</v>
      </c>
      <c r="F43" s="12">
        <f t="shared" si="7"/>
        <v>7.3725623587314335E-7</v>
      </c>
      <c r="G43" s="6">
        <f t="shared" si="8"/>
        <v>1.2717788574691551E-7</v>
      </c>
      <c r="H43" s="11">
        <f t="shared" si="9"/>
        <v>1.3E-7</v>
      </c>
      <c r="I43" s="5">
        <v>64</v>
      </c>
      <c r="J43" s="5">
        <f t="shared" si="10"/>
        <v>8.1393846878025929E-6</v>
      </c>
      <c r="K43" s="5">
        <f t="shared" si="11"/>
        <v>1.9998722533702466E-5</v>
      </c>
    </row>
    <row r="44" spans="2:11">
      <c r="B44" s="5" t="s">
        <v>12</v>
      </c>
      <c r="C44" s="5">
        <v>39.1</v>
      </c>
      <c r="D44" s="10">
        <f t="shared" si="5"/>
        <v>6.1802506720923904E-3</v>
      </c>
      <c r="E44" s="11">
        <f t="shared" si="6"/>
        <v>0.618025067209239</v>
      </c>
      <c r="F44" s="12">
        <f t="shared" si="7"/>
        <v>1.5806267703561101E-2</v>
      </c>
      <c r="G44" s="6">
        <f t="shared" si="8"/>
        <v>2.7266065857115955E-3</v>
      </c>
      <c r="H44" s="11">
        <f t="shared" si="9"/>
        <v>2.72661E-3</v>
      </c>
      <c r="I44" s="5">
        <v>19</v>
      </c>
      <c r="J44" s="5">
        <f t="shared" si="10"/>
        <v>5.1805525128520311E-2</v>
      </c>
      <c r="K44" s="5">
        <f t="shared" si="11"/>
        <v>0.10661031750132338</v>
      </c>
    </row>
    <row r="45" spans="2:11">
      <c r="B45" s="5" t="s">
        <v>13</v>
      </c>
      <c r="C45" s="5">
        <v>232.03800000000001</v>
      </c>
      <c r="D45" s="10">
        <f t="shared" si="5"/>
        <v>2.4758878294266176E-6</v>
      </c>
      <c r="E45" s="11">
        <f t="shared" si="6"/>
        <v>2.4758878294266174E-4</v>
      </c>
      <c r="F45" s="12">
        <f t="shared" si="7"/>
        <v>1.0670182596930749E-6</v>
      </c>
      <c r="G45" s="6">
        <f t="shared" si="8"/>
        <v>1.8406236491225562E-7</v>
      </c>
      <c r="H45" s="11">
        <f t="shared" si="9"/>
        <v>1.8E-7</v>
      </c>
      <c r="I45" s="5">
        <v>90</v>
      </c>
      <c r="J45" s="5">
        <f t="shared" si="10"/>
        <v>1.6565612842103004E-5</v>
      </c>
      <c r="K45" s="5">
        <f t="shared" si="11"/>
        <v>4.2709463029509971E-5</v>
      </c>
    </row>
    <row r="46" spans="2:11">
      <c r="B46" s="5" t="s">
        <v>14</v>
      </c>
      <c r="C46" s="5">
        <v>40.08</v>
      </c>
      <c r="D46" s="10">
        <f t="shared" si="5"/>
        <v>7.5873139609934645E-3</v>
      </c>
      <c r="E46" s="11">
        <f t="shared" si="6"/>
        <v>0.75873139609934648</v>
      </c>
      <c r="F46" s="12">
        <f t="shared" si="7"/>
        <v>1.8930424054374912E-2</v>
      </c>
      <c r="G46" s="6">
        <f t="shared" si="8"/>
        <v>3.2655285779667623E-3</v>
      </c>
      <c r="H46" s="11">
        <f t="shared" si="9"/>
        <v>3.26553E-3</v>
      </c>
      <c r="I46" s="5">
        <v>20</v>
      </c>
      <c r="J46" s="5">
        <f t="shared" si="10"/>
        <v>6.5310571559335243E-2</v>
      </c>
      <c r="K46" s="5">
        <f t="shared" si="11"/>
        <v>0.13088238540490782</v>
      </c>
    </row>
    <row r="47" spans="2:11">
      <c r="B47" s="5" t="s">
        <v>15</v>
      </c>
      <c r="C47" s="5">
        <v>238.029</v>
      </c>
      <c r="D47" s="10">
        <f t="shared" si="5"/>
        <v>7.2262217406309532E-7</v>
      </c>
      <c r="E47" s="11">
        <f t="shared" si="6"/>
        <v>7.2262217406309528E-5</v>
      </c>
      <c r="F47" s="12">
        <f t="shared" si="7"/>
        <v>3.0358577066789981E-7</v>
      </c>
      <c r="G47" s="6">
        <f t="shared" si="8"/>
        <v>5.2369033421149405E-8</v>
      </c>
      <c r="H47" s="11">
        <f t="shared" si="9"/>
        <v>4.9999999999999998E-8</v>
      </c>
      <c r="I47" s="5">
        <v>92</v>
      </c>
      <c r="J47" s="5">
        <f t="shared" si="10"/>
        <v>4.8179510747457452E-6</v>
      </c>
      <c r="K47" s="5">
        <f t="shared" si="11"/>
        <v>1.2465348656202772E-5</v>
      </c>
    </row>
    <row r="48" spans="2:11">
      <c r="B48" s="5" t="s">
        <v>42</v>
      </c>
      <c r="C48" s="5">
        <v>32.066000000000003</v>
      </c>
      <c r="D48" s="10">
        <f t="shared" si="5"/>
        <v>5.9664979145564933E-3</v>
      </c>
      <c r="E48" s="11">
        <f t="shared" si="6"/>
        <v>0.59664979145564934</v>
      </c>
      <c r="F48" s="12">
        <f t="shared" si="7"/>
        <v>1.8606929191531507E-2</v>
      </c>
      <c r="G48" s="6">
        <f t="shared" si="8"/>
        <v>3.2097251941436492E-3</v>
      </c>
      <c r="H48" s="11">
        <f t="shared" si="9"/>
        <v>3.20973E-3</v>
      </c>
      <c r="I48" s="5">
        <v>16</v>
      </c>
      <c r="J48" s="5">
        <f t="shared" si="10"/>
        <v>5.1355603106298386E-2</v>
      </c>
      <c r="K48" s="5">
        <f t="shared" si="11"/>
        <v>0.10292304807541026</v>
      </c>
    </row>
    <row r="49" spans="2:11">
      <c r="B49" s="5" t="s">
        <v>16</v>
      </c>
      <c r="C49" s="5">
        <v>47.9</v>
      </c>
      <c r="D49" s="10">
        <f t="shared" si="5"/>
        <v>2.2925672074628766E-4</v>
      </c>
      <c r="E49" s="11">
        <f t="shared" si="6"/>
        <v>2.2925672074628766E-2</v>
      </c>
      <c r="F49" s="12">
        <f t="shared" si="7"/>
        <v>4.7861528339517256E-4</v>
      </c>
      <c r="G49" s="6">
        <f t="shared" si="8"/>
        <v>8.2561905707410476E-5</v>
      </c>
      <c r="H49" s="11">
        <f t="shared" si="9"/>
        <v>8.2559999999999996E-5</v>
      </c>
      <c r="I49" s="5">
        <v>22</v>
      </c>
      <c r="J49" s="5">
        <f t="shared" si="10"/>
        <v>1.8163619255630306E-3</v>
      </c>
      <c r="K49" s="5">
        <f t="shared" si="11"/>
        <v>3.9547152833849615E-3</v>
      </c>
    </row>
    <row r="50" spans="2:11">
      <c r="B50" s="5" t="s">
        <v>48</v>
      </c>
      <c r="C50" s="5">
        <v>12.010999999999999</v>
      </c>
      <c r="D50" s="10">
        <f t="shared" si="5"/>
        <v>1.9880194154018142E-3</v>
      </c>
      <c r="E50" s="11">
        <f t="shared" si="6"/>
        <v>0.19880194154018144</v>
      </c>
      <c r="F50" s="12">
        <f t="shared" si="7"/>
        <v>1.6551656110247392E-2</v>
      </c>
      <c r="G50" s="6">
        <f t="shared" si="8"/>
        <v>2.8551872839953549E-3</v>
      </c>
      <c r="H50" s="11">
        <f t="shared" si="9"/>
        <v>2.8551900000000001E-3</v>
      </c>
      <c r="I50" s="5">
        <v>6</v>
      </c>
      <c r="J50" s="5">
        <f t="shared" si="10"/>
        <v>1.7131123703972129E-2</v>
      </c>
      <c r="K50" s="5">
        <f t="shared" si="11"/>
        <v>3.4293654468068209E-2</v>
      </c>
    </row>
    <row r="51" spans="2:11">
      <c r="G51" s="7"/>
      <c r="I51" s="3"/>
      <c r="J51" s="3"/>
      <c r="K51" s="3"/>
    </row>
    <row r="52" spans="2:11">
      <c r="B52" s="5" t="s">
        <v>26</v>
      </c>
      <c r="D52" s="5">
        <f>SUM(D35:D50)</f>
        <v>1</v>
      </c>
      <c r="E52" s="5">
        <f>SUM(E35:E50)</f>
        <v>100.00000000000001</v>
      </c>
      <c r="F52" s="15">
        <f>SUM(F35:F50)</f>
        <v>5.7970474311885178</v>
      </c>
      <c r="G52" s="15">
        <f>SUM(G35:G50)</f>
        <v>1</v>
      </c>
      <c r="H52" s="5">
        <f>SUM(H35:H50)</f>
        <v>1.0000000199999999</v>
      </c>
      <c r="I52" s="3"/>
      <c r="J52" s="3"/>
      <c r="K52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topLeftCell="A7" zoomScaleNormal="100" workbookViewId="0">
      <selection activeCell="F30" sqref="F30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.7109375" style="3"/>
    <col min="8" max="256" width="11.5703125" style="3"/>
    <col min="257" max="1025" width="9.85546875"/>
  </cols>
  <sheetData>
    <row r="1" spans="1:10">
      <c r="A1" s="2" t="s">
        <v>32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>
        <v>3.3E-3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>
        <v>0.1363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>
        <v>7.4300000000000005E-2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>
        <v>4.0500000000000001E-2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>
        <v>8.2799999999999999E-2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3.4999999999999997E-5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>
        <v>0.17460000000000001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1.9999999999999999E-7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7.0499999999999993E-2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1.5E-6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5.4000000000000003E-3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6.9999999999999997E-7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1.8200000000000001E-2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0.39406260000000004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4.5319715808170525E-3</v>
      </c>
      <c r="D22" s="11">
        <f t="shared" ref="D22:D35" si="1">100*C22</f>
        <v>0.45319715808170524</v>
      </c>
      <c r="E22" s="12">
        <f t="shared" ref="E22:E35" si="2">D22/B22</f>
        <v>0.44960035523978692</v>
      </c>
      <c r="F22" s="6">
        <f t="shared" ref="F22:F35" si="3">E22/$E$37</f>
        <v>9.2476691213187467E-2</v>
      </c>
      <c r="G22" s="11">
        <f t="shared" ref="G22:G35" si="4">ROUND(F22,8)</f>
        <v>9.247669E-2</v>
      </c>
      <c r="H22" s="5">
        <v>1</v>
      </c>
      <c r="I22" s="5">
        <f t="shared" ref="I22:I35" si="5">F22*H22</f>
        <v>9.2476691213187467E-2</v>
      </c>
      <c r="J22" s="5">
        <f t="shared" ref="J22:J35" si="6">F22*B22</f>
        <v>9.3216504742892961E-2</v>
      </c>
    </row>
    <row r="23" spans="1:10">
      <c r="A23" s="5" t="s">
        <v>25</v>
      </c>
      <c r="B23" s="5">
        <v>16</v>
      </c>
      <c r="C23" s="10">
        <f>C18+C8*(B23/B8)</f>
        <v>0.43003062841918299</v>
      </c>
      <c r="D23" s="11">
        <f t="shared" si="1"/>
        <v>43.0030628419183</v>
      </c>
      <c r="E23" s="12">
        <f t="shared" si="2"/>
        <v>2.6876914276198938</v>
      </c>
      <c r="F23" s="6">
        <f t="shared" si="3"/>
        <v>0.55282165000909866</v>
      </c>
      <c r="G23" s="11">
        <f t="shared" si="4"/>
        <v>0.55282165000000005</v>
      </c>
      <c r="H23" s="5">
        <v>8</v>
      </c>
      <c r="I23" s="5">
        <f t="shared" si="5"/>
        <v>4.4225732000727893</v>
      </c>
      <c r="J23" s="5">
        <f t="shared" si="6"/>
        <v>8.8451464001455786</v>
      </c>
    </row>
    <row r="24" spans="1:10">
      <c r="A24" s="5" t="s">
        <v>4</v>
      </c>
      <c r="B24" s="5">
        <v>22.991</v>
      </c>
      <c r="C24" s="10">
        <f>C5</f>
        <v>3.3E-3</v>
      </c>
      <c r="D24" s="11">
        <f t="shared" si="1"/>
        <v>0.33</v>
      </c>
      <c r="E24" s="12">
        <f t="shared" si="2"/>
        <v>1.4353442651472316E-2</v>
      </c>
      <c r="F24" s="6">
        <f t="shared" si="3"/>
        <v>2.9523083521997557E-3</v>
      </c>
      <c r="G24" s="11">
        <f t="shared" si="4"/>
        <v>2.9523100000000001E-3</v>
      </c>
      <c r="H24" s="5">
        <v>11</v>
      </c>
      <c r="I24" s="5">
        <f t="shared" si="5"/>
        <v>3.2475391874197311E-2</v>
      </c>
      <c r="J24" s="5">
        <f t="shared" si="6"/>
        <v>6.7876521325424585E-2</v>
      </c>
    </row>
    <row r="25" spans="1:10">
      <c r="A25" s="5" t="s">
        <v>5</v>
      </c>
      <c r="B25" s="5">
        <v>55.85</v>
      </c>
      <c r="C25" s="10">
        <f>C6</f>
        <v>0.1363</v>
      </c>
      <c r="D25" s="11">
        <f t="shared" si="1"/>
        <v>13.63</v>
      </c>
      <c r="E25" s="12">
        <f t="shared" si="2"/>
        <v>0.24404655326768129</v>
      </c>
      <c r="F25" s="6">
        <f t="shared" si="3"/>
        <v>5.0197063870515563E-2</v>
      </c>
      <c r="G25" s="11">
        <f t="shared" si="4"/>
        <v>5.0197060000000002E-2</v>
      </c>
      <c r="H25" s="5">
        <v>26</v>
      </c>
      <c r="I25" s="5">
        <f t="shared" si="5"/>
        <v>1.3051236606334047</v>
      </c>
      <c r="J25" s="5">
        <f t="shared" si="6"/>
        <v>2.8035060171682944</v>
      </c>
    </row>
    <row r="26" spans="1:10">
      <c r="A26" s="5" t="s">
        <v>6</v>
      </c>
      <c r="B26" s="5">
        <v>24.32</v>
      </c>
      <c r="C26" s="10">
        <f>C7</f>
        <v>7.4300000000000005E-2</v>
      </c>
      <c r="D26" s="11">
        <f t="shared" si="1"/>
        <v>7.4300000000000006</v>
      </c>
      <c r="E26" s="12">
        <f t="shared" si="2"/>
        <v>0.30550986842105265</v>
      </c>
      <c r="F26" s="6">
        <f t="shared" si="3"/>
        <v>6.283923363336133E-2</v>
      </c>
      <c r="G26" s="11">
        <f t="shared" si="4"/>
        <v>6.2839229999999996E-2</v>
      </c>
      <c r="H26" s="5">
        <v>12</v>
      </c>
      <c r="I26" s="5">
        <f t="shared" si="5"/>
        <v>0.75407080360033596</v>
      </c>
      <c r="J26" s="5">
        <f t="shared" si="6"/>
        <v>1.5282501619633475</v>
      </c>
    </row>
    <row r="27" spans="1:10">
      <c r="A27" s="5" t="s">
        <v>8</v>
      </c>
      <c r="B27" s="5">
        <v>26.98</v>
      </c>
      <c r="C27" s="10">
        <f t="shared" ref="C27:C35" si="7">C9</f>
        <v>8.2799999999999999E-2</v>
      </c>
      <c r="D27" s="11">
        <f t="shared" si="1"/>
        <v>8.2799999999999994</v>
      </c>
      <c r="E27" s="12">
        <f t="shared" si="2"/>
        <v>0.30689399555226088</v>
      </c>
      <c r="F27" s="6">
        <f t="shared" si="3"/>
        <v>6.3123929799235728E-2</v>
      </c>
      <c r="G27" s="11">
        <f t="shared" si="4"/>
        <v>6.3123929999999995E-2</v>
      </c>
      <c r="H27" s="5">
        <v>13</v>
      </c>
      <c r="I27" s="5">
        <f t="shared" si="5"/>
        <v>0.8206110873900645</v>
      </c>
      <c r="J27" s="5">
        <f t="shared" si="6"/>
        <v>1.7030836259833799</v>
      </c>
    </row>
    <row r="28" spans="1:10">
      <c r="A28" s="5" t="s">
        <v>9</v>
      </c>
      <c r="B28" s="5">
        <v>10.82</v>
      </c>
      <c r="C28" s="10">
        <f t="shared" si="7"/>
        <v>3.4999999999999997E-5</v>
      </c>
      <c r="D28" s="11">
        <f t="shared" si="1"/>
        <v>3.4999999999999996E-3</v>
      </c>
      <c r="E28" s="12">
        <f t="shared" si="2"/>
        <v>3.2347504621072084E-4</v>
      </c>
      <c r="F28" s="6">
        <f t="shared" si="3"/>
        <v>6.6534426885953626E-5</v>
      </c>
      <c r="G28" s="11">
        <f t="shared" si="4"/>
        <v>6.6530000000000002E-5</v>
      </c>
      <c r="H28" s="5">
        <v>5</v>
      </c>
      <c r="I28" s="5">
        <f t="shared" si="5"/>
        <v>3.326721344297681E-4</v>
      </c>
      <c r="J28" s="5">
        <f t="shared" si="6"/>
        <v>7.199024989060183E-4</v>
      </c>
    </row>
    <row r="29" spans="1:10">
      <c r="A29" s="5" t="s">
        <v>10</v>
      </c>
      <c r="B29" s="5">
        <v>28.09</v>
      </c>
      <c r="C29" s="10">
        <f t="shared" si="7"/>
        <v>0.17460000000000001</v>
      </c>
      <c r="D29" s="11">
        <f t="shared" si="1"/>
        <v>17.46</v>
      </c>
      <c r="E29" s="12">
        <f t="shared" si="2"/>
        <v>0.62157351370594516</v>
      </c>
      <c r="F29" s="6">
        <f t="shared" si="3"/>
        <v>0.12784923593448688</v>
      </c>
      <c r="G29" s="11">
        <f t="shared" si="4"/>
        <v>0.12784924</v>
      </c>
      <c r="H29" s="5">
        <v>14</v>
      </c>
      <c r="I29" s="5">
        <f t="shared" si="5"/>
        <v>1.7898893030828162</v>
      </c>
      <c r="J29" s="5">
        <f t="shared" si="6"/>
        <v>3.5912850373997367</v>
      </c>
    </row>
    <row r="30" spans="1:10">
      <c r="A30" s="5" t="s">
        <v>11</v>
      </c>
      <c r="B30" s="5">
        <v>157.25</v>
      </c>
      <c r="C30" s="10">
        <f t="shared" si="7"/>
        <v>1.9999999999999999E-7</v>
      </c>
      <c r="D30" s="11">
        <f t="shared" si="1"/>
        <v>1.9999999999999998E-5</v>
      </c>
      <c r="E30" s="12">
        <f t="shared" si="2"/>
        <v>1.271860095389507E-7</v>
      </c>
      <c r="F30" s="6">
        <f t="shared" si="3"/>
        <v>2.6160436026564367E-8</v>
      </c>
      <c r="G30" s="11">
        <f t="shared" si="4"/>
        <v>2.9999999999999997E-8</v>
      </c>
      <c r="H30" s="5">
        <v>64</v>
      </c>
      <c r="I30" s="5">
        <f t="shared" si="5"/>
        <v>1.6742679057001195E-6</v>
      </c>
      <c r="J30" s="5">
        <f t="shared" si="6"/>
        <v>4.113728565177247E-6</v>
      </c>
    </row>
    <row r="31" spans="1:10">
      <c r="A31" s="5" t="s">
        <v>12</v>
      </c>
      <c r="B31" s="5">
        <v>39.1</v>
      </c>
      <c r="C31" s="10">
        <f t="shared" si="7"/>
        <v>7.0499999999999993E-2</v>
      </c>
      <c r="D31" s="11">
        <f t="shared" si="1"/>
        <v>7.0499999999999989</v>
      </c>
      <c r="E31" s="12">
        <f t="shared" si="2"/>
        <v>0.18030690537084396</v>
      </c>
      <c r="F31" s="6">
        <f t="shared" si="3"/>
        <v>3.708668335613758E-2</v>
      </c>
      <c r="G31" s="11">
        <f t="shared" si="4"/>
        <v>3.7086679999999997E-2</v>
      </c>
      <c r="H31" s="5">
        <v>19</v>
      </c>
      <c r="I31" s="5">
        <f t="shared" si="5"/>
        <v>0.70464698376661405</v>
      </c>
      <c r="J31" s="5">
        <f t="shared" si="6"/>
        <v>1.4500893192249795</v>
      </c>
    </row>
    <row r="32" spans="1:10">
      <c r="A32" s="5" t="s">
        <v>13</v>
      </c>
      <c r="B32" s="5">
        <v>232.03800000000001</v>
      </c>
      <c r="C32" s="10">
        <f t="shared" si="7"/>
        <v>1.5E-6</v>
      </c>
      <c r="D32" s="11">
        <f t="shared" si="1"/>
        <v>1.5000000000000001E-4</v>
      </c>
      <c r="E32" s="12">
        <f t="shared" si="2"/>
        <v>6.4644584076746057E-7</v>
      </c>
      <c r="F32" s="6">
        <f t="shared" si="3"/>
        <v>1.3296513605025625E-7</v>
      </c>
      <c r="G32" s="11">
        <f t="shared" si="4"/>
        <v>1.3E-7</v>
      </c>
      <c r="H32" s="5">
        <v>90</v>
      </c>
      <c r="I32" s="5">
        <f t="shared" si="5"/>
        <v>1.1966862244523064E-5</v>
      </c>
      <c r="J32" s="5">
        <f t="shared" si="6"/>
        <v>3.0852964238829361E-5</v>
      </c>
    </row>
    <row r="33" spans="1:10">
      <c r="A33" s="5" t="s">
        <v>14</v>
      </c>
      <c r="B33" s="5">
        <v>40.08</v>
      </c>
      <c r="C33" s="10">
        <f t="shared" si="7"/>
        <v>5.4000000000000003E-3</v>
      </c>
      <c r="D33" s="11">
        <f t="shared" si="1"/>
        <v>0.54</v>
      </c>
      <c r="E33" s="12">
        <f t="shared" si="2"/>
        <v>1.3473053892215571E-2</v>
      </c>
      <c r="F33" s="6">
        <f t="shared" si="3"/>
        <v>2.7712243328289845E-3</v>
      </c>
      <c r="G33" s="11">
        <f t="shared" si="4"/>
        <v>2.77122E-3</v>
      </c>
      <c r="H33" s="5">
        <v>20</v>
      </c>
      <c r="I33" s="5">
        <f t="shared" si="5"/>
        <v>5.5424486656579688E-2</v>
      </c>
      <c r="J33" s="5">
        <f t="shared" si="6"/>
        <v>0.11107067125978569</v>
      </c>
    </row>
    <row r="34" spans="1:10">
      <c r="A34" s="5" t="s">
        <v>15</v>
      </c>
      <c r="B34" s="5">
        <v>238.029</v>
      </c>
      <c r="C34" s="10">
        <f t="shared" si="7"/>
        <v>6.9999999999999997E-7</v>
      </c>
      <c r="D34" s="11">
        <f t="shared" si="1"/>
        <v>6.9999999999999994E-5</v>
      </c>
      <c r="E34" s="12">
        <f t="shared" si="2"/>
        <v>2.9408181356053253E-7</v>
      </c>
      <c r="F34" s="6">
        <f t="shared" si="3"/>
        <v>6.0488637847154616E-8</v>
      </c>
      <c r="G34" s="11">
        <f t="shared" si="4"/>
        <v>5.9999999999999995E-8</v>
      </c>
      <c r="H34" s="5">
        <v>92</v>
      </c>
      <c r="I34" s="5">
        <f t="shared" si="5"/>
        <v>5.5649546819382248E-6</v>
      </c>
      <c r="J34" s="5">
        <f t="shared" si="6"/>
        <v>1.4398049978120365E-5</v>
      </c>
    </row>
    <row r="35" spans="1:10">
      <c r="A35" s="5" t="s">
        <v>16</v>
      </c>
      <c r="B35" s="5">
        <v>47.9</v>
      </c>
      <c r="C35" s="10">
        <f t="shared" si="7"/>
        <v>1.8200000000000001E-2</v>
      </c>
      <c r="D35" s="11">
        <f t="shared" si="1"/>
        <v>1.82</v>
      </c>
      <c r="E35" s="12">
        <f t="shared" si="2"/>
        <v>3.7995824634655534E-2</v>
      </c>
      <c r="F35" s="6">
        <f t="shared" si="3"/>
        <v>7.8152254578523917E-3</v>
      </c>
      <c r="G35" s="11">
        <f t="shared" si="4"/>
        <v>7.8152299999999994E-3</v>
      </c>
      <c r="H35" s="5">
        <v>22</v>
      </c>
      <c r="I35" s="5">
        <f t="shared" si="5"/>
        <v>0.17193496007275261</v>
      </c>
      <c r="J35" s="5">
        <f t="shared" si="6"/>
        <v>0.37434929943112955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100.00000000000001</v>
      </c>
      <c r="E37" s="15">
        <f>SUM(E22:E35)</f>
        <v>4.8617694831156815</v>
      </c>
      <c r="F37" s="15">
        <f>SUM(F22:F35)</f>
        <v>1.0000000000000002</v>
      </c>
      <c r="G37" s="5">
        <f>SUM(G22:G35)</f>
        <v>0.99999999000000006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0.09247669 O 0.55282165 Na 0.00295231 Fe 0.05019706 Mg 0.06283923 Al 0.06312393 B 0.00006653 Si 0.12784924 Gd 0.00000003 K 0.03708668 Th 0.00000013 Ca 0.00277122 U 0.00000006 Ti 0.00781523</v>
      </c>
      <c r="B39"/>
    </row>
    <row r="40" spans="1:10">
      <c r="A40"/>
      <c r="B40"/>
    </row>
    <row r="41" spans="1:10">
      <c r="A41" s="5" t="s">
        <v>27</v>
      </c>
      <c r="B41" s="5">
        <v>3.02</v>
      </c>
    </row>
    <row r="42" spans="1:10">
      <c r="A42" s="5" t="s">
        <v>28</v>
      </c>
      <c r="B42" s="5">
        <f>100*B41*C22/0.1119</f>
        <v>12.231058243134493</v>
      </c>
    </row>
    <row r="43" spans="1:10">
      <c r="A43" s="5" t="s">
        <v>29</v>
      </c>
      <c r="B43" s="5">
        <f>2*SUM(I22:I35)*B41/SUM(J22:J35)</f>
        <v>2.980432609788096</v>
      </c>
    </row>
    <row r="44" spans="1:10">
      <c r="A44" s="5" t="s">
        <v>30</v>
      </c>
      <c r="B44" s="5">
        <f>1.0704*B43-0.1883</f>
        <v>3.0019550655171781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topLeftCell="A4" zoomScaleNormal="100" workbookViewId="0">
      <selection activeCell="F34" sqref="F34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4.140625" style="3"/>
    <col min="8" max="256" width="11.5703125" style="3"/>
    <col min="257" max="1025" width="9.85546875"/>
  </cols>
  <sheetData>
    <row r="1" spans="1:256">
      <c r="A1" s="2" t="s">
        <v>33</v>
      </c>
      <c r="B1" s="2"/>
      <c r="C1" s="2"/>
      <c r="D1" s="2"/>
      <c r="E1" s="2"/>
      <c r="F1" s="2"/>
      <c r="G1"/>
      <c r="H1"/>
      <c r="I1"/>
      <c r="J1"/>
      <c r="IT1"/>
      <c r="IU1"/>
      <c r="IV1"/>
    </row>
    <row r="2" spans="1:256">
      <c r="A2" s="1" t="s">
        <v>1</v>
      </c>
      <c r="B2" s="1"/>
      <c r="C2" s="1"/>
      <c r="D2" s="1"/>
      <c r="E2" s="1"/>
      <c r="F2" s="1"/>
      <c r="G2"/>
      <c r="H2"/>
      <c r="I2"/>
      <c r="J2"/>
      <c r="IT2"/>
      <c r="IU2"/>
      <c r="IV2"/>
    </row>
    <row r="3" spans="1:256">
      <c r="A3" s="4"/>
      <c r="B3"/>
      <c r="C3"/>
      <c r="D3"/>
      <c r="E3"/>
      <c r="F3"/>
      <c r="G3"/>
      <c r="H3"/>
      <c r="I3"/>
      <c r="J3"/>
      <c r="IT3"/>
      <c r="IU3"/>
      <c r="IV3"/>
    </row>
    <row r="4" spans="1:256">
      <c r="A4"/>
      <c r="B4" s="5" t="s">
        <v>2</v>
      </c>
      <c r="C4" t="s">
        <v>3</v>
      </c>
      <c r="D4"/>
      <c r="E4"/>
      <c r="F4"/>
      <c r="G4"/>
      <c r="H4"/>
      <c r="I4"/>
      <c r="J4"/>
      <c r="IT4"/>
      <c r="IU4"/>
      <c r="IV4"/>
    </row>
    <row r="5" spans="1:256">
      <c r="A5" s="5" t="s">
        <v>4</v>
      </c>
      <c r="B5" s="5">
        <f>B24</f>
        <v>22.991</v>
      </c>
      <c r="C5" s="16">
        <v>3.5000000000000001E-3</v>
      </c>
      <c r="D5"/>
      <c r="E5"/>
      <c r="F5" s="7"/>
      <c r="G5"/>
      <c r="H5"/>
      <c r="I5"/>
      <c r="J5"/>
      <c r="IT5"/>
      <c r="IU5"/>
      <c r="IV5"/>
    </row>
    <row r="6" spans="1:256">
      <c r="A6" s="5" t="s">
        <v>5</v>
      </c>
      <c r="B6" s="5">
        <f>B25</f>
        <v>55.85</v>
      </c>
      <c r="C6" s="16">
        <v>0.1605</v>
      </c>
      <c r="D6"/>
      <c r="E6"/>
      <c r="F6" s="7"/>
      <c r="G6"/>
      <c r="H6"/>
      <c r="I6"/>
      <c r="J6"/>
      <c r="IT6"/>
      <c r="IU6"/>
      <c r="IV6"/>
    </row>
    <row r="7" spans="1:256">
      <c r="A7" s="5" t="s">
        <v>6</v>
      </c>
      <c r="B7" s="5">
        <f>B26</f>
        <v>24.32</v>
      </c>
      <c r="C7" s="16">
        <v>2.2599999999999999E-2</v>
      </c>
      <c r="D7"/>
      <c r="E7"/>
      <c r="F7" s="7"/>
      <c r="G7"/>
      <c r="H7"/>
      <c r="I7"/>
      <c r="J7"/>
      <c r="IT7"/>
      <c r="IU7"/>
      <c r="IV7"/>
    </row>
    <row r="8" spans="1:256">
      <c r="A8" s="5" t="s">
        <v>7</v>
      </c>
      <c r="B8" s="5">
        <f>2*B22+B23</f>
        <v>18.015999999999998</v>
      </c>
      <c r="C8" s="16">
        <v>4.2299999999999997E-2</v>
      </c>
      <c r="D8"/>
      <c r="E8"/>
      <c r="F8" s="7"/>
      <c r="G8"/>
      <c r="H8"/>
      <c r="I8"/>
      <c r="J8"/>
      <c r="IT8"/>
      <c r="IU8"/>
      <c r="IV8"/>
    </row>
    <row r="9" spans="1:256">
      <c r="A9" s="5" t="s">
        <v>8</v>
      </c>
      <c r="B9" s="5">
        <f t="shared" ref="B9:B17" si="0">B27</f>
        <v>26.98</v>
      </c>
      <c r="C9" s="16">
        <v>4.99E-2</v>
      </c>
      <c r="D9"/>
      <c r="E9"/>
      <c r="F9" s="7"/>
      <c r="G9"/>
      <c r="H9"/>
      <c r="I9"/>
      <c r="J9"/>
      <c r="IT9"/>
      <c r="IU9"/>
      <c r="IV9"/>
    </row>
    <row r="10" spans="1:256">
      <c r="A10" s="5" t="s">
        <v>9</v>
      </c>
      <c r="B10" s="5">
        <f t="shared" si="0"/>
        <v>10.82</v>
      </c>
      <c r="C10" s="16">
        <v>5.0000000000000001E-4</v>
      </c>
      <c r="D10"/>
      <c r="E10"/>
      <c r="F10" s="7"/>
      <c r="G10"/>
      <c r="H10"/>
      <c r="I10"/>
      <c r="J10"/>
      <c r="IT10"/>
      <c r="IU10"/>
      <c r="IV10"/>
    </row>
    <row r="11" spans="1:256">
      <c r="A11" s="5" t="s">
        <v>10</v>
      </c>
      <c r="B11" s="5">
        <f t="shared" si="0"/>
        <v>28.09</v>
      </c>
      <c r="C11" s="16">
        <v>0.24049999999999999</v>
      </c>
      <c r="D11"/>
      <c r="E11"/>
      <c r="F11" s="7"/>
      <c r="G11"/>
      <c r="H11"/>
      <c r="I11"/>
      <c r="J11"/>
      <c r="IT11"/>
      <c r="IU11"/>
      <c r="IV11"/>
    </row>
    <row r="12" spans="1:256">
      <c r="A12" s="5" t="s">
        <v>11</v>
      </c>
      <c r="B12" s="5">
        <f t="shared" si="0"/>
        <v>157.25</v>
      </c>
      <c r="C12" s="16">
        <v>3.9999999999999998E-6</v>
      </c>
      <c r="D12"/>
      <c r="E12"/>
      <c r="F12" s="7"/>
      <c r="G12"/>
      <c r="H12"/>
      <c r="I12"/>
      <c r="J12"/>
      <c r="IT12"/>
      <c r="IU12"/>
      <c r="IV12"/>
    </row>
    <row r="13" spans="1:256">
      <c r="A13" s="5" t="s">
        <v>12</v>
      </c>
      <c r="B13" s="5">
        <f t="shared" si="0"/>
        <v>39.1</v>
      </c>
      <c r="C13" s="16">
        <v>5.9900000000000002E-2</v>
      </c>
      <c r="D13"/>
      <c r="E13"/>
      <c r="F13" s="7"/>
      <c r="G13"/>
      <c r="H13"/>
      <c r="I13"/>
      <c r="J13"/>
      <c r="IT13"/>
      <c r="IU13"/>
      <c r="IV13"/>
    </row>
    <row r="14" spans="1:256">
      <c r="A14" s="5" t="s">
        <v>13</v>
      </c>
      <c r="B14" s="5">
        <f t="shared" si="0"/>
        <v>232.03800000000001</v>
      </c>
      <c r="C14" s="16">
        <v>3.0000000000000001E-6</v>
      </c>
      <c r="D14"/>
      <c r="E14"/>
      <c r="F14" s="7"/>
      <c r="G14"/>
      <c r="H14"/>
      <c r="I14"/>
      <c r="J14"/>
      <c r="IT14"/>
      <c r="IU14"/>
      <c r="IV14"/>
    </row>
    <row r="15" spans="1:256">
      <c r="A15" s="5" t="s">
        <v>14</v>
      </c>
      <c r="B15" s="5">
        <f t="shared" si="0"/>
        <v>40.08</v>
      </c>
      <c r="C15" s="16">
        <v>4.7000000000000002E-3</v>
      </c>
      <c r="D15"/>
      <c r="E15"/>
      <c r="F15" s="7"/>
      <c r="G15"/>
      <c r="H15"/>
      <c r="I15"/>
      <c r="J15"/>
      <c r="IT15"/>
      <c r="IU15"/>
      <c r="IV15"/>
    </row>
    <row r="16" spans="1:256">
      <c r="A16" s="5" t="s">
        <v>15</v>
      </c>
      <c r="B16" s="5">
        <f t="shared" si="0"/>
        <v>238.029</v>
      </c>
      <c r="C16" s="16">
        <v>5.4E-6</v>
      </c>
      <c r="D16"/>
      <c r="E16"/>
      <c r="F16" s="7"/>
      <c r="G16"/>
      <c r="H16"/>
      <c r="I16"/>
      <c r="J16"/>
      <c r="IT16"/>
      <c r="IU16"/>
      <c r="IV16"/>
    </row>
    <row r="17" spans="1:256">
      <c r="A17" s="5" t="s">
        <v>16</v>
      </c>
      <c r="B17" s="5">
        <f t="shared" si="0"/>
        <v>47.9</v>
      </c>
      <c r="C17" s="16">
        <v>1.1000000000000001E-3</v>
      </c>
      <c r="D17"/>
      <c r="E17"/>
      <c r="F17" s="7"/>
      <c r="G17"/>
      <c r="H17"/>
      <c r="I17"/>
      <c r="J17"/>
      <c r="IT17"/>
      <c r="IU17"/>
      <c r="IV17"/>
    </row>
    <row r="18" spans="1:256">
      <c r="A18" s="8" t="s">
        <v>17</v>
      </c>
      <c r="B18" s="8">
        <f>B23</f>
        <v>16</v>
      </c>
      <c r="C18" s="14">
        <f>1-SUM(C5:C17)</f>
        <v>0.41448759999999996</v>
      </c>
      <c r="D18"/>
      <c r="E18"/>
      <c r="F18" s="7"/>
      <c r="G18"/>
      <c r="H18"/>
      <c r="I18"/>
      <c r="J18"/>
      <c r="IT18"/>
      <c r="IU18"/>
      <c r="IV18"/>
    </row>
    <row r="19" spans="1:256">
      <c r="A19"/>
      <c r="B19"/>
      <c r="C19"/>
      <c r="D19"/>
      <c r="E19"/>
      <c r="F19" s="7"/>
      <c r="G19"/>
      <c r="H19"/>
      <c r="I19"/>
      <c r="J19"/>
      <c r="IT19"/>
      <c r="IU19"/>
      <c r="IV19"/>
    </row>
    <row r="20" spans="1:256">
      <c r="A20"/>
      <c r="B20"/>
      <c r="C20"/>
      <c r="D20"/>
      <c r="E20"/>
      <c r="F20"/>
      <c r="G20"/>
      <c r="H20"/>
      <c r="I20"/>
      <c r="J20"/>
      <c r="IT20"/>
      <c r="IU20"/>
      <c r="IV20"/>
    </row>
    <row r="21" spans="1:256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  <c r="IT21"/>
      <c r="IU21"/>
      <c r="IV21"/>
    </row>
    <row r="22" spans="1:256">
      <c r="A22" s="5" t="s">
        <v>24</v>
      </c>
      <c r="B22" s="5">
        <v>1.008</v>
      </c>
      <c r="C22" s="10">
        <f>C8*(2*B22/B8)</f>
        <v>4.7333925399644762E-3</v>
      </c>
      <c r="D22" s="11">
        <f t="shared" ref="D22:D35" si="1">100*C22</f>
        <v>0.47333925399644761</v>
      </c>
      <c r="E22" s="12">
        <f t="shared" ref="E22:E35" si="2">D22/B22</f>
        <v>0.46958259325044405</v>
      </c>
      <c r="F22" s="6">
        <f t="shared" ref="F22:F35" si="3">E22/$E$37</f>
        <v>9.5766248143670754E-2</v>
      </c>
      <c r="G22" s="11">
        <f t="shared" ref="G22:G35" si="4">ROUND(F22,8)</f>
        <v>9.5766249999999997E-2</v>
      </c>
      <c r="H22" s="5">
        <v>1</v>
      </c>
      <c r="I22" s="5">
        <f t="shared" ref="I22:I35" si="5">F22*H22</f>
        <v>9.5766248143670754E-2</v>
      </c>
      <c r="J22" s="5">
        <f t="shared" ref="J22:J35" si="6">F22*B22</f>
        <v>9.6532378128820123E-2</v>
      </c>
      <c r="IT22"/>
      <c r="IU22"/>
      <c r="IV22"/>
    </row>
    <row r="23" spans="1:256">
      <c r="A23" s="5" t="s">
        <v>25</v>
      </c>
      <c r="B23" s="5">
        <v>16</v>
      </c>
      <c r="C23" s="10">
        <f>C18+C8*(B23/B8)</f>
        <v>0.4520542074600355</v>
      </c>
      <c r="D23" s="11">
        <f t="shared" si="1"/>
        <v>45.205420746003547</v>
      </c>
      <c r="E23" s="12">
        <f t="shared" si="2"/>
        <v>2.8253387966252217</v>
      </c>
      <c r="F23" s="6">
        <f t="shared" si="3"/>
        <v>0.57619703152677548</v>
      </c>
      <c r="G23" s="11">
        <f t="shared" si="4"/>
        <v>0.57619703</v>
      </c>
      <c r="H23" s="5">
        <v>8</v>
      </c>
      <c r="I23" s="5">
        <f t="shared" si="5"/>
        <v>4.6095762522142039</v>
      </c>
      <c r="J23" s="5">
        <f t="shared" si="6"/>
        <v>9.2191525044284077</v>
      </c>
      <c r="IT23"/>
      <c r="IU23"/>
      <c r="IV23"/>
    </row>
    <row r="24" spans="1:256">
      <c r="A24" s="5" t="s">
        <v>4</v>
      </c>
      <c r="B24" s="5">
        <v>22.991</v>
      </c>
      <c r="C24" s="10">
        <f>C5</f>
        <v>3.5000000000000001E-3</v>
      </c>
      <c r="D24" s="11">
        <f t="shared" si="1"/>
        <v>0.35000000000000003</v>
      </c>
      <c r="E24" s="12">
        <f t="shared" si="2"/>
        <v>1.5223348266713062E-2</v>
      </c>
      <c r="F24" s="6">
        <f t="shared" si="3"/>
        <v>3.1046358375341771E-3</v>
      </c>
      <c r="G24" s="11">
        <f t="shared" si="4"/>
        <v>3.1046400000000001E-3</v>
      </c>
      <c r="H24" s="5">
        <v>11</v>
      </c>
      <c r="I24" s="5">
        <f t="shared" si="5"/>
        <v>3.415099421287595E-2</v>
      </c>
      <c r="J24" s="5">
        <f t="shared" si="6"/>
        <v>7.1378682540748264E-2</v>
      </c>
      <c r="IT24"/>
      <c r="IU24"/>
      <c r="IV24"/>
    </row>
    <row r="25" spans="1:256">
      <c r="A25" s="5" t="s">
        <v>5</v>
      </c>
      <c r="B25" s="5">
        <v>55.85</v>
      </c>
      <c r="C25" s="10">
        <f>C6</f>
        <v>0.1605</v>
      </c>
      <c r="D25" s="11">
        <f t="shared" si="1"/>
        <v>16.05</v>
      </c>
      <c r="E25" s="12">
        <f t="shared" si="2"/>
        <v>0.28737690241718888</v>
      </c>
      <c r="F25" s="6">
        <f t="shared" si="3"/>
        <v>5.860738482051462E-2</v>
      </c>
      <c r="G25" s="11">
        <f t="shared" si="4"/>
        <v>5.8607380000000001E-2</v>
      </c>
      <c r="H25" s="5">
        <v>26</v>
      </c>
      <c r="I25" s="5">
        <f t="shared" si="5"/>
        <v>1.5237920053333802</v>
      </c>
      <c r="J25" s="5">
        <f t="shared" si="6"/>
        <v>3.2732224422257414</v>
      </c>
      <c r="IT25"/>
      <c r="IU25"/>
      <c r="IV25"/>
    </row>
    <row r="26" spans="1:256">
      <c r="A26" s="5" t="s">
        <v>6</v>
      </c>
      <c r="B26" s="5">
        <v>24.32</v>
      </c>
      <c r="C26" s="10">
        <f>C7</f>
        <v>2.2599999999999999E-2</v>
      </c>
      <c r="D26" s="11">
        <f t="shared" si="1"/>
        <v>2.2599999999999998</v>
      </c>
      <c r="E26" s="12">
        <f t="shared" si="2"/>
        <v>9.2927631578947359E-2</v>
      </c>
      <c r="F26" s="6">
        <f t="shared" si="3"/>
        <v>1.8951576896392278E-2</v>
      </c>
      <c r="G26" s="11">
        <f t="shared" si="4"/>
        <v>1.8951579999999999E-2</v>
      </c>
      <c r="H26" s="5">
        <v>12</v>
      </c>
      <c r="I26" s="5">
        <f t="shared" si="5"/>
        <v>0.22741892275670733</v>
      </c>
      <c r="J26" s="5">
        <f t="shared" si="6"/>
        <v>0.46090235012026021</v>
      </c>
      <c r="IT26"/>
      <c r="IU26"/>
      <c r="IV26"/>
    </row>
    <row r="27" spans="1:256">
      <c r="A27" s="5" t="s">
        <v>8</v>
      </c>
      <c r="B27" s="5">
        <v>26.98</v>
      </c>
      <c r="C27" s="10">
        <f t="shared" ref="C27:C35" si="7">C9</f>
        <v>4.99E-2</v>
      </c>
      <c r="D27" s="11">
        <f t="shared" si="1"/>
        <v>4.99</v>
      </c>
      <c r="E27" s="12">
        <f t="shared" si="2"/>
        <v>0.1849518161601186</v>
      </c>
      <c r="F27" s="6">
        <f t="shared" si="3"/>
        <v>3.7718905631508398E-2</v>
      </c>
      <c r="G27" s="11">
        <f t="shared" si="4"/>
        <v>3.7718910000000001E-2</v>
      </c>
      <c r="H27" s="5">
        <v>13</v>
      </c>
      <c r="I27" s="5">
        <f t="shared" si="5"/>
        <v>0.49034577320960915</v>
      </c>
      <c r="J27" s="5">
        <f t="shared" si="6"/>
        <v>1.0176560739380967</v>
      </c>
      <c r="IT27"/>
      <c r="IU27"/>
      <c r="IV27"/>
    </row>
    <row r="28" spans="1:256">
      <c r="A28" s="5" t="s">
        <v>9</v>
      </c>
      <c r="B28" s="5">
        <v>10.82</v>
      </c>
      <c r="C28" s="10">
        <f t="shared" si="7"/>
        <v>5.0000000000000001E-4</v>
      </c>
      <c r="D28" s="11">
        <f t="shared" si="1"/>
        <v>0.05</v>
      </c>
      <c r="E28" s="12">
        <f t="shared" si="2"/>
        <v>4.6210720887245845E-3</v>
      </c>
      <c r="F28" s="6">
        <f t="shared" si="3"/>
        <v>9.4241725033995599E-4</v>
      </c>
      <c r="G28" s="11">
        <f t="shared" si="4"/>
        <v>9.4242000000000002E-4</v>
      </c>
      <c r="H28" s="5">
        <v>5</v>
      </c>
      <c r="I28" s="5">
        <f t="shared" si="5"/>
        <v>4.7120862516997798E-3</v>
      </c>
      <c r="J28" s="5">
        <f t="shared" si="6"/>
        <v>1.0196954648678324E-2</v>
      </c>
      <c r="IT28"/>
      <c r="IU28"/>
      <c r="IV28"/>
    </row>
    <row r="29" spans="1:256">
      <c r="A29" s="5" t="s">
        <v>10</v>
      </c>
      <c r="B29" s="5">
        <v>28.09</v>
      </c>
      <c r="C29" s="10">
        <f t="shared" si="7"/>
        <v>0.24049999999999999</v>
      </c>
      <c r="D29" s="11">
        <f t="shared" si="1"/>
        <v>24.05</v>
      </c>
      <c r="E29" s="12">
        <f t="shared" si="2"/>
        <v>0.85617657529369884</v>
      </c>
      <c r="F29" s="6">
        <f t="shared" si="3"/>
        <v>0.17460787419061138</v>
      </c>
      <c r="G29" s="11">
        <f t="shared" si="4"/>
        <v>0.17460787</v>
      </c>
      <c r="H29" s="5">
        <v>14</v>
      </c>
      <c r="I29" s="5">
        <f t="shared" si="5"/>
        <v>2.4445102386685593</v>
      </c>
      <c r="J29" s="5">
        <f t="shared" si="6"/>
        <v>4.9047351860142738</v>
      </c>
      <c r="IT29"/>
      <c r="IU29"/>
      <c r="IV29"/>
    </row>
    <row r="30" spans="1:256">
      <c r="A30" s="5" t="s">
        <v>11</v>
      </c>
      <c r="B30" s="5">
        <v>157.25</v>
      </c>
      <c r="C30" s="10">
        <f t="shared" si="7"/>
        <v>3.9999999999999998E-6</v>
      </c>
      <c r="D30" s="11">
        <f t="shared" si="1"/>
        <v>3.9999999999999996E-4</v>
      </c>
      <c r="E30" s="12">
        <f t="shared" si="2"/>
        <v>2.5437201907790142E-6</v>
      </c>
      <c r="F30" s="6">
        <f t="shared" si="3"/>
        <v>5.187639884860196E-7</v>
      </c>
      <c r="G30" s="11">
        <f t="shared" si="4"/>
        <v>5.2E-7</v>
      </c>
      <c r="H30" s="5">
        <v>64</v>
      </c>
      <c r="I30" s="5">
        <f t="shared" si="5"/>
        <v>3.3200895263105254E-5</v>
      </c>
      <c r="J30" s="5">
        <f t="shared" si="6"/>
        <v>8.1575637189426579E-5</v>
      </c>
      <c r="IT30"/>
      <c r="IU30"/>
      <c r="IV30"/>
    </row>
    <row r="31" spans="1:256">
      <c r="A31" s="5" t="s">
        <v>12</v>
      </c>
      <c r="B31" s="5">
        <v>39.1</v>
      </c>
      <c r="C31" s="10">
        <f t="shared" si="7"/>
        <v>5.9900000000000002E-2</v>
      </c>
      <c r="D31" s="11">
        <f t="shared" si="1"/>
        <v>5.99</v>
      </c>
      <c r="E31" s="12">
        <f t="shared" si="2"/>
        <v>0.15319693094629155</v>
      </c>
      <c r="F31" s="6">
        <f t="shared" si="3"/>
        <v>3.1242843143520795E-2</v>
      </c>
      <c r="G31" s="11">
        <f t="shared" si="4"/>
        <v>3.1242840000000001E-2</v>
      </c>
      <c r="H31" s="5">
        <v>19</v>
      </c>
      <c r="I31" s="5">
        <f t="shared" si="5"/>
        <v>0.59361401972689509</v>
      </c>
      <c r="J31" s="5">
        <f t="shared" si="6"/>
        <v>1.2215951669116631</v>
      </c>
      <c r="IT31"/>
      <c r="IU31"/>
      <c r="IV31"/>
    </row>
    <row r="32" spans="1:256">
      <c r="A32" s="5" t="s">
        <v>13</v>
      </c>
      <c r="B32" s="5">
        <v>232.03800000000001</v>
      </c>
      <c r="C32" s="10">
        <f t="shared" si="7"/>
        <v>3.0000000000000001E-6</v>
      </c>
      <c r="D32" s="11">
        <f t="shared" si="1"/>
        <v>3.0000000000000003E-4</v>
      </c>
      <c r="E32" s="12">
        <f t="shared" si="2"/>
        <v>1.2928916815349211E-6</v>
      </c>
      <c r="F32" s="6">
        <f t="shared" si="3"/>
        <v>2.6367115684530097E-7</v>
      </c>
      <c r="G32" s="11">
        <f t="shared" si="4"/>
        <v>2.6E-7</v>
      </c>
      <c r="H32" s="5">
        <v>90</v>
      </c>
      <c r="I32" s="5">
        <f t="shared" si="5"/>
        <v>2.3730404116077087E-5</v>
      </c>
      <c r="J32" s="5">
        <f t="shared" si="6"/>
        <v>6.1181727892069951E-5</v>
      </c>
      <c r="IT32"/>
      <c r="IU32"/>
      <c r="IV32"/>
    </row>
    <row r="33" spans="1:256">
      <c r="A33" s="5" t="s">
        <v>14</v>
      </c>
      <c r="B33" s="5">
        <v>40.08</v>
      </c>
      <c r="C33" s="10">
        <f t="shared" si="7"/>
        <v>4.7000000000000002E-3</v>
      </c>
      <c r="D33" s="11">
        <f t="shared" si="1"/>
        <v>0.47000000000000003</v>
      </c>
      <c r="E33" s="12">
        <f t="shared" si="2"/>
        <v>1.1726546906187626E-2</v>
      </c>
      <c r="F33" s="6">
        <f t="shared" si="3"/>
        <v>2.3915013397598863E-3</v>
      </c>
      <c r="G33" s="11">
        <f t="shared" si="4"/>
        <v>2.3915E-3</v>
      </c>
      <c r="H33" s="5">
        <v>20</v>
      </c>
      <c r="I33" s="5">
        <f t="shared" si="5"/>
        <v>4.7830026795197725E-2</v>
      </c>
      <c r="J33" s="5">
        <f t="shared" si="6"/>
        <v>9.5851373697576236E-2</v>
      </c>
      <c r="IT33"/>
      <c r="IU33"/>
      <c r="IV33"/>
    </row>
    <row r="34" spans="1:256">
      <c r="A34" s="5" t="s">
        <v>15</v>
      </c>
      <c r="B34" s="5">
        <v>238.029</v>
      </c>
      <c r="C34" s="10">
        <f t="shared" si="7"/>
        <v>5.4E-6</v>
      </c>
      <c r="D34" s="11">
        <f t="shared" si="1"/>
        <v>5.4000000000000001E-4</v>
      </c>
      <c r="E34" s="12">
        <f t="shared" si="2"/>
        <v>2.268631133181251E-6</v>
      </c>
      <c r="F34" s="6">
        <f t="shared" si="3"/>
        <v>4.626625755925786E-7</v>
      </c>
      <c r="G34" s="11">
        <f t="shared" si="4"/>
        <v>4.5999999999999999E-7</v>
      </c>
      <c r="H34" s="5">
        <v>92</v>
      </c>
      <c r="I34" s="5">
        <f t="shared" si="5"/>
        <v>4.256495695451723E-5</v>
      </c>
      <c r="J34" s="5">
        <f t="shared" si="6"/>
        <v>1.1012711020572589E-4</v>
      </c>
      <c r="IT34"/>
      <c r="IU34"/>
      <c r="IV34"/>
    </row>
    <row r="35" spans="1:256">
      <c r="A35" s="5" t="s">
        <v>16</v>
      </c>
      <c r="B35" s="5">
        <v>47.9</v>
      </c>
      <c r="C35" s="10">
        <f t="shared" si="7"/>
        <v>1.1000000000000001E-3</v>
      </c>
      <c r="D35" s="11">
        <f t="shared" si="1"/>
        <v>0.11</v>
      </c>
      <c r="E35" s="12">
        <f t="shared" si="2"/>
        <v>2.2964509394572028E-3</v>
      </c>
      <c r="F35" s="6">
        <f t="shared" si="3"/>
        <v>4.6833612165119652E-4</v>
      </c>
      <c r="G35" s="11">
        <f t="shared" si="4"/>
        <v>4.6833999999999998E-4</v>
      </c>
      <c r="H35" s="5">
        <v>22</v>
      </c>
      <c r="I35" s="5">
        <f t="shared" si="5"/>
        <v>1.0303394676326324E-2</v>
      </c>
      <c r="J35" s="5">
        <f t="shared" si="6"/>
        <v>2.2433300227092313E-2</v>
      </c>
      <c r="IT35"/>
      <c r="IU35"/>
      <c r="IV35"/>
    </row>
    <row r="36" spans="1:256">
      <c r="A36"/>
      <c r="B36"/>
      <c r="C36"/>
      <c r="D36"/>
      <c r="E36"/>
      <c r="F36" s="7"/>
      <c r="G36"/>
      <c r="IT36"/>
      <c r="IU36"/>
      <c r="IV36"/>
    </row>
    <row r="37" spans="1:256">
      <c r="A37" s="5" t="s">
        <v>26</v>
      </c>
      <c r="B37"/>
      <c r="C37" s="5">
        <f>SUM(C22:C35)</f>
        <v>0.99999999999999978</v>
      </c>
      <c r="D37" s="5">
        <f>SUM(D22:D35)</f>
        <v>99.999999999999986</v>
      </c>
      <c r="E37" s="15">
        <f>SUM(E22:E35)</f>
        <v>4.9034247697159996</v>
      </c>
      <c r="F37" s="15">
        <f>SUM(F22:F35)</f>
        <v>0.99999999999999967</v>
      </c>
      <c r="G37" s="5">
        <f>SUM(G22:G35)</f>
        <v>0.99999999999999978</v>
      </c>
    </row>
    <row r="38" spans="1:256">
      <c r="A38"/>
      <c r="B38"/>
    </row>
    <row r="39" spans="1:256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0.09576625 O 0.57619703 Na 0.00310464 Fe 0.05860738 Mg 0.01895158 Al 0.03771891 B 0.00094242 Si 0.17460787 Gd 0.00000052 K 0.03124284 Th 0.00000026 Ca 0.0023915 U 0.00000046 Ti 0.00046834</v>
      </c>
      <c r="B39"/>
    </row>
    <row r="40" spans="1:256">
      <c r="A40"/>
      <c r="B40"/>
    </row>
    <row r="41" spans="1:256">
      <c r="A41" s="5" t="s">
        <v>27</v>
      </c>
      <c r="B41" s="5">
        <v>2.96</v>
      </c>
    </row>
    <row r="42" spans="1:256">
      <c r="A42" s="5" t="s">
        <v>28</v>
      </c>
      <c r="B42" s="5">
        <f>100*B41*C22/0.1119</f>
        <v>12.520859623141064</v>
      </c>
    </row>
    <row r="43" spans="1:256">
      <c r="A43" s="5" t="s">
        <v>29</v>
      </c>
      <c r="B43" s="5">
        <f>2*SUM(I22:I35)*B41/SUM(J22:J35)</f>
        <v>2.9266653255415496</v>
      </c>
    </row>
    <row r="44" spans="1:256">
      <c r="A44" s="5" t="s">
        <v>30</v>
      </c>
      <c r="B44" s="5">
        <f>1.0704*B43-0.1883</f>
        <v>2.9444025644596747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C5" sqref="C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4.28515625" style="3"/>
    <col min="8" max="256" width="11.5703125" style="3"/>
    <col min="257" max="1025" width="9.85546875"/>
  </cols>
  <sheetData>
    <row r="1" spans="1:10">
      <c r="A1" s="2" t="s">
        <v>34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16">
        <v>3.5000000000000001E-3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0.1605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16">
        <v>2.2599999999999999E-2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4.2299999999999997E-2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4.99E-2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0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0.24049999999999999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3.9999999999999998E-6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5.9900000000000002E-2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3.0000000000000001E-6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4.7000000000000002E-3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5.4E-6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1.1000000000000001E-3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0.4149875999999999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4.7333925399644762E-3</v>
      </c>
      <c r="D22" s="11">
        <f t="shared" ref="D22:D35" si="1">100*C22</f>
        <v>0.47333925399644761</v>
      </c>
      <c r="E22" s="12">
        <f t="shared" ref="E22:E35" si="2">D22/B22</f>
        <v>0.46958259325044405</v>
      </c>
      <c r="F22" s="17">
        <f t="shared" ref="F22:F35" si="3">E22/$E$37</f>
        <v>9.5795476070009017E-2</v>
      </c>
      <c r="G22" s="11">
        <f t="shared" ref="G22:G35" si="4">ROUND(F22,8)</f>
        <v>9.5795480000000002E-2</v>
      </c>
      <c r="H22" s="5">
        <v>1</v>
      </c>
      <c r="I22" s="5">
        <f t="shared" ref="I22:I35" si="5">F22*H22</f>
        <v>9.5795476070009017E-2</v>
      </c>
      <c r="J22" s="5">
        <f t="shared" ref="J22:J35" si="6">F22*B22</f>
        <v>9.6561839878569089E-2</v>
      </c>
    </row>
    <row r="23" spans="1:10">
      <c r="A23" s="5" t="s">
        <v>25</v>
      </c>
      <c r="B23" s="5">
        <v>16</v>
      </c>
      <c r="C23" s="10">
        <f>C18+C8*(B23/B8)</f>
        <v>0.45255420746003544</v>
      </c>
      <c r="D23" s="11">
        <f t="shared" si="1"/>
        <v>45.255420746003544</v>
      </c>
      <c r="E23" s="12">
        <f t="shared" si="2"/>
        <v>2.8284637966252215</v>
      </c>
      <c r="F23" s="17">
        <f t="shared" si="3"/>
        <v>0.57701039143925303</v>
      </c>
      <c r="G23" s="11">
        <f t="shared" si="4"/>
        <v>0.57701038999999998</v>
      </c>
      <c r="H23" s="5">
        <v>8</v>
      </c>
      <c r="I23" s="5">
        <f t="shared" si="5"/>
        <v>4.6160831315140243</v>
      </c>
      <c r="J23" s="5">
        <f t="shared" si="6"/>
        <v>9.2321662630280485</v>
      </c>
    </row>
    <row r="24" spans="1:10">
      <c r="A24" s="5" t="s">
        <v>4</v>
      </c>
      <c r="B24" s="5">
        <v>22.991</v>
      </c>
      <c r="C24" s="10">
        <f>C5</f>
        <v>3.5000000000000001E-3</v>
      </c>
      <c r="D24" s="11">
        <f t="shared" si="1"/>
        <v>0.35000000000000003</v>
      </c>
      <c r="E24" s="12">
        <f t="shared" si="2"/>
        <v>1.5223348266713062E-2</v>
      </c>
      <c r="F24" s="17">
        <f t="shared" si="3"/>
        <v>3.1055833745769821E-3</v>
      </c>
      <c r="G24" s="11">
        <f t="shared" si="4"/>
        <v>3.1055800000000001E-3</v>
      </c>
      <c r="H24" s="5">
        <v>11</v>
      </c>
      <c r="I24" s="5">
        <f t="shared" si="5"/>
        <v>3.4161417120346801E-2</v>
      </c>
      <c r="J24" s="5">
        <f t="shared" si="6"/>
        <v>7.1400467364899398E-2</v>
      </c>
    </row>
    <row r="25" spans="1:10">
      <c r="A25" s="5" t="s">
        <v>5</v>
      </c>
      <c r="B25" s="5">
        <v>55.85</v>
      </c>
      <c r="C25" s="10">
        <f>C6</f>
        <v>0.1605</v>
      </c>
      <c r="D25" s="11">
        <f t="shared" si="1"/>
        <v>16.05</v>
      </c>
      <c r="E25" s="12">
        <f t="shared" si="2"/>
        <v>0.28737690241718888</v>
      </c>
      <c r="F25" s="17">
        <f t="shared" si="3"/>
        <v>5.8625271835612489E-2</v>
      </c>
      <c r="G25" s="11">
        <f t="shared" si="4"/>
        <v>5.862527E-2</v>
      </c>
      <c r="H25" s="5">
        <v>26</v>
      </c>
      <c r="I25" s="5">
        <f t="shared" si="5"/>
        <v>1.5242570677259246</v>
      </c>
      <c r="J25" s="5">
        <f t="shared" si="6"/>
        <v>3.2742214320189578</v>
      </c>
    </row>
    <row r="26" spans="1:10">
      <c r="A26" s="5" t="s">
        <v>6</v>
      </c>
      <c r="B26" s="5">
        <v>24.32</v>
      </c>
      <c r="C26" s="10">
        <f>C7</f>
        <v>2.2599999999999999E-2</v>
      </c>
      <c r="D26" s="11">
        <f t="shared" si="1"/>
        <v>2.2599999999999998</v>
      </c>
      <c r="E26" s="12">
        <f t="shared" si="2"/>
        <v>9.2927631578947359E-2</v>
      </c>
      <c r="F26" s="17">
        <f t="shared" si="3"/>
        <v>1.8957360931000072E-2</v>
      </c>
      <c r="G26" s="11">
        <f t="shared" si="4"/>
        <v>1.8957359999999999E-2</v>
      </c>
      <c r="H26" s="5">
        <v>12</v>
      </c>
      <c r="I26" s="5">
        <f t="shared" si="5"/>
        <v>0.22748833117200085</v>
      </c>
      <c r="J26" s="5">
        <f t="shared" si="6"/>
        <v>0.46104301784192175</v>
      </c>
    </row>
    <row r="27" spans="1:10">
      <c r="A27" s="5" t="s">
        <v>8</v>
      </c>
      <c r="B27" s="5">
        <v>26.98</v>
      </c>
      <c r="C27" s="10">
        <f t="shared" ref="C27:C35" si="7">C9</f>
        <v>4.99E-2</v>
      </c>
      <c r="D27" s="11">
        <f t="shared" si="1"/>
        <v>4.99</v>
      </c>
      <c r="E27" s="12">
        <f t="shared" si="2"/>
        <v>0.1849518161601186</v>
      </c>
      <c r="F27" s="17">
        <f t="shared" si="3"/>
        <v>3.7730417468055485E-2</v>
      </c>
      <c r="G27" s="11">
        <f t="shared" si="4"/>
        <v>3.7730420000000001E-2</v>
      </c>
      <c r="H27" s="5">
        <v>13</v>
      </c>
      <c r="I27" s="5">
        <f t="shared" si="5"/>
        <v>0.49049542708472132</v>
      </c>
      <c r="J27" s="5">
        <f t="shared" si="6"/>
        <v>1.017966663288137</v>
      </c>
    </row>
    <row r="28" spans="1:10">
      <c r="A28" s="5" t="s">
        <v>9</v>
      </c>
      <c r="B28" s="5">
        <v>10.82</v>
      </c>
      <c r="C28" s="10">
        <f t="shared" si="7"/>
        <v>0</v>
      </c>
      <c r="D28" s="11">
        <f t="shared" si="1"/>
        <v>0</v>
      </c>
      <c r="E28" s="12">
        <f t="shared" si="2"/>
        <v>0</v>
      </c>
      <c r="F28" s="17">
        <f t="shared" si="3"/>
        <v>0</v>
      </c>
      <c r="G28" s="11">
        <f t="shared" si="4"/>
        <v>0</v>
      </c>
      <c r="H28" s="5">
        <v>5</v>
      </c>
      <c r="I28" s="5">
        <f t="shared" si="5"/>
        <v>0</v>
      </c>
      <c r="J28" s="5">
        <f t="shared" si="6"/>
        <v>0</v>
      </c>
    </row>
    <row r="29" spans="1:10">
      <c r="A29" s="5" t="s">
        <v>10</v>
      </c>
      <c r="B29" s="5">
        <v>28.09</v>
      </c>
      <c r="C29" s="10">
        <f t="shared" si="7"/>
        <v>0.24049999999999999</v>
      </c>
      <c r="D29" s="11">
        <f t="shared" si="1"/>
        <v>24.05</v>
      </c>
      <c r="E29" s="12">
        <f t="shared" si="2"/>
        <v>0.85617657529369884</v>
      </c>
      <c r="F29" s="17">
        <f t="shared" si="3"/>
        <v>0.17466116463671161</v>
      </c>
      <c r="G29" s="11">
        <f t="shared" si="4"/>
        <v>0.17466116000000001</v>
      </c>
      <c r="H29" s="5">
        <v>14</v>
      </c>
      <c r="I29" s="5">
        <f t="shared" si="5"/>
        <v>2.4452563049139626</v>
      </c>
      <c r="J29" s="5">
        <f t="shared" si="6"/>
        <v>4.9062321146452295</v>
      </c>
    </row>
    <row r="30" spans="1:10">
      <c r="A30" s="5" t="s">
        <v>11</v>
      </c>
      <c r="B30" s="5">
        <v>157.25</v>
      </c>
      <c r="C30" s="10">
        <f t="shared" si="7"/>
        <v>3.9999999999999998E-6</v>
      </c>
      <c r="D30" s="11">
        <f t="shared" si="1"/>
        <v>3.9999999999999996E-4</v>
      </c>
      <c r="E30" s="12">
        <f t="shared" si="2"/>
        <v>2.5437201907790142E-6</v>
      </c>
      <c r="F30" s="17">
        <f t="shared" si="3"/>
        <v>5.1892231562043615E-7</v>
      </c>
      <c r="G30" s="11">
        <f t="shared" si="4"/>
        <v>5.2E-7</v>
      </c>
      <c r="H30" s="5">
        <v>64</v>
      </c>
      <c r="I30" s="5">
        <f t="shared" si="5"/>
        <v>3.3211028199707913E-5</v>
      </c>
      <c r="J30" s="5">
        <f t="shared" si="6"/>
        <v>8.1600534131313579E-5</v>
      </c>
    </row>
    <row r="31" spans="1:10">
      <c r="A31" s="5" t="s">
        <v>12</v>
      </c>
      <c r="B31" s="5">
        <v>39.1</v>
      </c>
      <c r="C31" s="10">
        <f t="shared" si="7"/>
        <v>5.9900000000000002E-2</v>
      </c>
      <c r="D31" s="11">
        <f t="shared" si="1"/>
        <v>5.99</v>
      </c>
      <c r="E31" s="12">
        <f t="shared" si="2"/>
        <v>0.15319693094629155</v>
      </c>
      <c r="F31" s="17">
        <f t="shared" si="3"/>
        <v>3.1252378481238387E-2</v>
      </c>
      <c r="G31" s="11">
        <f t="shared" si="4"/>
        <v>3.1252380000000003E-2</v>
      </c>
      <c r="H31" s="5">
        <v>19</v>
      </c>
      <c r="I31" s="5">
        <f t="shared" si="5"/>
        <v>0.5937951911435293</v>
      </c>
      <c r="J31" s="5">
        <f t="shared" si="6"/>
        <v>1.2219679986164209</v>
      </c>
    </row>
    <row r="32" spans="1:10">
      <c r="A32" s="5" t="s">
        <v>13</v>
      </c>
      <c r="B32" s="5">
        <v>232.03800000000001</v>
      </c>
      <c r="C32" s="10">
        <f t="shared" si="7"/>
        <v>3.0000000000000001E-6</v>
      </c>
      <c r="D32" s="11">
        <f t="shared" si="1"/>
        <v>3.0000000000000003E-4</v>
      </c>
      <c r="E32" s="12">
        <f t="shared" si="2"/>
        <v>1.2928916815349211E-6</v>
      </c>
      <c r="F32" s="17">
        <f t="shared" si="3"/>
        <v>2.6375162946795436E-7</v>
      </c>
      <c r="G32" s="11">
        <f t="shared" si="4"/>
        <v>2.6E-7</v>
      </c>
      <c r="H32" s="5">
        <v>90</v>
      </c>
      <c r="I32" s="5">
        <f t="shared" si="5"/>
        <v>2.3737646652115891E-5</v>
      </c>
      <c r="J32" s="5">
        <f t="shared" si="6"/>
        <v>6.1200400598485194E-5</v>
      </c>
    </row>
    <row r="33" spans="1:10">
      <c r="A33" s="5" t="s">
        <v>14</v>
      </c>
      <c r="B33" s="5">
        <v>40.08</v>
      </c>
      <c r="C33" s="10">
        <f t="shared" si="7"/>
        <v>4.7000000000000002E-3</v>
      </c>
      <c r="D33" s="11">
        <f t="shared" si="1"/>
        <v>0.47000000000000003</v>
      </c>
      <c r="E33" s="12">
        <f t="shared" si="2"/>
        <v>1.1726546906187626E-2</v>
      </c>
      <c r="F33" s="17">
        <f t="shared" si="3"/>
        <v>2.3922312276520329E-3</v>
      </c>
      <c r="G33" s="11">
        <f t="shared" si="4"/>
        <v>2.39223E-3</v>
      </c>
      <c r="H33" s="5">
        <v>20</v>
      </c>
      <c r="I33" s="5">
        <f t="shared" si="5"/>
        <v>4.7844624553040657E-2</v>
      </c>
      <c r="J33" s="5">
        <f t="shared" si="6"/>
        <v>9.5880627604293472E-2</v>
      </c>
    </row>
    <row r="34" spans="1:10">
      <c r="A34" s="5" t="s">
        <v>15</v>
      </c>
      <c r="B34" s="5">
        <v>238.029</v>
      </c>
      <c r="C34" s="10">
        <f t="shared" si="7"/>
        <v>5.4E-6</v>
      </c>
      <c r="D34" s="11">
        <f t="shared" si="1"/>
        <v>5.4000000000000001E-4</v>
      </c>
      <c r="E34" s="12">
        <f t="shared" si="2"/>
        <v>2.268631133181251E-6</v>
      </c>
      <c r="F34" s="17">
        <f t="shared" si="3"/>
        <v>4.6280378053629323E-7</v>
      </c>
      <c r="G34" s="11">
        <f t="shared" si="4"/>
        <v>4.5999999999999999E-7</v>
      </c>
      <c r="H34" s="5">
        <v>92</v>
      </c>
      <c r="I34" s="5">
        <f t="shared" si="5"/>
        <v>4.2577947809338978E-5</v>
      </c>
      <c r="J34" s="5">
        <f t="shared" si="6"/>
        <v>1.1016072107727335E-4</v>
      </c>
    </row>
    <row r="35" spans="1:10">
      <c r="A35" s="5" t="s">
        <v>16</v>
      </c>
      <c r="B35" s="5">
        <v>47.9</v>
      </c>
      <c r="C35" s="10">
        <f t="shared" si="7"/>
        <v>1.1000000000000001E-3</v>
      </c>
      <c r="D35" s="11">
        <f t="shared" si="1"/>
        <v>0.11</v>
      </c>
      <c r="E35" s="12">
        <f t="shared" si="2"/>
        <v>2.2964509394572028E-3</v>
      </c>
      <c r="F35" s="17">
        <f t="shared" si="3"/>
        <v>4.6847905816516154E-4</v>
      </c>
      <c r="G35" s="11">
        <f t="shared" si="4"/>
        <v>4.6848000000000001E-4</v>
      </c>
      <c r="H35" s="5">
        <v>22</v>
      </c>
      <c r="I35" s="5">
        <f t="shared" si="5"/>
        <v>1.0306539279633554E-2</v>
      </c>
      <c r="J35" s="5">
        <f t="shared" si="6"/>
        <v>2.2440146886111238E-2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0.99999999999999978</v>
      </c>
      <c r="D37" s="5">
        <f>SUM(D22:D35)</f>
        <v>99.999999999999986</v>
      </c>
      <c r="E37" s="15">
        <f>SUM(E22:E35)</f>
        <v>4.9019286976272749</v>
      </c>
      <c r="F37" s="15">
        <f>SUM(F22:F35)</f>
        <v>1.0000000000000002</v>
      </c>
      <c r="G37" s="5">
        <f>SUM(G22:G35)</f>
        <v>0.99999998999999995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0.09579548 O 0.57701039 Na 0.00310558 Fe 0.05862527 Mg 0.01895736 Al 0.03773042 B 0 Si 0.17466116 Gd 0.00000052 K 0.03125238 Th 0.00000026 Ca 0.00239223 U 0.00000046 Ti 0.00046848</v>
      </c>
      <c r="B39"/>
    </row>
    <row r="40" spans="1:10">
      <c r="A40"/>
      <c r="B40"/>
    </row>
    <row r="41" spans="1:10">
      <c r="A41" s="5" t="s">
        <v>27</v>
      </c>
      <c r="B41" s="5">
        <v>2.96</v>
      </c>
    </row>
    <row r="42" spans="1:10">
      <c r="A42" s="5" t="s">
        <v>28</v>
      </c>
      <c r="B42" s="5">
        <f>100*B41*C22/0.1119</f>
        <v>12.520859623141064</v>
      </c>
    </row>
    <row r="43" spans="1:10">
      <c r="A43" s="5" t="s">
        <v>29</v>
      </c>
      <c r="B43" s="5">
        <f>2*SUM(I22:I35)*B41/SUM(J22:J35)</f>
        <v>2.9267774882032862</v>
      </c>
    </row>
    <row r="44" spans="1:10">
      <c r="A44" s="5" t="s">
        <v>30</v>
      </c>
      <c r="B44" s="5">
        <f>1.0704*B43-0.1883</f>
        <v>2.9445226233727979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F35" sqref="F3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4" style="3"/>
    <col min="8" max="256" width="11.5703125" style="3"/>
    <col min="257" max="1025" width="9.85546875"/>
  </cols>
  <sheetData>
    <row r="1" spans="1:10">
      <c r="A1" s="2" t="s">
        <v>35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>
        <v>0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8.0000000000000002E-3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>
        <v>0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0.14000000000000001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0.19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1.4E-5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0.22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1.2999999999999999E-5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>
        <v>0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2.6999999999999999E-5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>
        <v>0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7.7100000000000007E-6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8.9999999999999993E-3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0.43293828999999995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1.5666074600355243E-2</v>
      </c>
      <c r="D22" s="11">
        <f t="shared" ref="D22:D35" si="1">100*C22</f>
        <v>1.5666074600355244</v>
      </c>
      <c r="E22" s="12">
        <f t="shared" ref="E22:E35" si="2">D22/B22</f>
        <v>1.55417406749556</v>
      </c>
      <c r="F22" s="6">
        <f t="shared" ref="F22:F35" si="3">E22/$E$37</f>
        <v>0.23699577506406053</v>
      </c>
      <c r="G22" s="11">
        <f t="shared" ref="G22:G35" si="4">ROUND(F22,8)</f>
        <v>0.23699577999999999</v>
      </c>
      <c r="H22" s="5">
        <v>1</v>
      </c>
      <c r="I22" s="5">
        <f t="shared" ref="I22:I35" si="5">F22*H22</f>
        <v>0.23699577506406053</v>
      </c>
      <c r="J22" s="5">
        <f t="shared" ref="J22:J35" si="6">F22*B22</f>
        <v>0.23889174126457302</v>
      </c>
    </row>
    <row r="23" spans="1:10">
      <c r="A23" s="5" t="s">
        <v>25</v>
      </c>
      <c r="B23" s="5">
        <v>16</v>
      </c>
      <c r="C23" s="10">
        <f>C18+C8*(B23/B8)</f>
        <v>0.55727221539964478</v>
      </c>
      <c r="D23" s="11">
        <f t="shared" si="1"/>
        <v>55.727221539964475</v>
      </c>
      <c r="E23" s="12">
        <f t="shared" si="2"/>
        <v>3.4829513462477797</v>
      </c>
      <c r="F23" s="6">
        <f t="shared" si="3"/>
        <v>0.53111473874001169</v>
      </c>
      <c r="G23" s="11">
        <f t="shared" si="4"/>
        <v>0.53111474000000003</v>
      </c>
      <c r="H23" s="5">
        <v>8</v>
      </c>
      <c r="I23" s="5">
        <f t="shared" si="5"/>
        <v>4.2489179099200935</v>
      </c>
      <c r="J23" s="5">
        <f t="shared" si="6"/>
        <v>8.4978358198401871</v>
      </c>
    </row>
    <row r="24" spans="1:10">
      <c r="A24" s="5" t="s">
        <v>4</v>
      </c>
      <c r="B24" s="5">
        <v>22.991</v>
      </c>
      <c r="C24" s="10">
        <f>C5</f>
        <v>0</v>
      </c>
      <c r="D24" s="11">
        <f t="shared" si="1"/>
        <v>0</v>
      </c>
      <c r="E24" s="12">
        <f t="shared" si="2"/>
        <v>0</v>
      </c>
      <c r="F24" s="6">
        <f t="shared" si="3"/>
        <v>0</v>
      </c>
      <c r="G24" s="11">
        <f t="shared" si="4"/>
        <v>0</v>
      </c>
      <c r="H24" s="5">
        <v>11</v>
      </c>
      <c r="I24" s="5">
        <f t="shared" si="5"/>
        <v>0</v>
      </c>
      <c r="J24" s="5">
        <f t="shared" si="6"/>
        <v>0</v>
      </c>
    </row>
    <row r="25" spans="1:10">
      <c r="A25" s="5" t="s">
        <v>5</v>
      </c>
      <c r="B25" s="5">
        <v>55.85</v>
      </c>
      <c r="C25" s="10">
        <f>C6</f>
        <v>8.0000000000000002E-3</v>
      </c>
      <c r="D25" s="11">
        <f t="shared" si="1"/>
        <v>0.8</v>
      </c>
      <c r="E25" s="12">
        <f t="shared" si="2"/>
        <v>1.432408236347359E-2</v>
      </c>
      <c r="F25" s="6">
        <f t="shared" si="3"/>
        <v>2.184277213737876E-3</v>
      </c>
      <c r="G25" s="11">
        <f t="shared" si="4"/>
        <v>2.1842799999999998E-3</v>
      </c>
      <c r="H25" s="5">
        <v>26</v>
      </c>
      <c r="I25" s="5">
        <f t="shared" si="5"/>
        <v>5.6791207557184774E-2</v>
      </c>
      <c r="J25" s="5">
        <f t="shared" si="6"/>
        <v>0.12199188238726037</v>
      </c>
    </row>
    <row r="26" spans="1:10">
      <c r="A26" s="5" t="s">
        <v>6</v>
      </c>
      <c r="B26" s="5">
        <v>24.32</v>
      </c>
      <c r="C26" s="10">
        <f>C7</f>
        <v>0</v>
      </c>
      <c r="D26" s="11">
        <f t="shared" si="1"/>
        <v>0</v>
      </c>
      <c r="E26" s="12">
        <f t="shared" si="2"/>
        <v>0</v>
      </c>
      <c r="F26" s="6">
        <f t="shared" si="3"/>
        <v>0</v>
      </c>
      <c r="G26" s="11">
        <f t="shared" si="4"/>
        <v>0</v>
      </c>
      <c r="H26" s="5">
        <v>12</v>
      </c>
      <c r="I26" s="5">
        <f t="shared" si="5"/>
        <v>0</v>
      </c>
      <c r="J26" s="5">
        <f t="shared" si="6"/>
        <v>0</v>
      </c>
    </row>
    <row r="27" spans="1:10">
      <c r="A27" s="5" t="s">
        <v>8</v>
      </c>
      <c r="B27" s="5">
        <v>26.98</v>
      </c>
      <c r="C27" s="10">
        <f t="shared" ref="C27:C35" si="7">C9</f>
        <v>0.19</v>
      </c>
      <c r="D27" s="11">
        <f t="shared" si="1"/>
        <v>19</v>
      </c>
      <c r="E27" s="12">
        <f t="shared" si="2"/>
        <v>0.70422535211267601</v>
      </c>
      <c r="F27" s="6">
        <f t="shared" si="3"/>
        <v>0.10738722041132075</v>
      </c>
      <c r="G27" s="11">
        <f t="shared" si="4"/>
        <v>0.10738722000000001</v>
      </c>
      <c r="H27" s="5">
        <v>13</v>
      </c>
      <c r="I27" s="5">
        <f t="shared" si="5"/>
        <v>1.3960338653471698</v>
      </c>
      <c r="J27" s="5">
        <f t="shared" si="6"/>
        <v>2.8973072066974339</v>
      </c>
    </row>
    <row r="28" spans="1:10">
      <c r="A28" s="5" t="s">
        <v>9</v>
      </c>
      <c r="B28" s="5">
        <v>10.82</v>
      </c>
      <c r="C28" s="10">
        <f t="shared" si="7"/>
        <v>1.4E-5</v>
      </c>
      <c r="D28" s="11">
        <f t="shared" si="1"/>
        <v>1.4E-3</v>
      </c>
      <c r="E28" s="12">
        <f t="shared" si="2"/>
        <v>1.2939001848428835E-4</v>
      </c>
      <c r="F28" s="6">
        <f t="shared" si="3"/>
        <v>1.9730664896275938E-5</v>
      </c>
      <c r="G28" s="11">
        <f t="shared" si="4"/>
        <v>1.9729999999999999E-5</v>
      </c>
      <c r="H28" s="5">
        <v>5</v>
      </c>
      <c r="I28" s="5">
        <f t="shared" si="5"/>
        <v>9.8653324481379692E-5</v>
      </c>
      <c r="J28" s="5">
        <f t="shared" si="6"/>
        <v>2.1348579417770566E-4</v>
      </c>
    </row>
    <row r="29" spans="1:10">
      <c r="A29" s="5" t="s">
        <v>10</v>
      </c>
      <c r="B29" s="5">
        <v>28.09</v>
      </c>
      <c r="C29" s="10">
        <f t="shared" si="7"/>
        <v>0.22</v>
      </c>
      <c r="D29" s="11">
        <f t="shared" si="1"/>
        <v>22</v>
      </c>
      <c r="E29" s="12">
        <f t="shared" si="2"/>
        <v>0.78319686721253112</v>
      </c>
      <c r="F29" s="6">
        <f t="shared" si="3"/>
        <v>0.11942957513882735</v>
      </c>
      <c r="G29" s="11">
        <f t="shared" si="4"/>
        <v>0.11942957999999999</v>
      </c>
      <c r="H29" s="5">
        <v>14</v>
      </c>
      <c r="I29" s="5">
        <f t="shared" si="5"/>
        <v>1.6720140519435829</v>
      </c>
      <c r="J29" s="5">
        <f t="shared" si="6"/>
        <v>3.3547767656496603</v>
      </c>
    </row>
    <row r="30" spans="1:10">
      <c r="A30" s="5" t="s">
        <v>11</v>
      </c>
      <c r="B30" s="5">
        <v>157.25</v>
      </c>
      <c r="C30" s="10">
        <f t="shared" si="7"/>
        <v>1.2999999999999999E-5</v>
      </c>
      <c r="D30" s="11">
        <f t="shared" si="1"/>
        <v>1.2999999999999999E-3</v>
      </c>
      <c r="E30" s="12">
        <f t="shared" si="2"/>
        <v>8.2670906200317954E-6</v>
      </c>
      <c r="F30" s="6">
        <f t="shared" si="3"/>
        <v>1.2606474332546779E-6</v>
      </c>
      <c r="G30" s="11">
        <f t="shared" si="4"/>
        <v>1.26E-6</v>
      </c>
      <c r="H30" s="5">
        <v>64</v>
      </c>
      <c r="I30" s="5">
        <f t="shared" si="5"/>
        <v>8.0681435728299384E-5</v>
      </c>
      <c r="J30" s="5">
        <f t="shared" si="6"/>
        <v>1.9823680887929809E-4</v>
      </c>
    </row>
    <row r="31" spans="1:10">
      <c r="A31" s="5" t="s">
        <v>12</v>
      </c>
      <c r="B31" s="5">
        <v>39.1</v>
      </c>
      <c r="C31" s="10">
        <f t="shared" si="7"/>
        <v>0</v>
      </c>
      <c r="D31" s="11">
        <f t="shared" si="1"/>
        <v>0</v>
      </c>
      <c r="E31" s="12">
        <f t="shared" si="2"/>
        <v>0</v>
      </c>
      <c r="F31" s="6">
        <f t="shared" si="3"/>
        <v>0</v>
      </c>
      <c r="G31" s="11">
        <f t="shared" si="4"/>
        <v>0</v>
      </c>
      <c r="H31" s="5">
        <v>19</v>
      </c>
      <c r="I31" s="5">
        <f t="shared" si="5"/>
        <v>0</v>
      </c>
      <c r="J31" s="5">
        <f t="shared" si="6"/>
        <v>0</v>
      </c>
    </row>
    <row r="32" spans="1:10">
      <c r="A32" s="5" t="s">
        <v>13</v>
      </c>
      <c r="B32" s="5">
        <v>232.03800000000001</v>
      </c>
      <c r="C32" s="10">
        <f t="shared" si="7"/>
        <v>2.6999999999999999E-5</v>
      </c>
      <c r="D32" s="11">
        <f t="shared" si="1"/>
        <v>2.6999999999999997E-3</v>
      </c>
      <c r="E32" s="12">
        <f t="shared" si="2"/>
        <v>1.1636025133814287E-5</v>
      </c>
      <c r="F32" s="6">
        <f t="shared" si="3"/>
        <v>1.7743757619743477E-6</v>
      </c>
      <c r="G32" s="11">
        <f t="shared" si="4"/>
        <v>1.77E-6</v>
      </c>
      <c r="H32" s="5">
        <v>90</v>
      </c>
      <c r="I32" s="5">
        <f t="shared" si="5"/>
        <v>1.5969381857769128E-4</v>
      </c>
      <c r="J32" s="5">
        <f t="shared" si="6"/>
        <v>4.1172260305700369E-4</v>
      </c>
    </row>
    <row r="33" spans="1:10">
      <c r="A33" s="5" t="s">
        <v>14</v>
      </c>
      <c r="B33" s="5">
        <v>40.08</v>
      </c>
      <c r="C33" s="10">
        <f t="shared" si="7"/>
        <v>0</v>
      </c>
      <c r="D33" s="11">
        <f t="shared" si="1"/>
        <v>0</v>
      </c>
      <c r="E33" s="12">
        <f t="shared" si="2"/>
        <v>0</v>
      </c>
      <c r="F33" s="6">
        <f t="shared" si="3"/>
        <v>0</v>
      </c>
      <c r="G33" s="11">
        <f t="shared" si="4"/>
        <v>0</v>
      </c>
      <c r="H33" s="5">
        <v>20</v>
      </c>
      <c r="I33" s="5">
        <f t="shared" si="5"/>
        <v>0</v>
      </c>
      <c r="J33" s="5">
        <f t="shared" si="6"/>
        <v>0</v>
      </c>
    </row>
    <row r="34" spans="1:10">
      <c r="A34" s="5" t="s">
        <v>15</v>
      </c>
      <c r="B34" s="5">
        <v>238.029</v>
      </c>
      <c r="C34" s="10">
        <f t="shared" si="7"/>
        <v>7.7100000000000007E-6</v>
      </c>
      <c r="D34" s="11">
        <f t="shared" si="1"/>
        <v>7.7100000000000009E-4</v>
      </c>
      <c r="E34" s="12">
        <f t="shared" si="2"/>
        <v>3.2391011179310088E-6</v>
      </c>
      <c r="F34" s="6">
        <f t="shared" si="3"/>
        <v>4.9393005327385402E-7</v>
      </c>
      <c r="G34" s="11">
        <f t="shared" si="4"/>
        <v>4.8999999999999997E-7</v>
      </c>
      <c r="H34" s="5">
        <v>92</v>
      </c>
      <c r="I34" s="5">
        <f t="shared" si="5"/>
        <v>4.5441564901194569E-5</v>
      </c>
      <c r="J34" s="5">
        <f t="shared" si="6"/>
        <v>1.175696766507222E-4</v>
      </c>
    </row>
    <row r="35" spans="1:10">
      <c r="A35" s="5" t="s">
        <v>16</v>
      </c>
      <c r="B35" s="5">
        <v>47.9</v>
      </c>
      <c r="C35" s="10">
        <f t="shared" si="7"/>
        <v>8.9999999999999993E-3</v>
      </c>
      <c r="D35" s="11">
        <f t="shared" si="1"/>
        <v>0.89999999999999991</v>
      </c>
      <c r="E35" s="12">
        <f t="shared" si="2"/>
        <v>1.8789144050104383E-2</v>
      </c>
      <c r="F35" s="6">
        <f t="shared" si="3"/>
        <v>2.8651538138970336E-3</v>
      </c>
      <c r="G35" s="11">
        <f t="shared" si="4"/>
        <v>2.8651499999999999E-3</v>
      </c>
      <c r="H35" s="5">
        <v>22</v>
      </c>
      <c r="I35" s="5">
        <f t="shared" si="5"/>
        <v>6.3033383905734736E-2</v>
      </c>
      <c r="J35" s="5">
        <f t="shared" si="6"/>
        <v>0.1372408676856679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100.00000000000001</v>
      </c>
      <c r="E37" s="15">
        <f>SUM(E22:E35)</f>
        <v>6.557813391717481</v>
      </c>
      <c r="F37" s="15">
        <f>SUM(F22:F35)</f>
        <v>1</v>
      </c>
      <c r="G37" s="5">
        <f>SUM(G22:G35)</f>
        <v>1.0000000000000002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0.23699578 O 0.53111474 Na 0 Fe 0.00218428 Mg 0 Al 0.10738722 B 0.00001973 Si 0.11942958 Gd 0.00000126 K 0 Th 0.00000177 Ca 0 U 0.00000049 Ti 0.00286515</v>
      </c>
      <c r="B39"/>
    </row>
    <row r="40" spans="1:10">
      <c r="A40"/>
      <c r="B40"/>
    </row>
    <row r="41" spans="1:10">
      <c r="A41" s="5" t="s">
        <v>27</v>
      </c>
      <c r="B41" s="5">
        <v>2.52</v>
      </c>
    </row>
    <row r="42" spans="1:10">
      <c r="A42" s="5" t="s">
        <v>28</v>
      </c>
      <c r="B42" s="5">
        <f>100*B41*C22/0.1119</f>
        <v>35.28016800080001</v>
      </c>
    </row>
    <row r="43" spans="1:10">
      <c r="A43" s="5" t="s">
        <v>29</v>
      </c>
      <c r="B43" s="5">
        <f>2*SUM(I22:I35)*B41/SUM(J22:J35)</f>
        <v>2.5364192691563523</v>
      </c>
    </row>
    <row r="44" spans="1:10">
      <c r="A44" s="5" t="s">
        <v>30</v>
      </c>
      <c r="B44" s="5">
        <f>1.0704*B43-0.1883</f>
        <v>2.5266831857049596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F34" sqref="F34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4.140625" style="3"/>
    <col min="8" max="256" width="11.5703125" style="3"/>
    <col min="257" max="1025" width="9.85546875"/>
  </cols>
  <sheetData>
    <row r="1" spans="1:10">
      <c r="A1" s="2" t="s">
        <v>36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16">
        <v>1.1000000000000001E-3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8.0299999999999996E-2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16">
        <v>2.3999999999999998E-3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7.9000000000000001E-2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0.1197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1.63E-4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0.2389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7.9999999999999996E-6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4.1000000000000002E-2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1.8E-5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1E-3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5.1399999999999999E-6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7.6E-3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0.42880585999999998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8.8401420959147436E-3</v>
      </c>
      <c r="D22" s="11">
        <f t="shared" ref="D22:D35" si="1">100*C22</f>
        <v>0.88401420959147436</v>
      </c>
      <c r="E22" s="12">
        <f t="shared" ref="E22:E35" si="2">D22/B22</f>
        <v>0.87699822380106585</v>
      </c>
      <c r="F22" s="6">
        <f t="shared" ref="F22:F35" si="3">E22/$E$37</f>
        <v>0.15736979896919967</v>
      </c>
      <c r="G22" s="11">
        <f t="shared" ref="G22:G35" si="4">ROUND(F22,8)</f>
        <v>0.1573698</v>
      </c>
      <c r="H22" s="5">
        <v>1</v>
      </c>
      <c r="I22" s="5">
        <f t="shared" ref="I22:I35" si="5">F22*H22</f>
        <v>0.15736979896919967</v>
      </c>
      <c r="J22" s="5">
        <f t="shared" ref="J22:J35" si="6">F22*B22</f>
        <v>0.15862875736095328</v>
      </c>
    </row>
    <row r="23" spans="1:10">
      <c r="A23" s="5" t="s">
        <v>25</v>
      </c>
      <c r="B23" s="5">
        <v>16</v>
      </c>
      <c r="C23" s="10">
        <f>C18+C8*(B23/B8)</f>
        <v>0.49896571790408528</v>
      </c>
      <c r="D23" s="11">
        <f t="shared" si="1"/>
        <v>49.89657179040853</v>
      </c>
      <c r="E23" s="12">
        <f t="shared" si="2"/>
        <v>3.1185357369005331</v>
      </c>
      <c r="F23" s="6">
        <f t="shared" si="3"/>
        <v>0.55959445375755323</v>
      </c>
      <c r="G23" s="11">
        <f t="shared" si="4"/>
        <v>0.55959444999999997</v>
      </c>
      <c r="H23" s="5">
        <v>8</v>
      </c>
      <c r="I23" s="5">
        <f t="shared" si="5"/>
        <v>4.4767556300604259</v>
      </c>
      <c r="J23" s="5">
        <f t="shared" si="6"/>
        <v>8.9535112601208517</v>
      </c>
    </row>
    <row r="24" spans="1:10">
      <c r="A24" s="5" t="s">
        <v>4</v>
      </c>
      <c r="B24" s="5">
        <v>22.991</v>
      </c>
      <c r="C24" s="10">
        <f>C5</f>
        <v>1.1000000000000001E-3</v>
      </c>
      <c r="D24" s="11">
        <f t="shared" si="1"/>
        <v>0.11</v>
      </c>
      <c r="E24" s="12">
        <f t="shared" si="2"/>
        <v>4.7844808838241049E-3</v>
      </c>
      <c r="F24" s="6">
        <f t="shared" si="3"/>
        <v>8.5853400203712371E-4</v>
      </c>
      <c r="G24" s="11">
        <f t="shared" si="4"/>
        <v>8.5853000000000004E-4</v>
      </c>
      <c r="H24" s="5">
        <v>11</v>
      </c>
      <c r="I24" s="5">
        <f t="shared" si="5"/>
        <v>9.4438740224083613E-3</v>
      </c>
      <c r="J24" s="5">
        <f t="shared" si="6"/>
        <v>1.9738555240835513E-2</v>
      </c>
    </row>
    <row r="25" spans="1:10">
      <c r="A25" s="5" t="s">
        <v>5</v>
      </c>
      <c r="B25" s="5">
        <v>55.85</v>
      </c>
      <c r="C25" s="10">
        <f>C6</f>
        <v>8.0299999999999996E-2</v>
      </c>
      <c r="D25" s="11">
        <f t="shared" si="1"/>
        <v>8.0299999999999994</v>
      </c>
      <c r="E25" s="12">
        <f t="shared" si="2"/>
        <v>0.14377797672336615</v>
      </c>
      <c r="F25" s="6">
        <f t="shared" si="3"/>
        <v>2.5799723054270227E-2</v>
      </c>
      <c r="G25" s="11">
        <f t="shared" si="4"/>
        <v>2.5799720000000002E-2</v>
      </c>
      <c r="H25" s="5">
        <v>26</v>
      </c>
      <c r="I25" s="5">
        <f t="shared" si="5"/>
        <v>0.67079279941102588</v>
      </c>
      <c r="J25" s="5">
        <f t="shared" si="6"/>
        <v>1.4409145325809922</v>
      </c>
    </row>
    <row r="26" spans="1:10">
      <c r="A26" s="5" t="s">
        <v>6</v>
      </c>
      <c r="B26" s="5">
        <v>24.32</v>
      </c>
      <c r="C26" s="10">
        <f>C7</f>
        <v>2.3999999999999998E-3</v>
      </c>
      <c r="D26" s="11">
        <f t="shared" si="1"/>
        <v>0.24</v>
      </c>
      <c r="E26" s="12">
        <f t="shared" si="2"/>
        <v>9.8684210526315784E-3</v>
      </c>
      <c r="F26" s="6">
        <f t="shared" si="3"/>
        <v>1.7708034007926595E-3</v>
      </c>
      <c r="G26" s="11">
        <f t="shared" si="4"/>
        <v>1.7708000000000001E-3</v>
      </c>
      <c r="H26" s="5">
        <v>12</v>
      </c>
      <c r="I26" s="5">
        <f t="shared" si="5"/>
        <v>2.1249640809511916E-2</v>
      </c>
      <c r="J26" s="5">
        <f t="shared" si="6"/>
        <v>4.3065938707277478E-2</v>
      </c>
    </row>
    <row r="27" spans="1:10">
      <c r="A27" s="5" t="s">
        <v>8</v>
      </c>
      <c r="B27" s="5">
        <v>26.98</v>
      </c>
      <c r="C27" s="10">
        <f t="shared" ref="C27:C35" si="7">C9</f>
        <v>0.1197</v>
      </c>
      <c r="D27" s="11">
        <f t="shared" si="1"/>
        <v>11.97</v>
      </c>
      <c r="E27" s="12">
        <f t="shared" si="2"/>
        <v>0.44366197183098594</v>
      </c>
      <c r="F27" s="6">
        <f t="shared" si="3"/>
        <v>7.9611330356762947E-2</v>
      </c>
      <c r="G27" s="11">
        <f t="shared" si="4"/>
        <v>7.9611329999999994E-2</v>
      </c>
      <c r="H27" s="5">
        <v>13</v>
      </c>
      <c r="I27" s="5">
        <f t="shared" si="5"/>
        <v>1.0349472946379183</v>
      </c>
      <c r="J27" s="5">
        <f t="shared" si="6"/>
        <v>2.1479136930254645</v>
      </c>
    </row>
    <row r="28" spans="1:10">
      <c r="A28" s="5" t="s">
        <v>9</v>
      </c>
      <c r="B28" s="5">
        <v>10.82</v>
      </c>
      <c r="C28" s="10">
        <f t="shared" si="7"/>
        <v>1.63E-4</v>
      </c>
      <c r="D28" s="11">
        <f t="shared" si="1"/>
        <v>1.6300000000000002E-2</v>
      </c>
      <c r="E28" s="12">
        <f t="shared" si="2"/>
        <v>1.5064695009242145E-3</v>
      </c>
      <c r="F28" s="6">
        <f t="shared" si="3"/>
        <v>2.7032301329660464E-4</v>
      </c>
      <c r="G28" s="11">
        <f t="shared" si="4"/>
        <v>2.7032E-4</v>
      </c>
      <c r="H28" s="5">
        <v>5</v>
      </c>
      <c r="I28" s="5">
        <f t="shared" si="5"/>
        <v>1.3516150664830231E-3</v>
      </c>
      <c r="J28" s="5">
        <f t="shared" si="6"/>
        <v>2.9248950038692624E-3</v>
      </c>
    </row>
    <row r="29" spans="1:10">
      <c r="A29" s="5" t="s">
        <v>10</v>
      </c>
      <c r="B29" s="5">
        <v>28.09</v>
      </c>
      <c r="C29" s="10">
        <f t="shared" si="7"/>
        <v>0.2389</v>
      </c>
      <c r="D29" s="11">
        <f t="shared" si="1"/>
        <v>23.89</v>
      </c>
      <c r="E29" s="12">
        <f t="shared" si="2"/>
        <v>0.85048059807760767</v>
      </c>
      <c r="F29" s="6">
        <f t="shared" si="3"/>
        <v>0.15261143878557895</v>
      </c>
      <c r="G29" s="11">
        <f t="shared" si="4"/>
        <v>0.15261143999999999</v>
      </c>
      <c r="H29" s="5">
        <v>14</v>
      </c>
      <c r="I29" s="5">
        <f t="shared" si="5"/>
        <v>2.1365601429981051</v>
      </c>
      <c r="J29" s="5">
        <f t="shared" si="6"/>
        <v>4.2868553154869131</v>
      </c>
    </row>
    <row r="30" spans="1:10">
      <c r="A30" s="5" t="s">
        <v>11</v>
      </c>
      <c r="B30" s="5">
        <v>157.25</v>
      </c>
      <c r="C30" s="10">
        <f t="shared" si="7"/>
        <v>7.9999999999999996E-6</v>
      </c>
      <c r="D30" s="11">
        <f t="shared" si="1"/>
        <v>7.9999999999999993E-4</v>
      </c>
      <c r="E30" s="12">
        <f t="shared" si="2"/>
        <v>5.0874403815580283E-6</v>
      </c>
      <c r="F30" s="6">
        <f t="shared" si="3"/>
        <v>9.1289748187127667E-7</v>
      </c>
      <c r="G30" s="11">
        <f t="shared" si="4"/>
        <v>9.0999999999999997E-7</v>
      </c>
      <c r="H30" s="5">
        <v>64</v>
      </c>
      <c r="I30" s="5">
        <f t="shared" si="5"/>
        <v>5.8425438839761707E-5</v>
      </c>
      <c r="J30" s="5">
        <f t="shared" si="6"/>
        <v>1.4355312902425825E-4</v>
      </c>
    </row>
    <row r="31" spans="1:10">
      <c r="A31" s="5" t="s">
        <v>12</v>
      </c>
      <c r="B31" s="5">
        <v>39.1</v>
      </c>
      <c r="C31" s="10">
        <f t="shared" si="7"/>
        <v>4.1000000000000002E-2</v>
      </c>
      <c r="D31" s="11">
        <f t="shared" si="1"/>
        <v>4.1000000000000005</v>
      </c>
      <c r="E31" s="12">
        <f t="shared" si="2"/>
        <v>0.10485933503836319</v>
      </c>
      <c r="F31" s="6">
        <f t="shared" si="3"/>
        <v>1.8816107065200094E-2</v>
      </c>
      <c r="G31" s="11">
        <f t="shared" si="4"/>
        <v>1.881611E-2</v>
      </c>
      <c r="H31" s="5">
        <v>19</v>
      </c>
      <c r="I31" s="5">
        <f t="shared" si="5"/>
        <v>0.35750603423880178</v>
      </c>
      <c r="J31" s="5">
        <f t="shared" si="6"/>
        <v>0.73570978624932371</v>
      </c>
    </row>
    <row r="32" spans="1:10">
      <c r="A32" s="5" t="s">
        <v>13</v>
      </c>
      <c r="B32" s="5">
        <v>232.03800000000001</v>
      </c>
      <c r="C32" s="10">
        <f t="shared" si="7"/>
        <v>1.8E-5</v>
      </c>
      <c r="D32" s="11">
        <f t="shared" si="1"/>
        <v>1.8E-3</v>
      </c>
      <c r="E32" s="12">
        <f t="shared" si="2"/>
        <v>7.7573500892095248E-6</v>
      </c>
      <c r="F32" s="6">
        <f t="shared" si="3"/>
        <v>1.3919898478032954E-6</v>
      </c>
      <c r="G32" s="11">
        <f t="shared" si="4"/>
        <v>1.39E-6</v>
      </c>
      <c r="H32" s="5">
        <v>90</v>
      </c>
      <c r="I32" s="5">
        <f t="shared" si="5"/>
        <v>1.2527908630229659E-4</v>
      </c>
      <c r="J32" s="5">
        <f t="shared" si="6"/>
        <v>3.2299454030458108E-4</v>
      </c>
    </row>
    <row r="33" spans="1:10">
      <c r="A33" s="5" t="s">
        <v>14</v>
      </c>
      <c r="B33" s="5">
        <v>40.08</v>
      </c>
      <c r="C33" s="10">
        <f t="shared" si="7"/>
        <v>1E-3</v>
      </c>
      <c r="D33" s="11">
        <f t="shared" si="1"/>
        <v>0.1</v>
      </c>
      <c r="E33" s="12">
        <f t="shared" si="2"/>
        <v>2.4950099800399206E-3</v>
      </c>
      <c r="F33" s="6">
        <f t="shared" si="3"/>
        <v>4.4770811197685347E-4</v>
      </c>
      <c r="G33" s="11">
        <f t="shared" si="4"/>
        <v>4.4770999999999998E-4</v>
      </c>
      <c r="H33" s="5">
        <v>20</v>
      </c>
      <c r="I33" s="5">
        <f t="shared" si="5"/>
        <v>8.9541622395370689E-3</v>
      </c>
      <c r="J33" s="5">
        <f t="shared" si="6"/>
        <v>1.7944141128032286E-2</v>
      </c>
    </row>
    <row r="34" spans="1:10">
      <c r="A34" s="5" t="s">
        <v>15</v>
      </c>
      <c r="B34" s="5">
        <v>238.029</v>
      </c>
      <c r="C34" s="10">
        <f t="shared" si="7"/>
        <v>5.1399999999999999E-6</v>
      </c>
      <c r="D34" s="11">
        <f t="shared" si="1"/>
        <v>5.1400000000000003E-4</v>
      </c>
      <c r="E34" s="12">
        <f t="shared" si="2"/>
        <v>2.1594007452873391E-6</v>
      </c>
      <c r="F34" s="6">
        <f t="shared" si="3"/>
        <v>3.8748591725414106E-7</v>
      </c>
      <c r="G34" s="11">
        <f t="shared" si="4"/>
        <v>3.9000000000000002E-7</v>
      </c>
      <c r="H34" s="5">
        <v>92</v>
      </c>
      <c r="I34" s="5">
        <f t="shared" si="5"/>
        <v>3.5648704387380978E-5</v>
      </c>
      <c r="J34" s="5">
        <f t="shared" si="6"/>
        <v>9.2232885398085937E-5</v>
      </c>
    </row>
    <row r="35" spans="1:10">
      <c r="A35" s="5" t="s">
        <v>16</v>
      </c>
      <c r="B35" s="5">
        <v>47.9</v>
      </c>
      <c r="C35" s="10">
        <f t="shared" si="7"/>
        <v>7.6E-3</v>
      </c>
      <c r="D35" s="11">
        <f t="shared" si="1"/>
        <v>0.76</v>
      </c>
      <c r="E35" s="12">
        <f t="shared" si="2"/>
        <v>1.5866388308977037E-2</v>
      </c>
      <c r="F35" s="6">
        <f t="shared" si="3"/>
        <v>2.8470871100844545E-3</v>
      </c>
      <c r="G35" s="11">
        <f t="shared" si="4"/>
        <v>2.84709E-3</v>
      </c>
      <c r="H35" s="5">
        <v>22</v>
      </c>
      <c r="I35" s="5">
        <f t="shared" si="5"/>
        <v>6.2635916421857993E-2</v>
      </c>
      <c r="J35" s="5">
        <f t="shared" si="6"/>
        <v>0.13637547257304536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</v>
      </c>
      <c r="E37" s="15">
        <f>SUM(E22:E35)</f>
        <v>5.5728496162895365</v>
      </c>
      <c r="F37" s="15">
        <f>SUM(F22:F35)</f>
        <v>0.99999999999999967</v>
      </c>
      <c r="G37" s="5">
        <f>SUM(G22:G35)</f>
        <v>0.99999998999999995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0.1573698 O 0.55959445 Na 0.00085853 Fe 0.02579972 Mg 0.0017708 Al 0.07961133 B 0.00027032 Si 0.15261144 Gd 0.00000091 K 0.01881611 Th 0.00000139 Ca 0.00044771 U 0.00000039 Ti 0.00284709</v>
      </c>
      <c r="B39"/>
    </row>
    <row r="40" spans="1:10">
      <c r="A40"/>
      <c r="B40"/>
    </row>
    <row r="41" spans="1:10">
      <c r="A41" s="5" t="s">
        <v>27</v>
      </c>
      <c r="B41" s="5">
        <v>2.67</v>
      </c>
    </row>
    <row r="42" spans="1:10">
      <c r="A42" s="5" t="s">
        <v>28</v>
      </c>
      <c r="B42" s="5">
        <f>100*B41*C22/0.1119</f>
        <v>21.093100443335445</v>
      </c>
    </row>
    <row r="43" spans="1:10">
      <c r="A43" s="5" t="s">
        <v>29</v>
      </c>
      <c r="B43" s="5">
        <f>2*SUM(I22:I35)*B41/SUM(J22:J35)</f>
        <v>2.6597973287826768</v>
      </c>
    </row>
    <row r="44" spans="1:10">
      <c r="A44" s="5" t="s">
        <v>30</v>
      </c>
      <c r="B44" s="5">
        <f>1.0704*B43-0.1883</f>
        <v>2.6587470607289774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C5" sqref="C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.28515625" style="3"/>
    <col min="8" max="256" width="11.5703125" style="3"/>
    <col min="257" max="1025" width="9.85546875"/>
  </cols>
  <sheetData>
    <row r="1" spans="1:10">
      <c r="A1" s="2" t="s">
        <v>37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16">
        <v>1.1000000000000001E-3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8.0299999999999996E-2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16">
        <v>2.3999999999999998E-3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7.9000000000000001E-2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0.1197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5.0000000000000001E-4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0.2389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7.9999999999999996E-6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4.1000000000000002E-2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1.8E-5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1E-3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5.1399999999999999E-6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7.6E-3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0.42846885999999995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8.8401420959147436E-3</v>
      </c>
      <c r="D22" s="11">
        <f t="shared" ref="D22:D35" si="1">100*C22</f>
        <v>0.88401420959147436</v>
      </c>
      <c r="E22" s="12">
        <f t="shared" ref="E22:E35" si="2">D22/B22</f>
        <v>0.87699822380106585</v>
      </c>
      <c r="F22" s="17">
        <f t="shared" ref="F22:F35" si="3">E22/$E$37</f>
        <v>0.15734132959575706</v>
      </c>
      <c r="G22" s="11">
        <f t="shared" ref="G22:G35" si="4">ROUND(F22,8)</f>
        <v>0.15734133</v>
      </c>
      <c r="H22" s="5">
        <v>1</v>
      </c>
      <c r="I22" s="5">
        <f t="shared" ref="I22:I35" si="5">F22*H22</f>
        <v>0.15734132959575706</v>
      </c>
      <c r="J22" s="5">
        <f t="shared" ref="J22:J35" si="6">F22*B22</f>
        <v>0.15860006023252313</v>
      </c>
    </row>
    <row r="23" spans="1:10">
      <c r="A23" s="5" t="s">
        <v>25</v>
      </c>
      <c r="B23" s="5">
        <v>16</v>
      </c>
      <c r="C23" s="10">
        <f>C18+C8*(B23/B8)</f>
        <v>0.49862871790408525</v>
      </c>
      <c r="D23" s="11">
        <f t="shared" si="1"/>
        <v>49.862871790408526</v>
      </c>
      <c r="E23" s="12">
        <f t="shared" si="2"/>
        <v>3.1164294869005329</v>
      </c>
      <c r="F23" s="17">
        <f t="shared" si="3"/>
        <v>0.55911533883742492</v>
      </c>
      <c r="G23" s="11">
        <f t="shared" si="4"/>
        <v>0.55911533999999996</v>
      </c>
      <c r="H23" s="5">
        <v>8</v>
      </c>
      <c r="I23" s="5">
        <f t="shared" si="5"/>
        <v>4.4729227106993994</v>
      </c>
      <c r="J23" s="5">
        <f t="shared" si="6"/>
        <v>8.9458454213987988</v>
      </c>
    </row>
    <row r="24" spans="1:10">
      <c r="A24" s="5" t="s">
        <v>4</v>
      </c>
      <c r="B24" s="5">
        <v>22.991</v>
      </c>
      <c r="C24" s="10">
        <f>C5</f>
        <v>1.1000000000000001E-3</v>
      </c>
      <c r="D24" s="11">
        <f t="shared" si="1"/>
        <v>0.11</v>
      </c>
      <c r="E24" s="12">
        <f t="shared" si="2"/>
        <v>4.7844808838241049E-3</v>
      </c>
      <c r="F24" s="17">
        <f t="shared" si="3"/>
        <v>8.5837868681605024E-4</v>
      </c>
      <c r="G24" s="11">
        <f t="shared" si="4"/>
        <v>8.5837999999999995E-4</v>
      </c>
      <c r="H24" s="5">
        <v>11</v>
      </c>
      <c r="I24" s="5">
        <f t="shared" si="5"/>
        <v>9.4421655549765532E-3</v>
      </c>
      <c r="J24" s="5">
        <f t="shared" si="6"/>
        <v>1.9734984388587812E-2</v>
      </c>
    </row>
    <row r="25" spans="1:10">
      <c r="A25" s="5" t="s">
        <v>5</v>
      </c>
      <c r="B25" s="5">
        <v>55.85</v>
      </c>
      <c r="C25" s="10">
        <f>C6</f>
        <v>8.0299999999999996E-2</v>
      </c>
      <c r="D25" s="11">
        <f t="shared" si="1"/>
        <v>8.0299999999999994</v>
      </c>
      <c r="E25" s="12">
        <f t="shared" si="2"/>
        <v>0.14377797672336615</v>
      </c>
      <c r="F25" s="17">
        <f t="shared" si="3"/>
        <v>2.5795055691439753E-2</v>
      </c>
      <c r="G25" s="11">
        <f t="shared" si="4"/>
        <v>2.5795060000000002E-2</v>
      </c>
      <c r="H25" s="5">
        <v>26</v>
      </c>
      <c r="I25" s="5">
        <f t="shared" si="5"/>
        <v>0.67067144797743361</v>
      </c>
      <c r="J25" s="5">
        <f t="shared" si="6"/>
        <v>1.4406538603669103</v>
      </c>
    </row>
    <row r="26" spans="1:10">
      <c r="A26" s="5" t="s">
        <v>6</v>
      </c>
      <c r="B26" s="5">
        <v>24.32</v>
      </c>
      <c r="C26" s="10">
        <f>C7</f>
        <v>2.3999999999999998E-3</v>
      </c>
      <c r="D26" s="11">
        <f t="shared" si="1"/>
        <v>0.24</v>
      </c>
      <c r="E26" s="12">
        <f t="shared" si="2"/>
        <v>9.8684210526315784E-3</v>
      </c>
      <c r="F26" s="17">
        <f t="shared" si="3"/>
        <v>1.7704830492154136E-3</v>
      </c>
      <c r="G26" s="11">
        <f t="shared" si="4"/>
        <v>1.7704800000000001E-3</v>
      </c>
      <c r="H26" s="5">
        <v>12</v>
      </c>
      <c r="I26" s="5">
        <f t="shared" si="5"/>
        <v>2.1245796590584964E-2</v>
      </c>
      <c r="J26" s="5">
        <f t="shared" si="6"/>
        <v>4.3058147756918859E-2</v>
      </c>
    </row>
    <row r="27" spans="1:10">
      <c r="A27" s="5" t="s">
        <v>8</v>
      </c>
      <c r="B27" s="5">
        <v>26.98</v>
      </c>
      <c r="C27" s="10">
        <f t="shared" ref="C27:C35" si="7">C9</f>
        <v>0.1197</v>
      </c>
      <c r="D27" s="11">
        <f t="shared" si="1"/>
        <v>11.97</v>
      </c>
      <c r="E27" s="12">
        <f t="shared" si="2"/>
        <v>0.44366197183098594</v>
      </c>
      <c r="F27" s="17">
        <f t="shared" si="3"/>
        <v>7.9596928071769033E-2</v>
      </c>
      <c r="G27" s="11">
        <f t="shared" si="4"/>
        <v>7.9596929999999996E-2</v>
      </c>
      <c r="H27" s="5">
        <v>13</v>
      </c>
      <c r="I27" s="5">
        <f t="shared" si="5"/>
        <v>1.0347600649329973</v>
      </c>
      <c r="J27" s="5">
        <f t="shared" si="6"/>
        <v>2.1475251193763287</v>
      </c>
    </row>
    <row r="28" spans="1:10">
      <c r="A28" s="5" t="s">
        <v>9</v>
      </c>
      <c r="B28" s="5">
        <v>10.82</v>
      </c>
      <c r="C28" s="10">
        <f t="shared" si="7"/>
        <v>5.0000000000000001E-4</v>
      </c>
      <c r="D28" s="11">
        <f t="shared" si="1"/>
        <v>0.05</v>
      </c>
      <c r="E28" s="12">
        <f t="shared" si="2"/>
        <v>4.6210720887245845E-3</v>
      </c>
      <c r="F28" s="17">
        <f t="shared" si="3"/>
        <v>8.2906168663198681E-4</v>
      </c>
      <c r="G28" s="11">
        <f t="shared" si="4"/>
        <v>8.2905999999999995E-4</v>
      </c>
      <c r="H28" s="5">
        <v>5</v>
      </c>
      <c r="I28" s="5">
        <f t="shared" si="5"/>
        <v>4.1453084331599336E-3</v>
      </c>
      <c r="J28" s="5">
        <f t="shared" si="6"/>
        <v>8.9704474493580971E-3</v>
      </c>
    </row>
    <row r="29" spans="1:10">
      <c r="A29" s="5" t="s">
        <v>10</v>
      </c>
      <c r="B29" s="5">
        <v>28.09</v>
      </c>
      <c r="C29" s="10">
        <f t="shared" si="7"/>
        <v>0.2389</v>
      </c>
      <c r="D29" s="11">
        <f t="shared" si="1"/>
        <v>23.89</v>
      </c>
      <c r="E29" s="12">
        <f t="shared" si="2"/>
        <v>0.85048059807760767</v>
      </c>
      <c r="F29" s="17">
        <f t="shared" si="3"/>
        <v>0.15258383023507649</v>
      </c>
      <c r="G29" s="11">
        <f t="shared" si="4"/>
        <v>0.15258383</v>
      </c>
      <c r="H29" s="5">
        <v>14</v>
      </c>
      <c r="I29" s="5">
        <f t="shared" si="5"/>
        <v>2.1361736232910706</v>
      </c>
      <c r="J29" s="5">
        <f t="shared" si="6"/>
        <v>4.2860797913032984</v>
      </c>
    </row>
    <row r="30" spans="1:10">
      <c r="A30" s="5" t="s">
        <v>11</v>
      </c>
      <c r="B30" s="5">
        <v>157.25</v>
      </c>
      <c r="C30" s="10">
        <f t="shared" si="7"/>
        <v>7.9999999999999996E-6</v>
      </c>
      <c r="D30" s="11">
        <f t="shared" si="1"/>
        <v>7.9999999999999993E-4</v>
      </c>
      <c r="E30" s="12">
        <f t="shared" si="2"/>
        <v>5.0874403815580283E-6</v>
      </c>
      <c r="F30" s="17">
        <f t="shared" si="3"/>
        <v>9.1273233189017194E-7</v>
      </c>
      <c r="G30" s="11">
        <f t="shared" si="4"/>
        <v>9.0999999999999997E-7</v>
      </c>
      <c r="H30" s="5">
        <v>64</v>
      </c>
      <c r="I30" s="5">
        <f t="shared" si="5"/>
        <v>5.8414869240971004E-5</v>
      </c>
      <c r="J30" s="5">
        <f t="shared" si="6"/>
        <v>1.4352715918972955E-4</v>
      </c>
    </row>
    <row r="31" spans="1:10">
      <c r="A31" s="5" t="s">
        <v>12</v>
      </c>
      <c r="B31" s="5">
        <v>39.1</v>
      </c>
      <c r="C31" s="10">
        <f t="shared" si="7"/>
        <v>4.1000000000000002E-2</v>
      </c>
      <c r="D31" s="11">
        <f t="shared" si="1"/>
        <v>4.1000000000000005</v>
      </c>
      <c r="E31" s="12">
        <f t="shared" si="2"/>
        <v>0.10485933503836319</v>
      </c>
      <c r="F31" s="17">
        <f t="shared" si="3"/>
        <v>1.8812703090725424E-2</v>
      </c>
      <c r="G31" s="11">
        <f t="shared" si="4"/>
        <v>1.8812700000000002E-2</v>
      </c>
      <c r="H31" s="5">
        <v>19</v>
      </c>
      <c r="I31" s="5">
        <f t="shared" si="5"/>
        <v>0.35744135872378308</v>
      </c>
      <c r="J31" s="5">
        <f t="shared" si="6"/>
        <v>0.7355766908473641</v>
      </c>
    </row>
    <row r="32" spans="1:10">
      <c r="A32" s="5" t="s">
        <v>13</v>
      </c>
      <c r="B32" s="5">
        <v>232.03800000000001</v>
      </c>
      <c r="C32" s="10">
        <f t="shared" si="7"/>
        <v>1.8E-5</v>
      </c>
      <c r="D32" s="11">
        <f t="shared" si="1"/>
        <v>1.8E-3</v>
      </c>
      <c r="E32" s="12">
        <f t="shared" si="2"/>
        <v>7.7573500892095248E-6</v>
      </c>
      <c r="F32" s="17">
        <f t="shared" si="3"/>
        <v>1.3917380264305477E-6</v>
      </c>
      <c r="G32" s="11">
        <f t="shared" si="4"/>
        <v>1.39E-6</v>
      </c>
      <c r="H32" s="5">
        <v>90</v>
      </c>
      <c r="I32" s="5">
        <f t="shared" si="5"/>
        <v>1.2525642237874929E-4</v>
      </c>
      <c r="J32" s="5">
        <f t="shared" si="6"/>
        <v>3.2293610817689145E-4</v>
      </c>
    </row>
    <row r="33" spans="1:10">
      <c r="A33" s="5" t="s">
        <v>14</v>
      </c>
      <c r="B33" s="5">
        <v>40.08</v>
      </c>
      <c r="C33" s="10">
        <f t="shared" si="7"/>
        <v>1E-3</v>
      </c>
      <c r="D33" s="11">
        <f t="shared" si="1"/>
        <v>0.1</v>
      </c>
      <c r="E33" s="12">
        <f t="shared" si="2"/>
        <v>2.4950099800399206E-3</v>
      </c>
      <c r="F33" s="17">
        <f t="shared" si="3"/>
        <v>4.4762711823144203E-4</v>
      </c>
      <c r="G33" s="11">
        <f t="shared" si="4"/>
        <v>4.4763000000000002E-4</v>
      </c>
      <c r="H33" s="5">
        <v>20</v>
      </c>
      <c r="I33" s="5">
        <f t="shared" si="5"/>
        <v>8.9525423646288401E-3</v>
      </c>
      <c r="J33" s="5">
        <f t="shared" si="6"/>
        <v>1.7940894898716194E-2</v>
      </c>
    </row>
    <row r="34" spans="1:10">
      <c r="A34" s="5" t="s">
        <v>15</v>
      </c>
      <c r="B34" s="5">
        <v>238.029</v>
      </c>
      <c r="C34" s="10">
        <f t="shared" si="7"/>
        <v>5.1399999999999999E-6</v>
      </c>
      <c r="D34" s="11">
        <f t="shared" si="1"/>
        <v>5.1400000000000003E-4</v>
      </c>
      <c r="E34" s="12">
        <f t="shared" si="2"/>
        <v>2.1594007452873391E-6</v>
      </c>
      <c r="F34" s="17">
        <f t="shared" si="3"/>
        <v>3.8741581815409566E-7</v>
      </c>
      <c r="G34" s="11">
        <f t="shared" si="4"/>
        <v>3.9000000000000002E-7</v>
      </c>
      <c r="H34" s="5">
        <v>92</v>
      </c>
      <c r="I34" s="5">
        <f t="shared" si="5"/>
        <v>3.5642255270176798E-5</v>
      </c>
      <c r="J34" s="5">
        <f t="shared" si="6"/>
        <v>9.2216199779401233E-5</v>
      </c>
    </row>
    <row r="35" spans="1:10">
      <c r="A35" s="5" t="s">
        <v>16</v>
      </c>
      <c r="B35" s="5">
        <v>47.9</v>
      </c>
      <c r="C35" s="10">
        <f t="shared" si="7"/>
        <v>7.6E-3</v>
      </c>
      <c r="D35" s="11">
        <f t="shared" si="1"/>
        <v>0.76</v>
      </c>
      <c r="E35" s="12">
        <f t="shared" si="2"/>
        <v>1.5866388308977037E-2</v>
      </c>
      <c r="F35" s="17">
        <f t="shared" si="3"/>
        <v>2.8465720507357636E-3</v>
      </c>
      <c r="G35" s="11">
        <f t="shared" si="4"/>
        <v>2.8465700000000001E-3</v>
      </c>
      <c r="H35" s="5">
        <v>22</v>
      </c>
      <c r="I35" s="5">
        <f t="shared" si="5"/>
        <v>6.2624585116186793E-2</v>
      </c>
      <c r="J35" s="5">
        <f t="shared" si="6"/>
        <v>0.13635080123024307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</v>
      </c>
      <c r="E37" s="15">
        <f>SUM(E22:E35)</f>
        <v>5.573857968877336</v>
      </c>
      <c r="F37" s="15">
        <f>SUM(F22:F35)</f>
        <v>1</v>
      </c>
      <c r="G37" s="5">
        <f>SUM(G22:G35)</f>
        <v>1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0.15734133 O 0.55911534 Na 0.00085838 Fe 0.02579506 Mg 0.00177048 Al 0.07959693 B 0.00082906 Si 0.15258383 Gd 0.00000091 K 0.0188127 Th 0.00000139 Ca 0.00044763 U 0.00000039 Ti 0.00284657</v>
      </c>
      <c r="B39"/>
    </row>
    <row r="40" spans="1:10">
      <c r="A40"/>
      <c r="B40"/>
    </row>
    <row r="41" spans="1:10">
      <c r="A41" s="5" t="s">
        <v>27</v>
      </c>
      <c r="B41" s="5">
        <v>2.67</v>
      </c>
    </row>
    <row r="42" spans="1:10">
      <c r="A42" s="5" t="s">
        <v>28</v>
      </c>
      <c r="B42" s="5">
        <f>100*B41*C22/0.1119</f>
        <v>21.093100443335445</v>
      </c>
    </row>
    <row r="43" spans="1:10">
      <c r="A43" s="5" t="s">
        <v>29</v>
      </c>
      <c r="B43" s="5">
        <f>2*SUM(I22:I35)*B41/SUM(J22:J35)</f>
        <v>2.659729137673621</v>
      </c>
    </row>
    <row r="44" spans="1:10">
      <c r="A44" s="5" t="s">
        <v>30</v>
      </c>
      <c r="B44" s="5">
        <f>1.0704*B43-0.1883</f>
        <v>2.6586740689658441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zoomScaleNormal="100" workbookViewId="0">
      <selection activeCell="C5" sqref="C5"/>
    </sheetView>
  </sheetViews>
  <sheetFormatPr defaultRowHeight="12.75"/>
  <cols>
    <col min="1" max="1" width="16.5703125" style="3"/>
    <col min="2" max="2" width="13.28515625" style="3"/>
    <col min="3" max="3" width="16.5703125" style="3"/>
    <col min="4" max="4" width="16" style="3"/>
    <col min="5" max="5" width="15.140625" style="3"/>
    <col min="6" max="6" width="12.5703125" style="3"/>
    <col min="7" max="7" width="13.42578125" style="3"/>
    <col min="8" max="256" width="11.5703125" style="3"/>
    <col min="257" max="1025" width="9.85546875"/>
  </cols>
  <sheetData>
    <row r="1" spans="1:10">
      <c r="A1" s="2" t="s">
        <v>38</v>
      </c>
      <c r="B1" s="2"/>
      <c r="C1" s="2"/>
      <c r="D1" s="2"/>
      <c r="E1" s="2"/>
      <c r="F1" s="2"/>
      <c r="G1"/>
      <c r="H1"/>
      <c r="I1"/>
      <c r="J1"/>
    </row>
    <row r="2" spans="1:10">
      <c r="A2" s="1" t="s">
        <v>1</v>
      </c>
      <c r="B2" s="1"/>
      <c r="C2" s="1"/>
      <c r="D2" s="1"/>
      <c r="E2" s="1"/>
      <c r="F2" s="1"/>
      <c r="G2"/>
      <c r="H2"/>
      <c r="I2"/>
      <c r="J2"/>
    </row>
    <row r="3" spans="1:10">
      <c r="A3" s="4"/>
      <c r="B3"/>
      <c r="C3"/>
      <c r="D3"/>
      <c r="E3"/>
      <c r="F3"/>
      <c r="G3"/>
      <c r="H3"/>
      <c r="I3"/>
      <c r="J3"/>
    </row>
    <row r="4" spans="1:10">
      <c r="A4"/>
      <c r="B4" s="5" t="s">
        <v>2</v>
      </c>
      <c r="C4" t="s">
        <v>3</v>
      </c>
      <c r="D4"/>
      <c r="E4"/>
      <c r="F4"/>
      <c r="G4"/>
      <c r="H4"/>
      <c r="I4"/>
      <c r="J4"/>
    </row>
    <row r="5" spans="1:10">
      <c r="A5" s="5" t="s">
        <v>4</v>
      </c>
      <c r="B5" s="5">
        <f>B24</f>
        <v>22.991</v>
      </c>
      <c r="C5" s="16">
        <v>5.1999999999999998E-3</v>
      </c>
      <c r="D5"/>
      <c r="E5"/>
      <c r="F5" s="7"/>
      <c r="G5"/>
      <c r="H5"/>
      <c r="I5"/>
      <c r="J5"/>
    </row>
    <row r="6" spans="1:10">
      <c r="A6" s="5" t="s">
        <v>5</v>
      </c>
      <c r="B6" s="5">
        <f>B25</f>
        <v>55.85</v>
      </c>
      <c r="C6" s="16">
        <v>4.8000000000000001E-2</v>
      </c>
      <c r="D6"/>
      <c r="E6"/>
      <c r="F6" s="7"/>
      <c r="G6"/>
      <c r="H6"/>
      <c r="I6"/>
      <c r="J6"/>
    </row>
    <row r="7" spans="1:10">
      <c r="A7" s="5" t="s">
        <v>6</v>
      </c>
      <c r="B7" s="5">
        <f>B26</f>
        <v>24.32</v>
      </c>
      <c r="C7" s="16">
        <v>1.17E-2</v>
      </c>
      <c r="D7"/>
      <c r="E7"/>
      <c r="F7" s="7"/>
      <c r="G7"/>
      <c r="H7"/>
      <c r="I7"/>
      <c r="J7"/>
    </row>
    <row r="8" spans="1:10">
      <c r="A8" s="5" t="s">
        <v>7</v>
      </c>
      <c r="B8" s="5">
        <f>2*B22+B23</f>
        <v>18.015999999999998</v>
      </c>
      <c r="C8" s="16">
        <v>5.4600000000000003E-2</v>
      </c>
      <c r="D8"/>
      <c r="E8"/>
      <c r="F8" s="7"/>
      <c r="G8"/>
      <c r="H8"/>
      <c r="I8"/>
      <c r="J8"/>
    </row>
    <row r="9" spans="1:10">
      <c r="A9" s="5" t="s">
        <v>8</v>
      </c>
      <c r="B9" s="5">
        <f t="shared" ref="B9:B17" si="0">B27</f>
        <v>26.98</v>
      </c>
      <c r="C9" s="16">
        <v>0.13159999999999999</v>
      </c>
      <c r="D9"/>
      <c r="E9"/>
      <c r="F9" s="7"/>
      <c r="G9"/>
      <c r="H9"/>
      <c r="I9"/>
      <c r="J9"/>
    </row>
    <row r="10" spans="1:10">
      <c r="A10" s="5" t="s">
        <v>9</v>
      </c>
      <c r="B10" s="5">
        <f t="shared" si="0"/>
        <v>10.82</v>
      </c>
      <c r="C10" s="16">
        <v>1.63E-4</v>
      </c>
      <c r="D10"/>
      <c r="E10"/>
      <c r="F10" s="7"/>
      <c r="G10"/>
      <c r="H10"/>
      <c r="I10"/>
      <c r="J10"/>
    </row>
    <row r="11" spans="1:10">
      <c r="A11" s="5" t="s">
        <v>10</v>
      </c>
      <c r="B11" s="5">
        <f t="shared" si="0"/>
        <v>28.09</v>
      </c>
      <c r="C11" s="16">
        <v>0.2485</v>
      </c>
      <c r="D11"/>
      <c r="E11"/>
      <c r="F11" s="7"/>
      <c r="G11"/>
      <c r="H11"/>
      <c r="I11"/>
      <c r="J11"/>
    </row>
    <row r="12" spans="1:10">
      <c r="A12" s="5" t="s">
        <v>11</v>
      </c>
      <c r="B12" s="5">
        <f t="shared" si="0"/>
        <v>157.25</v>
      </c>
      <c r="C12" s="16">
        <v>3.9999999999999998E-6</v>
      </c>
      <c r="D12"/>
      <c r="E12"/>
      <c r="F12" s="7"/>
      <c r="G12"/>
      <c r="H12"/>
      <c r="I12"/>
      <c r="J12"/>
    </row>
    <row r="13" spans="1:10">
      <c r="A13" s="5" t="s">
        <v>12</v>
      </c>
      <c r="B13" s="5">
        <f t="shared" si="0"/>
        <v>39.1</v>
      </c>
      <c r="C13" s="16">
        <v>4.5499999999999999E-2</v>
      </c>
      <c r="D13"/>
      <c r="E13"/>
      <c r="F13" s="7"/>
      <c r="G13"/>
      <c r="H13"/>
      <c r="I13"/>
      <c r="J13"/>
    </row>
    <row r="14" spans="1:10">
      <c r="A14" s="5" t="s">
        <v>13</v>
      </c>
      <c r="B14" s="5">
        <f t="shared" si="0"/>
        <v>232.03800000000001</v>
      </c>
      <c r="C14" s="16">
        <v>1.2E-5</v>
      </c>
      <c r="D14"/>
      <c r="E14"/>
      <c r="F14" s="7"/>
      <c r="G14"/>
      <c r="H14"/>
      <c r="I14"/>
      <c r="J14"/>
    </row>
    <row r="15" spans="1:10">
      <c r="A15" s="5" t="s">
        <v>14</v>
      </c>
      <c r="B15" s="5">
        <f t="shared" si="0"/>
        <v>40.08</v>
      </c>
      <c r="C15" s="16">
        <v>5.1000000000000004E-3</v>
      </c>
      <c r="D15"/>
      <c r="E15"/>
      <c r="F15" s="7"/>
      <c r="G15"/>
      <c r="H15"/>
      <c r="I15"/>
      <c r="J15"/>
    </row>
    <row r="16" spans="1:10">
      <c r="A16" s="5" t="s">
        <v>15</v>
      </c>
      <c r="B16" s="5">
        <f t="shared" si="0"/>
        <v>238.029</v>
      </c>
      <c r="C16" s="16">
        <v>4.7999999999999998E-6</v>
      </c>
      <c r="D16"/>
      <c r="E16"/>
      <c r="F16" s="7"/>
      <c r="G16"/>
      <c r="H16"/>
      <c r="I16"/>
      <c r="J16"/>
    </row>
    <row r="17" spans="1:10">
      <c r="A17" s="5" t="s">
        <v>16</v>
      </c>
      <c r="B17" s="5">
        <f t="shared" si="0"/>
        <v>47.9</v>
      </c>
      <c r="C17" s="16">
        <v>4.7999999999999996E-3</v>
      </c>
      <c r="D17"/>
      <c r="E17"/>
      <c r="F17" s="7"/>
      <c r="G17"/>
      <c r="H17"/>
      <c r="I17"/>
      <c r="J17"/>
    </row>
    <row r="18" spans="1:10">
      <c r="A18" s="8" t="s">
        <v>17</v>
      </c>
      <c r="B18" s="8">
        <f>B23</f>
        <v>16</v>
      </c>
      <c r="C18" s="14">
        <f>1-SUM(C5:C17)</f>
        <v>0.44481619999999988</v>
      </c>
      <c r="D18"/>
      <c r="E18"/>
      <c r="F18" s="7"/>
      <c r="G18"/>
      <c r="H18"/>
      <c r="I18"/>
      <c r="J18"/>
    </row>
    <row r="19" spans="1:10">
      <c r="A19"/>
      <c r="B19"/>
      <c r="C19"/>
      <c r="D19"/>
      <c r="E19"/>
      <c r="F19" s="7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 s="5" t="s">
        <v>2</v>
      </c>
      <c r="C21" t="s">
        <v>3</v>
      </c>
      <c r="D21" s="5" t="s">
        <v>18</v>
      </c>
      <c r="E21" s="5" t="s">
        <v>19</v>
      </c>
      <c r="F21" t="s">
        <v>20</v>
      </c>
      <c r="G21"/>
      <c r="H21" s="5" t="s">
        <v>21</v>
      </c>
      <c r="I21" s="5" t="s">
        <v>22</v>
      </c>
      <c r="J21" s="5" t="s">
        <v>23</v>
      </c>
    </row>
    <row r="22" spans="1:10">
      <c r="A22" s="5" t="s">
        <v>24</v>
      </c>
      <c r="B22" s="5">
        <v>1.008</v>
      </c>
      <c r="C22" s="10">
        <f>C8*(2*B22/B8)</f>
        <v>6.1097690941385443E-3</v>
      </c>
      <c r="D22" s="11">
        <f t="shared" ref="D22:D35" si="1">100*C22</f>
        <v>0.61097690941385441</v>
      </c>
      <c r="E22" s="12">
        <f t="shared" ref="E22:E35" si="2">D22/B22</f>
        <v>0.60612788632326831</v>
      </c>
      <c r="F22" s="17">
        <f t="shared" ref="F22:F35" si="3">E22/$E$37</f>
        <v>0.11310426641597322</v>
      </c>
      <c r="G22" s="11">
        <f t="shared" ref="G22:G35" si="4">ROUND(F22,8)</f>
        <v>0.11310427000000001</v>
      </c>
      <c r="H22" s="5">
        <v>1</v>
      </c>
      <c r="I22" s="5">
        <f t="shared" ref="I22:I35" si="5">F22*H22</f>
        <v>0.11310426641597322</v>
      </c>
      <c r="J22" s="5">
        <f t="shared" ref="J22:J35" si="6">F22*B22</f>
        <v>0.11400910054730101</v>
      </c>
    </row>
    <row r="23" spans="1:10">
      <c r="A23" s="5" t="s">
        <v>25</v>
      </c>
      <c r="B23" s="5">
        <v>16</v>
      </c>
      <c r="C23" s="10">
        <f>C18+C8*(B23/B8)</f>
        <v>0.49330643090586135</v>
      </c>
      <c r="D23" s="11">
        <f t="shared" si="1"/>
        <v>49.330643090586136</v>
      </c>
      <c r="E23" s="12">
        <f t="shared" si="2"/>
        <v>3.0831651931616335</v>
      </c>
      <c r="F23" s="17">
        <f t="shared" si="3"/>
        <v>0.57532270875559965</v>
      </c>
      <c r="G23" s="11">
        <f t="shared" si="4"/>
        <v>0.57532271000000001</v>
      </c>
      <c r="H23" s="5">
        <v>8</v>
      </c>
      <c r="I23" s="5">
        <f t="shared" si="5"/>
        <v>4.6025816700447972</v>
      </c>
      <c r="J23" s="5">
        <f t="shared" si="6"/>
        <v>9.2051633400895945</v>
      </c>
    </row>
    <row r="24" spans="1:10">
      <c r="A24" s="5" t="s">
        <v>4</v>
      </c>
      <c r="B24" s="5">
        <v>22.991</v>
      </c>
      <c r="C24" s="10">
        <f>C5</f>
        <v>5.1999999999999998E-3</v>
      </c>
      <c r="D24" s="11">
        <f t="shared" si="1"/>
        <v>0.52</v>
      </c>
      <c r="E24" s="12">
        <f t="shared" si="2"/>
        <v>2.2617545996259408E-2</v>
      </c>
      <c r="F24" s="17">
        <f t="shared" si="3"/>
        <v>4.2204640402769894E-3</v>
      </c>
      <c r="G24" s="11">
        <f t="shared" si="4"/>
        <v>4.2204599999999997E-3</v>
      </c>
      <c r="H24" s="5">
        <v>11</v>
      </c>
      <c r="I24" s="5">
        <f t="shared" si="5"/>
        <v>4.6425104443046886E-2</v>
      </c>
      <c r="J24" s="5">
        <f t="shared" si="6"/>
        <v>9.7032688750008256E-2</v>
      </c>
    </row>
    <row r="25" spans="1:10">
      <c r="A25" s="5" t="s">
        <v>5</v>
      </c>
      <c r="B25" s="5">
        <v>55.85</v>
      </c>
      <c r="C25" s="10">
        <f>C6</f>
        <v>4.8000000000000001E-2</v>
      </c>
      <c r="D25" s="11">
        <f t="shared" si="1"/>
        <v>4.8</v>
      </c>
      <c r="E25" s="12">
        <f t="shared" si="2"/>
        <v>8.5944494180841532E-2</v>
      </c>
      <c r="F25" s="17">
        <f t="shared" si="3"/>
        <v>1.6037356449281715E-2</v>
      </c>
      <c r="G25" s="11">
        <f t="shared" si="4"/>
        <v>1.6037360000000001E-2</v>
      </c>
      <c r="H25" s="5">
        <v>26</v>
      </c>
      <c r="I25" s="5">
        <f t="shared" si="5"/>
        <v>0.41697126768132459</v>
      </c>
      <c r="J25" s="5">
        <f t="shared" si="6"/>
        <v>0.89568635769238381</v>
      </c>
    </row>
    <row r="26" spans="1:10">
      <c r="A26" s="5" t="s">
        <v>6</v>
      </c>
      <c r="B26" s="5">
        <v>24.32</v>
      </c>
      <c r="C26" s="10">
        <f>C7</f>
        <v>1.17E-2</v>
      </c>
      <c r="D26" s="11">
        <f t="shared" si="1"/>
        <v>1.17</v>
      </c>
      <c r="E26" s="12">
        <f t="shared" si="2"/>
        <v>4.8108552631578941E-2</v>
      </c>
      <c r="F26" s="17">
        <f t="shared" si="3"/>
        <v>8.9771196417565181E-3</v>
      </c>
      <c r="G26" s="11">
        <f t="shared" si="4"/>
        <v>8.9771199999999999E-3</v>
      </c>
      <c r="H26" s="5">
        <v>12</v>
      </c>
      <c r="I26" s="5">
        <f t="shared" si="5"/>
        <v>0.10772543570107822</v>
      </c>
      <c r="J26" s="5">
        <f t="shared" si="6"/>
        <v>0.21832354968751852</v>
      </c>
    </row>
    <row r="27" spans="1:10">
      <c r="A27" s="5" t="s">
        <v>8</v>
      </c>
      <c r="B27" s="5">
        <v>26.98</v>
      </c>
      <c r="C27" s="10">
        <f t="shared" ref="C27:C35" si="7">C9</f>
        <v>0.13159999999999999</v>
      </c>
      <c r="D27" s="11">
        <f t="shared" si="1"/>
        <v>13.16</v>
      </c>
      <c r="E27" s="12">
        <f t="shared" si="2"/>
        <v>0.48776871756856932</v>
      </c>
      <c r="F27" s="17">
        <f t="shared" si="3"/>
        <v>9.1018288757349367E-2</v>
      </c>
      <c r="G27" s="11">
        <f t="shared" si="4"/>
        <v>9.1018290000000002E-2</v>
      </c>
      <c r="H27" s="5">
        <v>13</v>
      </c>
      <c r="I27" s="5">
        <f t="shared" si="5"/>
        <v>1.1832377538455419</v>
      </c>
      <c r="J27" s="5">
        <f t="shared" si="6"/>
        <v>2.4556734306732859</v>
      </c>
    </row>
    <row r="28" spans="1:10">
      <c r="A28" s="5" t="s">
        <v>9</v>
      </c>
      <c r="B28" s="5">
        <v>10.82</v>
      </c>
      <c r="C28" s="10">
        <f t="shared" si="7"/>
        <v>1.63E-4</v>
      </c>
      <c r="D28" s="11">
        <f t="shared" si="1"/>
        <v>1.6300000000000002E-2</v>
      </c>
      <c r="E28" s="12">
        <f t="shared" si="2"/>
        <v>1.5064695009242145E-3</v>
      </c>
      <c r="F28" s="17">
        <f t="shared" si="3"/>
        <v>2.8110920422030688E-4</v>
      </c>
      <c r="G28" s="11">
        <f t="shared" si="4"/>
        <v>2.8111E-4</v>
      </c>
      <c r="H28" s="5">
        <v>5</v>
      </c>
      <c r="I28" s="5">
        <f t="shared" si="5"/>
        <v>1.4055460211015343E-3</v>
      </c>
      <c r="J28" s="5">
        <f t="shared" si="6"/>
        <v>3.0416015896637203E-3</v>
      </c>
    </row>
    <row r="29" spans="1:10">
      <c r="A29" s="5" t="s">
        <v>10</v>
      </c>
      <c r="B29" s="5">
        <v>28.09</v>
      </c>
      <c r="C29" s="10">
        <f t="shared" si="7"/>
        <v>0.2485</v>
      </c>
      <c r="D29" s="11">
        <f t="shared" si="1"/>
        <v>24.85</v>
      </c>
      <c r="E29" s="12">
        <f t="shared" si="2"/>
        <v>0.88465646137415455</v>
      </c>
      <c r="F29" s="17">
        <f t="shared" si="3"/>
        <v>0.16507806743692699</v>
      </c>
      <c r="G29" s="11">
        <f t="shared" si="4"/>
        <v>0.16507806999999999</v>
      </c>
      <c r="H29" s="5">
        <v>14</v>
      </c>
      <c r="I29" s="5">
        <f t="shared" si="5"/>
        <v>2.3110929441169779</v>
      </c>
      <c r="J29" s="5">
        <f t="shared" si="6"/>
        <v>4.6370429143032794</v>
      </c>
    </row>
    <row r="30" spans="1:10">
      <c r="A30" s="5" t="s">
        <v>11</v>
      </c>
      <c r="B30" s="5">
        <v>157.25</v>
      </c>
      <c r="C30" s="10">
        <f t="shared" si="7"/>
        <v>3.9999999999999998E-6</v>
      </c>
      <c r="D30" s="11">
        <f t="shared" si="1"/>
        <v>3.9999999999999996E-4</v>
      </c>
      <c r="E30" s="12">
        <f t="shared" si="2"/>
        <v>2.5437201907790142E-6</v>
      </c>
      <c r="F30" s="17">
        <f t="shared" si="3"/>
        <v>4.7466155680571476E-7</v>
      </c>
      <c r="G30" s="11">
        <f t="shared" si="4"/>
        <v>4.7E-7</v>
      </c>
      <c r="H30" s="5">
        <v>64</v>
      </c>
      <c r="I30" s="5">
        <f t="shared" si="5"/>
        <v>3.0378339635565744E-5</v>
      </c>
      <c r="J30" s="5">
        <f t="shared" si="6"/>
        <v>7.4640529807698639E-5</v>
      </c>
    </row>
    <row r="31" spans="1:10">
      <c r="A31" s="5" t="s">
        <v>12</v>
      </c>
      <c r="B31" s="5">
        <v>39.1</v>
      </c>
      <c r="C31" s="10">
        <f t="shared" si="7"/>
        <v>4.5499999999999999E-2</v>
      </c>
      <c r="D31" s="11">
        <f t="shared" si="1"/>
        <v>4.55</v>
      </c>
      <c r="E31" s="12">
        <f t="shared" si="2"/>
        <v>0.11636828644501278</v>
      </c>
      <c r="F31" s="17">
        <f t="shared" si="3"/>
        <v>2.1714476382674479E-2</v>
      </c>
      <c r="G31" s="11">
        <f t="shared" si="4"/>
        <v>2.1714480000000001E-2</v>
      </c>
      <c r="H31" s="5">
        <v>19</v>
      </c>
      <c r="I31" s="5">
        <f t="shared" si="5"/>
        <v>0.41257505127081512</v>
      </c>
      <c r="J31" s="5">
        <f t="shared" si="6"/>
        <v>0.84903602656257215</v>
      </c>
    </row>
    <row r="32" spans="1:10">
      <c r="A32" s="5" t="s">
        <v>13</v>
      </c>
      <c r="B32" s="5">
        <v>232.03800000000001</v>
      </c>
      <c r="C32" s="10">
        <f t="shared" si="7"/>
        <v>1.2E-5</v>
      </c>
      <c r="D32" s="11">
        <f t="shared" si="1"/>
        <v>1.2000000000000001E-3</v>
      </c>
      <c r="E32" s="12">
        <f t="shared" si="2"/>
        <v>5.1715667261396846E-6</v>
      </c>
      <c r="F32" s="17">
        <f t="shared" si="3"/>
        <v>9.650212009373291E-7</v>
      </c>
      <c r="G32" s="11">
        <f t="shared" si="4"/>
        <v>9.7000000000000003E-7</v>
      </c>
      <c r="H32" s="5">
        <v>90</v>
      </c>
      <c r="I32" s="5">
        <f t="shared" si="5"/>
        <v>8.6851908084359619E-5</v>
      </c>
      <c r="J32" s="5">
        <f t="shared" si="6"/>
        <v>2.2392158942309597E-4</v>
      </c>
    </row>
    <row r="33" spans="1:10">
      <c r="A33" s="5" t="s">
        <v>14</v>
      </c>
      <c r="B33" s="5">
        <v>40.08</v>
      </c>
      <c r="C33" s="10">
        <f t="shared" si="7"/>
        <v>5.1000000000000004E-3</v>
      </c>
      <c r="D33" s="11">
        <f t="shared" si="1"/>
        <v>0.51</v>
      </c>
      <c r="E33" s="12">
        <f t="shared" si="2"/>
        <v>1.2724550898203594E-2</v>
      </c>
      <c r="F33" s="17">
        <f t="shared" si="3"/>
        <v>2.3744180515173599E-3</v>
      </c>
      <c r="G33" s="11">
        <f t="shared" si="4"/>
        <v>2.3744199999999999E-3</v>
      </c>
      <c r="H33" s="5">
        <v>20</v>
      </c>
      <c r="I33" s="5">
        <f t="shared" si="5"/>
        <v>4.7488361030347197E-2</v>
      </c>
      <c r="J33" s="5">
        <f t="shared" si="6"/>
        <v>9.5166675504815779E-2</v>
      </c>
    </row>
    <row r="34" spans="1:10">
      <c r="A34" s="5" t="s">
        <v>15</v>
      </c>
      <c r="B34" s="5">
        <v>238.029</v>
      </c>
      <c r="C34" s="10">
        <f t="shared" si="7"/>
        <v>4.7999999999999998E-6</v>
      </c>
      <c r="D34" s="11">
        <f t="shared" si="1"/>
        <v>4.7999999999999996E-4</v>
      </c>
      <c r="E34" s="12">
        <f t="shared" si="2"/>
        <v>2.0165610072722228E-6</v>
      </c>
      <c r="F34" s="17">
        <f t="shared" si="3"/>
        <v>3.7629295493086291E-7</v>
      </c>
      <c r="G34" s="11">
        <f t="shared" si="4"/>
        <v>3.8000000000000001E-7</v>
      </c>
      <c r="H34" s="5">
        <v>92</v>
      </c>
      <c r="I34" s="5">
        <f t="shared" si="5"/>
        <v>3.4618951853639385E-5</v>
      </c>
      <c r="J34" s="5">
        <f t="shared" si="6"/>
        <v>8.9568635769238369E-5</v>
      </c>
    </row>
    <row r="35" spans="1:10">
      <c r="A35" s="5" t="s">
        <v>16</v>
      </c>
      <c r="B35" s="5">
        <v>47.9</v>
      </c>
      <c r="C35" s="10">
        <f t="shared" si="7"/>
        <v>4.7999999999999996E-3</v>
      </c>
      <c r="D35" s="11">
        <f t="shared" si="1"/>
        <v>0.48</v>
      </c>
      <c r="E35" s="12">
        <f t="shared" si="2"/>
        <v>1.0020876826722338E-2</v>
      </c>
      <c r="F35" s="17">
        <f t="shared" si="3"/>
        <v>1.8699088887106133E-3</v>
      </c>
      <c r="G35" s="11">
        <f t="shared" si="4"/>
        <v>1.86991E-3</v>
      </c>
      <c r="H35" s="5">
        <v>22</v>
      </c>
      <c r="I35" s="5">
        <f t="shared" si="5"/>
        <v>4.1137995551633492E-2</v>
      </c>
      <c r="J35" s="5">
        <f t="shared" si="6"/>
        <v>8.9568635769238375E-2</v>
      </c>
    </row>
    <row r="36" spans="1:10">
      <c r="A36"/>
      <c r="B36"/>
      <c r="C36"/>
      <c r="D36"/>
      <c r="E36"/>
      <c r="F36" s="7"/>
      <c r="G36"/>
    </row>
    <row r="37" spans="1:10">
      <c r="A37" s="5" t="s">
        <v>26</v>
      </c>
      <c r="B37"/>
      <c r="C37" s="5">
        <f>SUM(C22:C35)</f>
        <v>1</v>
      </c>
      <c r="D37" s="5">
        <f>SUM(D22:D35)</f>
        <v>100</v>
      </c>
      <c r="E37" s="15">
        <f>SUM(E22:E35)</f>
        <v>5.359018766755093</v>
      </c>
      <c r="F37" s="15">
        <f>SUM(F22:F35)</f>
        <v>1</v>
      </c>
      <c r="G37" s="5">
        <f>SUM(G22:G35)</f>
        <v>1.0000000199999999</v>
      </c>
    </row>
    <row r="38" spans="1:10">
      <c r="A38"/>
      <c r="B38"/>
    </row>
    <row r="39" spans="1:10">
      <c r="A39" s="5" t="str">
        <f>A22&amp;" "&amp;G22&amp;" "&amp;A23&amp;" "&amp;G23&amp;" "&amp;A24&amp;" "&amp;G24&amp;" "&amp;A25&amp;" "&amp;G25&amp;" "&amp;A26&amp;" "&amp;G26&amp;" "&amp;A27&amp;" "&amp;G27&amp;" "&amp;A28&amp;" "&amp;G28&amp;" "&amp;A29&amp;" "&amp;G29&amp;" "&amp;A30&amp;" "&amp;G30&amp;" "&amp;A31&amp;" "&amp;G31&amp;" "&amp;A32&amp;" "&amp;G32&amp;" "&amp;A33&amp;" "&amp;G33&amp;" "&amp;A34&amp;" "&amp;G34&amp;" "&amp;A35&amp;" "&amp;G35</f>
        <v>H 0.11310427 O 0.57532271 Na 0.00422046 Fe 0.01603736 Mg 0.00897712 Al 0.09101829 B 0.00028111 Si 0.16507807 Gd 0.00000047 K 0.02171448 Th 0.00000097 Ca 0.00237442 U 0.00000038 Ti 0.00186991</v>
      </c>
      <c r="B39"/>
    </row>
    <row r="40" spans="1:10">
      <c r="A40"/>
      <c r="B40"/>
    </row>
    <row r="41" spans="1:10">
      <c r="A41" s="5" t="s">
        <v>27</v>
      </c>
      <c r="B41" s="5">
        <v>2.74</v>
      </c>
    </row>
    <row r="42" spans="1:10">
      <c r="A42" s="5" t="s">
        <v>28</v>
      </c>
      <c r="B42" s="5">
        <f>100*B41*C22/0.1119</f>
        <v>14.960471240339242</v>
      </c>
    </row>
    <row r="43" spans="1:10">
      <c r="A43" s="5" t="s">
        <v>29</v>
      </c>
      <c r="B43" s="5">
        <f>2*SUM(I22:I35)*B41/SUM(J22:J35)</f>
        <v>2.7264413602336588</v>
      </c>
    </row>
    <row r="44" spans="1:10">
      <c r="A44" s="5" t="s">
        <v>30</v>
      </c>
      <c r="B44" s="5">
        <f>1.0704*B43-0.1883</f>
        <v>2.7300828319941086</v>
      </c>
    </row>
  </sheetData>
  <mergeCells count="2">
    <mergeCell ref="A1:F1"/>
    <mergeCell ref="A2:F2"/>
  </mergeCell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129575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Muscovite</vt:lpstr>
      <vt:lpstr>Muscovite_no_B</vt:lpstr>
      <vt:lpstr>Biotite</vt:lpstr>
      <vt:lpstr>Glauconite</vt:lpstr>
      <vt:lpstr>Glauconite_no_B</vt:lpstr>
      <vt:lpstr>Kaolinite</vt:lpstr>
      <vt:lpstr>Illite_1</vt:lpstr>
      <vt:lpstr>Illite_1b</vt:lpstr>
      <vt:lpstr>Illite_2</vt:lpstr>
      <vt:lpstr>Smectite</vt:lpstr>
      <vt:lpstr>Chlorite</vt:lpstr>
      <vt:lpstr>Chlorite_2</vt:lpstr>
      <vt:lpstr>water</vt:lpstr>
      <vt:lpstr>quartz</vt:lpstr>
      <vt:lpstr>K-feldspar</vt:lpstr>
      <vt:lpstr>plagioclase</vt:lpstr>
      <vt:lpstr>calcite</vt:lpstr>
      <vt:lpstr>siderite</vt:lpstr>
      <vt:lpstr>pyrite</vt:lpstr>
      <vt:lpstr>XD-2-1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Goodyear</cp:lastModifiedBy>
  <cp:revision>15</cp:revision>
  <dcterms:created xsi:type="dcterms:W3CDTF">2015-02-12T20:26:32Z</dcterms:created>
  <dcterms:modified xsi:type="dcterms:W3CDTF">2016-06-14T19:08:36Z</dcterms:modified>
  <dc:language>en-US</dc:language>
</cp:coreProperties>
</file>