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MariaPierson\Documents\_Fort Collins\BOMs\FC_BOM_Latest_20200701\"/>
    </mc:Choice>
  </mc:AlternateContent>
  <xr:revisionPtr revIDLastSave="0" documentId="13_ncr:1_{D4437CE1-FA90-4E68-946F-4160CE3E25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EG Uni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" i="1" l="1"/>
  <c r="G57" i="1" l="1"/>
  <c r="A2" i="1" l="1"/>
  <c r="A75" i="1"/>
  <c r="A73" i="1"/>
  <c r="A71" i="1"/>
  <c r="A69" i="1"/>
  <c r="A62" i="1"/>
  <c r="A57" i="1"/>
  <c r="A55" i="1"/>
  <c r="A54" i="1"/>
  <c r="A6" i="1" s="1"/>
  <c r="A49" i="1"/>
  <c r="A48" i="1"/>
  <c r="A47" i="1"/>
  <c r="A46" i="1"/>
  <c r="A45" i="1"/>
  <c r="A44" i="1"/>
  <c r="A18" i="1" s="1"/>
  <c r="A43" i="1"/>
  <c r="A42" i="1"/>
  <c r="A41" i="1"/>
  <c r="A40" i="1"/>
  <c r="A38" i="1"/>
  <c r="A36" i="1"/>
  <c r="A35" i="1"/>
  <c r="A34" i="1"/>
  <c r="A33" i="1"/>
  <c r="A31" i="1"/>
  <c r="A52" i="1" s="1"/>
  <c r="A64" i="1" l="1"/>
  <c r="A61" i="1"/>
  <c r="A5" i="1"/>
  <c r="A65" i="1"/>
  <c r="A3" i="1"/>
  <c r="A53" i="1"/>
</calcChain>
</file>

<file path=xl/sharedStrings.xml><?xml version="1.0" encoding="utf-8"?>
<sst xmlns="http://schemas.openxmlformats.org/spreadsheetml/2006/main" count="165" uniqueCount="96">
  <si>
    <t>FT</t>
  </si>
  <si>
    <t>Rock Cutting Adder (adder) - 25% of UG plant footage</t>
  </si>
  <si>
    <t>Rock Bore w/ Rail Head (adder) (does not include jack hammer/air hammer) = 4% of UG plant footage</t>
  </si>
  <si>
    <t>Air Hammer for Hard Rock (adder)</t>
  </si>
  <si>
    <t>SQ FT</t>
  </si>
  <si>
    <t>Cut and Restore Asphalt or Concrete = 4% of New UG</t>
  </si>
  <si>
    <t>Install Tracer Wire in new conduit = plant footage * 1.015</t>
  </si>
  <si>
    <t>Missile Bore - All 1.25" except where shared path with 2"</t>
  </si>
  <si>
    <t>Directional Bore - up to 2" Conduit = All 2" Conduit, plus shared path with 1.25"</t>
  </si>
  <si>
    <t>(optional) Microtrench - up to 1"x10" slot - estimated price based on scope req.</t>
  </si>
  <si>
    <t>Low Density Downtown Bore</t>
  </si>
  <si>
    <t>High Density Downtown Open Cut</t>
  </si>
  <si>
    <t>UG "Special Crossing" (RR, Interstate, Waterway) - individual xing pricing will vary</t>
  </si>
  <si>
    <t>Conduit Adder in same trench (1st additional conduit - up to 2" Conduit) Parallel</t>
  </si>
  <si>
    <t>(optional) Conduit Adder in same trench - City Spare Conduit (up to 2" Conduit)</t>
  </si>
  <si>
    <t>EA</t>
  </si>
  <si>
    <t>Pothole or Keyhole for Existing Utilities (3 per residential crossing; 6 per collector)</t>
  </si>
  <si>
    <t>Install Maxcell Bundle in Conduit</t>
  </si>
  <si>
    <t>Pull Fiber through Maxcell</t>
  </si>
  <si>
    <t>Pull/Blow Fiber through Conduit - Include 12F NAP Extender cable but no drop fiber, needs to include</t>
  </si>
  <si>
    <t>Underground Rear Easement Adder - New Conduit</t>
  </si>
  <si>
    <t>Install Flower Pot (10x10)</t>
  </si>
  <si>
    <t>Install Flower Pot (10x10) - adjacent to power vault</t>
  </si>
  <si>
    <t>Underground Rear Easement Adder - New Vault</t>
  </si>
  <si>
    <t xml:space="preserve">Place Sod and Water Area (up to 15 min of watering per location - i.e. vault, bore pit, etc.) - calculate 10 sq ft per vault </t>
  </si>
  <si>
    <t>Install Underground FDH Enclosure</t>
  </si>
  <si>
    <t>Splice Closure Preparation</t>
  </si>
  <si>
    <t xml:space="preserve">Splice Closure Preparation for NAPx -only 12F </t>
  </si>
  <si>
    <t>Single Fusion Fiber Splicing</t>
  </si>
  <si>
    <t>OTDR Testing and Documentation - Uni-directional LCP to NAP, bi-directional CO-LCP (standard loss specs) 1 per input fiber and 1 per output fiber</t>
  </si>
  <si>
    <t>Install Splitter in Underground FDH - will be 1 per FDH</t>
  </si>
  <si>
    <t>FDH Cables</t>
  </si>
  <si>
    <t>MCA</t>
  </si>
  <si>
    <t>NAP</t>
  </si>
  <si>
    <t>Reel End</t>
  </si>
  <si>
    <t>Cable Size</t>
  </si>
  <si>
    <t>288F OFS Fortex DT Fiber Dry, single jacket, non-armored</t>
  </si>
  <si>
    <t>288ct</t>
  </si>
  <si>
    <t>5% added for elevation changes</t>
  </si>
  <si>
    <t>144F OFS Fortex DT Fiber Dry, single jacket, non-armored</t>
  </si>
  <si>
    <t>144ct</t>
  </si>
  <si>
    <t>add 60' for Nap, 100' for Reel End, 90' for MCA &amp;</t>
  </si>
  <si>
    <t>96F OFS Fortex DT Fiber Dry, single jacket, non-armored</t>
  </si>
  <si>
    <t>96ct</t>
  </si>
  <si>
    <t>80' for each cable entering FDH</t>
  </si>
  <si>
    <t>48F OFS Fortex DT Fiber Dry, single jacket, non-armored</t>
  </si>
  <si>
    <t>48ct</t>
  </si>
  <si>
    <t>24F OFS Fortex DT Fiber Dry, single jacket, non-armored</t>
  </si>
  <si>
    <t>24ct</t>
  </si>
  <si>
    <t>12F OFS Fortex DT Fiber Dry, single jacket, non-armored</t>
  </si>
  <si>
    <t>12ct</t>
  </si>
  <si>
    <t>Concrete Polymer Vault 17x30x24 - tier 15</t>
  </si>
  <si>
    <t>Concrete Polymer Vault 30x48x36 - tier 15</t>
  </si>
  <si>
    <t>Concrete Polymer Vault 36x60x36 - tier 15</t>
  </si>
  <si>
    <t>HDPE Flower Pot 9x10 - light duty</t>
  </si>
  <si>
    <t>Traffic Vault HS-20 30x48x36</t>
  </si>
  <si>
    <t>HDPE Vault 30x48x36, with swing arm - tier 15</t>
  </si>
  <si>
    <t>90-10 Fescue Blend Sod - 10 sq ft per vault</t>
  </si>
  <si>
    <t>Cubic Yard</t>
  </si>
  <si>
    <t>Gravel - .0069 for flower pot; .016 for small vault; .1467 for large vaults</t>
  </si>
  <si>
    <t>Conduit</t>
  </si>
  <si>
    <t>1.25" HDPE SDR11 Conduit - add another 6' for every flower pot that's adjacent to power vault</t>
  </si>
  <si>
    <t>1.25"</t>
  </si>
  <si>
    <t>2" HDPE SDR11 Conduit</t>
  </si>
  <si>
    <t>2"</t>
  </si>
  <si>
    <t>2" Corrugated Flex Duct</t>
  </si>
  <si>
    <t>4" HDPE SDR11 Conduit - 6' per adjacent vault</t>
  </si>
  <si>
    <t>4" 3-cell Maxcell</t>
  </si>
  <si>
    <t>2" 2-cell Maxcell</t>
  </si>
  <si>
    <t>2" 1-cell Maxcell</t>
  </si>
  <si>
    <t>HDPE Conduit Couplers 1.25" = 1 coupler per 200'</t>
  </si>
  <si>
    <t>HDPE Conduit Couplers 2" = 1 coupler per 150'</t>
  </si>
  <si>
    <t>HDPE Conduit Reduction Coupler, 2" to 1.25"</t>
  </si>
  <si>
    <t>#12 AWG Tracer Wire = new plant footage</t>
  </si>
  <si>
    <t>Mule Tape = empty conduit pull</t>
  </si>
  <si>
    <t>Heat Shrink Sleeves = 1 per splice</t>
  </si>
  <si>
    <t>FOSC 450 A-Gel Splice Enclosure (used on 48F, 24F</t>
  </si>
  <si>
    <t>FOSC 450 A-Gel (used at NAP Extender solution only)</t>
  </si>
  <si>
    <t>A-Tray for A-Gel</t>
  </si>
  <si>
    <t>FOSC 450 B-Gel Splice Enclosure</t>
  </si>
  <si>
    <t>B-Tray for B-Gel Enclosure</t>
  </si>
  <si>
    <t>FOSC 450 C-Gel Splice Enclosure</t>
  </si>
  <si>
    <t>C-Tray for C-Gel Enclosure</t>
  </si>
  <si>
    <t xml:space="preserve">FOSC 450 D-Gel Splice Enclosure </t>
  </si>
  <si>
    <t>D-Tray for D-Gel Enclosure</t>
  </si>
  <si>
    <t>Commscope 4000 FDH 288 PON Cabinet, SC/APC, 100' pigtail</t>
  </si>
  <si>
    <t>TOTAL</t>
  </si>
  <si>
    <t>SLF</t>
  </si>
  <si>
    <t>Install Vault (17x30x24, small)</t>
  </si>
  <si>
    <t>Install Vault (24x36x24, intermediate)</t>
  </si>
  <si>
    <t>Install Vault (30x48x36, medium)</t>
  </si>
  <si>
    <t>Install Vault (36x60x36, large)</t>
  </si>
  <si>
    <t>Install Vault (17x30x24, small) - adjacent to power vault</t>
  </si>
  <si>
    <t>Install Vault ((24x36x24, intermediate) - adjacent to power vault</t>
  </si>
  <si>
    <t>Install Vault (30x48x36, medium) - adjacent to power vault</t>
  </si>
  <si>
    <t>Install Vault (36x60x36, large) - adjacent to power vault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</si>
</sst>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color rgb="FF000000"/>
      <name val="Arial"/>
    </font>
    <font>
      <sz val="12"/>
      <color rgb="FF000000"/>
      <name val="Arial"/>
    </font>
    <font>
      <sz val="12"/>
      <color rgb="FF000000"/>
      <name val="Calibri"/>
    </font>
    <font>
      <sz val="12"/>
      <color theme="1"/>
      <name val="Calibri"/>
    </font>
    <font>
      <sz val="12"/>
      <color rgb="FFFF0000"/>
      <name val="Arial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wrapText="1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3" fontId="2" fillId="3" borderId="1" xfId="0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1" fillId="2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2" fontId="1" fillId="0" borderId="0" xfId="0" applyNumberFormat="1" applyFont="1" applyAlignment="1">
      <alignment wrapText="1"/>
    </xf>
    <xf numFmtId="4" fontId="2" fillId="0" borderId="1" xfId="0" applyNumberFormat="1" applyFont="1" applyBorder="1" applyAlignment="1">
      <alignment horizontal="center" wrapText="1"/>
    </xf>
    <xf numFmtId="44" fontId="1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5" fillId="4" borderId="0" xfId="0" applyFont="1" applyFill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 wrapText="1"/>
    </xf>
    <xf numFmtId="3" fontId="1" fillId="4" borderId="0" xfId="0" applyNumberFormat="1" applyFont="1" applyFill="1" applyAlignment="1">
      <alignment wrapText="1"/>
    </xf>
    <xf numFmtId="3" fontId="2" fillId="3" borderId="4" xfId="0" applyNumberFormat="1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0" fontId="2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left" wrapText="1"/>
    </xf>
    <xf numFmtId="0" fontId="2" fillId="7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13" workbookViewId="0">
      <selection activeCell="F32" sqref="F32"/>
    </sheetView>
  </sheetViews>
  <sheetFormatPr defaultColWidth="14.42578125" defaultRowHeight="15" customHeight="1" x14ac:dyDescent="0.2"/>
  <cols>
    <col min="1" max="1" width="9.5703125" customWidth="1"/>
    <col min="2" max="2" width="8.7109375" customWidth="1"/>
    <col min="3" max="3" width="91.140625" customWidth="1"/>
    <col min="4" max="5" width="14.7109375" customWidth="1"/>
    <col min="6" max="6" width="12.85546875" customWidth="1"/>
    <col min="7" max="7" width="45.85546875" customWidth="1"/>
    <col min="8" max="8" width="13.7109375" customWidth="1"/>
    <col min="9" max="9" width="26.85546875" customWidth="1"/>
    <col min="10" max="10" width="27.7109375" customWidth="1"/>
    <col min="11" max="11" width="17" customWidth="1"/>
    <col min="12" max="13" width="8.7109375" customWidth="1"/>
    <col min="14" max="14" width="67.85546875" customWidth="1"/>
    <col min="15" max="26" width="8.710937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>
        <f>SUM(A7:A8)*0.25</f>
        <v>2748.25</v>
      </c>
      <c r="B2" s="3" t="s">
        <v>0</v>
      </c>
      <c r="C2" s="4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5" customHeight="1" x14ac:dyDescent="0.25">
      <c r="A3" s="2">
        <f>SUM(A54:A55)*0.04</f>
        <v>512.96960000000013</v>
      </c>
      <c r="B3" s="3" t="s">
        <v>0</v>
      </c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2">
        <v>0</v>
      </c>
      <c r="B4" s="3" t="s">
        <v>0</v>
      </c>
      <c r="C4" s="4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2">
        <f>SUM(A54:A55)*0.04</f>
        <v>512.96960000000013</v>
      </c>
      <c r="B5" s="3" t="s">
        <v>4</v>
      </c>
      <c r="C5" s="4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2">
        <f>SUM(A54:A55)*1.015</f>
        <v>13016.6036</v>
      </c>
      <c r="B6" s="3" t="s">
        <v>0</v>
      </c>
      <c r="C6" s="4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5">
        <v>6834</v>
      </c>
      <c r="B7" s="6" t="s">
        <v>0</v>
      </c>
      <c r="C7" s="7" t="s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5">
        <v>4159</v>
      </c>
      <c r="B8" s="6" t="s">
        <v>0</v>
      </c>
      <c r="C8" s="7" t="s">
        <v>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2">
        <v>0</v>
      </c>
      <c r="B9" s="3" t="s">
        <v>0</v>
      </c>
      <c r="C9" s="4" t="s">
        <v>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5">
        <v>0</v>
      </c>
      <c r="B10" s="3" t="s">
        <v>0</v>
      </c>
      <c r="C10" s="4" t="s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5">
        <v>0</v>
      </c>
      <c r="B11" s="3" t="s">
        <v>0</v>
      </c>
      <c r="C11" s="4" t="s">
        <v>11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5">
        <v>0</v>
      </c>
      <c r="B12" s="3" t="s">
        <v>0</v>
      </c>
      <c r="C12" s="4" t="s">
        <v>12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2">
        <v>1488</v>
      </c>
      <c r="B13" s="3" t="s">
        <v>0</v>
      </c>
      <c r="C13" s="4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2">
        <v>0</v>
      </c>
      <c r="B14" s="3" t="s">
        <v>0</v>
      </c>
      <c r="C14" s="4" t="s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2">
        <v>0</v>
      </c>
      <c r="B15" s="3" t="s">
        <v>15</v>
      </c>
      <c r="C15" s="4" t="s">
        <v>16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2">
        <v>0</v>
      </c>
      <c r="B16" s="3" t="s">
        <v>0</v>
      </c>
      <c r="C16" s="4" t="s">
        <v>17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2">
        <v>0</v>
      </c>
      <c r="B17" s="3" t="s">
        <v>0</v>
      </c>
      <c r="C17" s="4" t="s">
        <v>18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1.5" customHeight="1" x14ac:dyDescent="0.25">
      <c r="A18" s="8">
        <f>SUM(A40:A45)</f>
        <v>15806.800000000001</v>
      </c>
      <c r="B18" s="3" t="s">
        <v>0</v>
      </c>
      <c r="C18" s="4" t="s">
        <v>19</v>
      </c>
      <c r="D18" s="1"/>
      <c r="E18" s="1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5">
        <v>0</v>
      </c>
      <c r="B19" s="3" t="s">
        <v>0</v>
      </c>
      <c r="C19" s="4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5">
        <v>1</v>
      </c>
      <c r="B20" s="19" t="s">
        <v>15</v>
      </c>
      <c r="C20" s="20" t="s">
        <v>88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/>
      <c r="B21" s="25" t="s">
        <v>15</v>
      </c>
      <c r="C21" s="26" t="s">
        <v>89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5">
        <v>0</v>
      </c>
      <c r="B22" s="19" t="s">
        <v>15</v>
      </c>
      <c r="C22" s="20" t="s">
        <v>90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5">
        <v>0</v>
      </c>
      <c r="B23" s="19" t="s">
        <v>15</v>
      </c>
      <c r="C23" s="20" t="s">
        <v>91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5">
        <v>59</v>
      </c>
      <c r="B24" s="19" t="s">
        <v>15</v>
      </c>
      <c r="C24" s="20" t="s">
        <v>21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5">
        <v>46</v>
      </c>
      <c r="B25" s="27" t="s">
        <v>15</v>
      </c>
      <c r="C25" s="28" t="s">
        <v>92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5"/>
      <c r="B26" s="25" t="s">
        <v>15</v>
      </c>
      <c r="C26" s="26" t="s">
        <v>93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5">
        <v>0</v>
      </c>
      <c r="B27" s="27" t="s">
        <v>15</v>
      </c>
      <c r="C27" s="28" t="s">
        <v>94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5">
        <v>1</v>
      </c>
      <c r="B28" s="27" t="s">
        <v>15</v>
      </c>
      <c r="C28" s="28" t="s">
        <v>95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5">
        <v>0</v>
      </c>
      <c r="B29" s="29" t="s">
        <v>15</v>
      </c>
      <c r="C29" s="28" t="s">
        <v>22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5">
        <v>0</v>
      </c>
      <c r="B30" s="10" t="s">
        <v>15</v>
      </c>
      <c r="C30" s="11" t="s">
        <v>23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1.5" customHeight="1" x14ac:dyDescent="0.25">
      <c r="A31" s="2">
        <f>SUM(A20:A29)*10</f>
        <v>1070</v>
      </c>
      <c r="B31" s="10" t="s">
        <v>4</v>
      </c>
      <c r="C31" s="11" t="s">
        <v>24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"/>
      <c r="B32" s="10"/>
      <c r="C32" s="1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">
        <f>A76</f>
        <v>1</v>
      </c>
      <c r="B33" s="3" t="s">
        <v>15</v>
      </c>
      <c r="C33" s="4" t="s">
        <v>25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">
        <f>SUM(A67+A70+A72+A74+A76)</f>
        <v>17</v>
      </c>
      <c r="B34" s="3" t="s">
        <v>15</v>
      </c>
      <c r="C34" s="4" t="s">
        <v>26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">
        <f>A68</f>
        <v>32</v>
      </c>
      <c r="B35" s="3" t="s">
        <v>15</v>
      </c>
      <c r="C35" s="4" t="s">
        <v>27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">
        <f>A66</f>
        <v>425</v>
      </c>
      <c r="B36" s="3" t="s">
        <v>15</v>
      </c>
      <c r="C36" s="4" t="s">
        <v>28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1.5" customHeight="1" x14ac:dyDescent="0.25">
      <c r="A37" s="5">
        <v>300</v>
      </c>
      <c r="B37" s="3" t="s">
        <v>15</v>
      </c>
      <c r="C37" s="4" t="s">
        <v>29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">
        <f>A76</f>
        <v>1</v>
      </c>
      <c r="B38" s="3" t="s">
        <v>15</v>
      </c>
      <c r="C38" s="4" t="s">
        <v>30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"/>
      <c r="B39" s="1"/>
      <c r="C39" s="1"/>
      <c r="D39" s="1"/>
      <c r="E39" s="1"/>
      <c r="F39" s="1"/>
      <c r="G39" s="1" t="s">
        <v>31</v>
      </c>
      <c r="H39" s="1" t="s">
        <v>32</v>
      </c>
      <c r="I39" s="1" t="s">
        <v>33</v>
      </c>
      <c r="J39" s="1" t="s">
        <v>34</v>
      </c>
      <c r="K39" s="1" t="s">
        <v>35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8">
        <f t="shared" ref="A40:A45" si="0">SUM(L40*1.05)+(H40*90)+(I40*60)+(J40*90)+(G40*80)</f>
        <v>0</v>
      </c>
      <c r="B40" s="3" t="s">
        <v>0</v>
      </c>
      <c r="C40" s="4" t="s">
        <v>36</v>
      </c>
      <c r="D40" s="1"/>
      <c r="E40" s="1"/>
      <c r="F40" s="1"/>
      <c r="G40" s="12">
        <v>0</v>
      </c>
      <c r="H40" s="12">
        <v>0</v>
      </c>
      <c r="I40" s="12">
        <v>0</v>
      </c>
      <c r="J40" s="12">
        <v>0</v>
      </c>
      <c r="K40" s="1" t="s">
        <v>37</v>
      </c>
      <c r="L40" s="12">
        <v>0</v>
      </c>
      <c r="M40" s="1"/>
      <c r="N40" s="13" t="s">
        <v>38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8">
        <f t="shared" si="0"/>
        <v>2883.65</v>
      </c>
      <c r="B41" s="3" t="s">
        <v>0</v>
      </c>
      <c r="C41" s="4" t="s">
        <v>39</v>
      </c>
      <c r="D41" s="1"/>
      <c r="E41" s="1"/>
      <c r="F41" s="1"/>
      <c r="G41" s="12">
        <v>1</v>
      </c>
      <c r="H41" s="12">
        <v>2</v>
      </c>
      <c r="I41" s="12">
        <v>5</v>
      </c>
      <c r="J41" s="12">
        <v>0</v>
      </c>
      <c r="K41" s="1" t="s">
        <v>40</v>
      </c>
      <c r="L41" s="12">
        <v>2213</v>
      </c>
      <c r="M41" s="1"/>
      <c r="N41" s="1" t="s">
        <v>41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8">
        <f t="shared" si="0"/>
        <v>5877.45</v>
      </c>
      <c r="B42" s="3" t="s">
        <v>0</v>
      </c>
      <c r="C42" s="4" t="s">
        <v>42</v>
      </c>
      <c r="D42" s="1"/>
      <c r="E42" s="1"/>
      <c r="F42" s="1"/>
      <c r="G42" s="12">
        <v>3</v>
      </c>
      <c r="H42" s="12">
        <v>1</v>
      </c>
      <c r="I42" s="12">
        <v>9</v>
      </c>
      <c r="J42" s="12">
        <v>0</v>
      </c>
      <c r="K42" s="1" t="s">
        <v>43</v>
      </c>
      <c r="L42" s="12">
        <v>4769</v>
      </c>
      <c r="M42" s="1"/>
      <c r="N42" s="1" t="s">
        <v>44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8">
        <f t="shared" si="0"/>
        <v>1372.3500000000001</v>
      </c>
      <c r="B43" s="3" t="s">
        <v>0</v>
      </c>
      <c r="C43" s="4" t="s">
        <v>45</v>
      </c>
      <c r="D43" s="1"/>
      <c r="E43" s="1"/>
      <c r="F43" s="1"/>
      <c r="G43" s="12">
        <v>0</v>
      </c>
      <c r="H43" s="12">
        <v>1</v>
      </c>
      <c r="I43" s="12">
        <v>2</v>
      </c>
      <c r="J43" s="12">
        <v>0</v>
      </c>
      <c r="K43" s="1" t="s">
        <v>46</v>
      </c>
      <c r="L43" s="12">
        <v>1107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8">
        <f t="shared" si="0"/>
        <v>1329.9</v>
      </c>
      <c r="B44" s="3" t="s">
        <v>0</v>
      </c>
      <c r="C44" s="4" t="s">
        <v>47</v>
      </c>
      <c r="D44" s="1"/>
      <c r="E44" s="1"/>
      <c r="F44" s="1"/>
      <c r="G44" s="12">
        <v>0</v>
      </c>
      <c r="H44" s="12">
        <v>0</v>
      </c>
      <c r="I44" s="12">
        <v>4</v>
      </c>
      <c r="J44" s="12">
        <v>0</v>
      </c>
      <c r="K44" s="1" t="s">
        <v>48</v>
      </c>
      <c r="L44" s="12">
        <v>1038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8">
        <f t="shared" si="0"/>
        <v>4343.4500000000007</v>
      </c>
      <c r="B45" s="3" t="s">
        <v>0</v>
      </c>
      <c r="C45" s="4" t="s">
        <v>49</v>
      </c>
      <c r="D45" s="1"/>
      <c r="E45" s="1"/>
      <c r="F45" s="1"/>
      <c r="G45" s="12">
        <v>1</v>
      </c>
      <c r="H45" s="12">
        <v>0</v>
      </c>
      <c r="I45" s="12">
        <v>24</v>
      </c>
      <c r="J45" s="12">
        <v>0</v>
      </c>
      <c r="K45" s="1" t="s">
        <v>50</v>
      </c>
      <c r="L45" s="12">
        <v>2689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">
        <f>SUM(A20+A25)</f>
        <v>47</v>
      </c>
      <c r="B46" s="3" t="s">
        <v>15</v>
      </c>
      <c r="C46" s="4" t="s">
        <v>51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">
        <f>SUM(A22+A27)</f>
        <v>0</v>
      </c>
      <c r="B47" s="3" t="s">
        <v>15</v>
      </c>
      <c r="C47" s="4" t="s">
        <v>52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2">
        <f>SUM(A23+A28)</f>
        <v>1</v>
      </c>
      <c r="B48" s="3" t="s">
        <v>15</v>
      </c>
      <c r="C48" s="4" t="s">
        <v>53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2">
        <f>SUM(A24+A29)</f>
        <v>59</v>
      </c>
      <c r="B49" s="3" t="s">
        <v>15</v>
      </c>
      <c r="C49" s="4" t="s">
        <v>54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">
        <v>0</v>
      </c>
      <c r="B50" s="3" t="s">
        <v>15</v>
      </c>
      <c r="C50" s="4" t="s">
        <v>55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">
        <v>0</v>
      </c>
      <c r="B51" s="3" t="s">
        <v>15</v>
      </c>
      <c r="C51" s="4" t="s">
        <v>56</v>
      </c>
      <c r="D51" s="1"/>
      <c r="E51" s="1"/>
      <c r="F51" s="1"/>
      <c r="G51" s="1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">
        <f>SUM(A31)</f>
        <v>1070</v>
      </c>
      <c r="B52" s="3" t="s">
        <v>4</v>
      </c>
      <c r="C52" s="4" t="s">
        <v>57</v>
      </c>
      <c r="D52" s="1"/>
      <c r="E52" s="14"/>
      <c r="F52" s="14"/>
      <c r="G52" s="1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1.5" customHeight="1" x14ac:dyDescent="0.25">
      <c r="A53" s="15">
        <f>SUM(A49*0.0069)+(A46*0.016)+(A48*0.1467)</f>
        <v>1.3058000000000001</v>
      </c>
      <c r="B53" s="3" t="s">
        <v>58</v>
      </c>
      <c r="C53" s="4" t="s">
        <v>59</v>
      </c>
      <c r="D53" s="1"/>
      <c r="E53" s="16"/>
      <c r="F53" s="16"/>
      <c r="G53" s="16" t="s">
        <v>60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1.5" customHeight="1" x14ac:dyDescent="0.25">
      <c r="A54" s="8">
        <f>SUM(G54+(A29*6))*1.04</f>
        <v>8179.6</v>
      </c>
      <c r="B54" s="19" t="s">
        <v>0</v>
      </c>
      <c r="C54" s="20" t="s">
        <v>61</v>
      </c>
      <c r="D54" s="1"/>
      <c r="E54" s="16"/>
      <c r="F54" s="16" t="s">
        <v>62</v>
      </c>
      <c r="G54" s="12">
        <v>7865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0.25" customHeight="1" x14ac:dyDescent="0.25">
      <c r="A55" s="8">
        <f>SUM(G55*1.04)</f>
        <v>4644.6400000000003</v>
      </c>
      <c r="B55" s="19" t="s">
        <v>0</v>
      </c>
      <c r="C55" s="20" t="s">
        <v>63</v>
      </c>
      <c r="D55" s="1"/>
      <c r="E55" s="1"/>
      <c r="F55" s="1" t="s">
        <v>64</v>
      </c>
      <c r="G55" s="12">
        <v>4466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2">
        <v>0</v>
      </c>
      <c r="B56" s="3" t="s">
        <v>0</v>
      </c>
      <c r="C56" s="4" t="s">
        <v>65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2">
        <f>SUM(G56*1.04+(A25+A27+A28)*6)</f>
        <v>282</v>
      </c>
      <c r="B57" s="3" t="s">
        <v>0</v>
      </c>
      <c r="C57" s="4" t="s">
        <v>66</v>
      </c>
      <c r="D57" s="1"/>
      <c r="E57" s="1"/>
      <c r="F57" s="17" t="s">
        <v>86</v>
      </c>
      <c r="G57" s="18">
        <f>SUM(G54,G55)</f>
        <v>12331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2">
        <v>0</v>
      </c>
      <c r="B58" s="3" t="s">
        <v>0</v>
      </c>
      <c r="C58" s="4" t="s">
        <v>67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2">
        <v>0</v>
      </c>
      <c r="B59" s="3" t="s">
        <v>0</v>
      </c>
      <c r="C59" s="4" t="s">
        <v>68</v>
      </c>
      <c r="D59" s="1"/>
      <c r="E59" s="1"/>
      <c r="F59" s="1" t="s">
        <v>87</v>
      </c>
      <c r="G59" s="21">
        <f>(G57-A13)</f>
        <v>10843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2">
        <v>0</v>
      </c>
      <c r="B60" s="3" t="s">
        <v>0</v>
      </c>
      <c r="C60" s="4" t="s">
        <v>69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2">
        <f>SUM(A54/200)</f>
        <v>40.898000000000003</v>
      </c>
      <c r="B61" s="3" t="s">
        <v>15</v>
      </c>
      <c r="C61" s="4" t="s">
        <v>70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2">
        <f>SUM(A55/150)</f>
        <v>30.964266666666671</v>
      </c>
      <c r="B62" s="3" t="s">
        <v>15</v>
      </c>
      <c r="C62" s="4" t="s">
        <v>71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2">
        <v>0</v>
      </c>
      <c r="B63" s="3" t="s">
        <v>15</v>
      </c>
      <c r="C63" s="4" t="s">
        <v>72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2">
        <f>SUM(A54:A60)</f>
        <v>13106.240000000002</v>
      </c>
      <c r="B64" s="3" t="s">
        <v>0</v>
      </c>
      <c r="C64" s="4" t="s">
        <v>73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2">
        <f>SUM(A54:A55)</f>
        <v>12824.240000000002</v>
      </c>
      <c r="B65" s="3" t="s">
        <v>0</v>
      </c>
      <c r="C65" s="4" t="s">
        <v>74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5">
        <v>425</v>
      </c>
      <c r="B66" s="3" t="s">
        <v>15</v>
      </c>
      <c r="C66" s="4" t="s">
        <v>75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5">
        <v>0</v>
      </c>
      <c r="B67" s="3" t="s">
        <v>15</v>
      </c>
      <c r="C67" s="4" t="s">
        <v>76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5">
        <v>32</v>
      </c>
      <c r="B68" s="3" t="s">
        <v>15</v>
      </c>
      <c r="C68" s="4" t="s">
        <v>77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2">
        <f>SUM(A67:A68)*1.5</f>
        <v>48</v>
      </c>
      <c r="B69" s="3" t="s">
        <v>15</v>
      </c>
      <c r="C69" s="4" t="s">
        <v>78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5">
        <v>10</v>
      </c>
      <c r="B70" s="3" t="s">
        <v>15</v>
      </c>
      <c r="C70" s="4" t="s">
        <v>79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2">
        <f>SUM(A70*2.5)</f>
        <v>25</v>
      </c>
      <c r="B71" s="3" t="s">
        <v>15</v>
      </c>
      <c r="C71" s="4" t="s">
        <v>80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5">
        <v>6</v>
      </c>
      <c r="B72" s="3" t="s">
        <v>15</v>
      </c>
      <c r="C72" s="4" t="s">
        <v>81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2">
        <f>SUM(A72*4)</f>
        <v>24</v>
      </c>
      <c r="B73" s="3" t="s">
        <v>15</v>
      </c>
      <c r="C73" s="4" t="s">
        <v>82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5">
        <v>0</v>
      </c>
      <c r="B74" s="3" t="s">
        <v>15</v>
      </c>
      <c r="C74" s="4" t="s">
        <v>83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2">
        <f>SUM(A74*4)</f>
        <v>0</v>
      </c>
      <c r="B75" s="3" t="s">
        <v>15</v>
      </c>
      <c r="C75" s="4" t="s">
        <v>84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22">
        <v>1</v>
      </c>
      <c r="B76" s="23" t="s">
        <v>15</v>
      </c>
      <c r="C76" s="24" t="s">
        <v>85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" footer="0"/>
  <pageSetup paperSize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AEG 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Pierson</cp:lastModifiedBy>
  <dcterms:modified xsi:type="dcterms:W3CDTF">2020-08-07T15:04:53Z</dcterms:modified>
</cp:coreProperties>
</file>