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7" i="15" l="1"/>
  <c r="K397" i="15"/>
  <c r="C395" i="17"/>
  <c r="F395" i="16"/>
  <c r="G395" i="16"/>
  <c r="H395" i="16"/>
  <c r="I395" i="16"/>
  <c r="D395" i="18"/>
  <c r="G395" i="18"/>
  <c r="J395" i="18"/>
  <c r="M395" i="18"/>
  <c r="K396" i="14"/>
  <c r="D396" i="14"/>
  <c r="I396" i="14"/>
  <c r="J396" i="14" s="1"/>
  <c r="C395" i="12"/>
  <c r="E395" i="12"/>
  <c r="G395" i="12"/>
  <c r="I395" i="12"/>
  <c r="L397" i="15" l="1"/>
  <c r="O395" i="18"/>
  <c r="N395" i="18"/>
  <c r="F396" i="15"/>
  <c r="K396" i="15"/>
  <c r="C394" i="17"/>
  <c r="F394" i="16"/>
  <c r="G394" i="16"/>
  <c r="H394" i="16"/>
  <c r="I394" i="16"/>
  <c r="D394" i="18"/>
  <c r="G394" i="18"/>
  <c r="J394" i="18"/>
  <c r="N394" i="18" s="1"/>
  <c r="M394" i="18"/>
  <c r="K395" i="14"/>
  <c r="D395" i="14"/>
  <c r="I395" i="14"/>
  <c r="J395" i="14" s="1"/>
  <c r="C394" i="12"/>
  <c r="E394" i="12"/>
  <c r="G394" i="12"/>
  <c r="I394" i="12"/>
  <c r="L396" i="15" l="1"/>
  <c r="O394" i="18"/>
  <c r="F395" i="15"/>
  <c r="K395" i="15"/>
  <c r="C393" i="17"/>
  <c r="F393" i="16"/>
  <c r="G393" i="16"/>
  <c r="H393" i="16"/>
  <c r="I393" i="16"/>
  <c r="D393" i="18"/>
  <c r="G393" i="18"/>
  <c r="J393" i="18"/>
  <c r="M393" i="18"/>
  <c r="C393" i="12"/>
  <c r="E393" i="12"/>
  <c r="G393" i="12"/>
  <c r="I393" i="12"/>
  <c r="K394" i="14"/>
  <c r="D394" i="14"/>
  <c r="I394" i="14"/>
  <c r="J394" i="14" s="1"/>
  <c r="L395" i="15" l="1"/>
  <c r="N393" i="18"/>
  <c r="O393" i="18"/>
  <c r="F392" i="15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<sst xmlns="http://schemas.openxmlformats.org/spreadsheetml/2006/main" count="469" uniqueCount="378">
  <si>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</si>
  <si>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</si>
  <si>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</si>
  <si>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</si>
  <si>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</si>
  <si>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</si>
  <si>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</si>
  <si>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</si>
  <si>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</si>
  <si>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</si>
  <si>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</si>
  <si>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</si>
  <si>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</si>
  <si>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</si>
  <si>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</si>
  <si>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</si>
  <si>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</si>
  <si>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</si>
  <si>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</si>
  <si>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</si>
  <si>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</si>
  <si>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</si>
  <si>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</si>
  <si>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</si>
  <si>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</si>
  <si>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</si>
  <si>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</si>
  <si>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</si>
  <si>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</si>
  <si>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</si>
  <si>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</si>
  <si>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</si>
  <si>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</si>
  <si>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</si>
  <si>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</si>
  <si>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</si>
  <si>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</si>
  <si>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</si>
  <si>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</si>
  <si>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</si>
  <si>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</si>
  <si>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</si>
  <si>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</si>
  <si>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</si>
  <si>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</si>
  <si>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</si>
  <si>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</si>
  <si>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</si>
  <si>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</si>
  <si>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</si>
  <si>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</si>
  <si>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</si>
  <si>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</si>
  <si>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</si>
  <si>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</si>
  <si>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</si>
  <si>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</si>
  <si>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</si>
  <si>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</si>
  <si>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</si>
  <si>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</si>
  <si>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</si>
  <si>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</si>
  <si>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</si>
  <si>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</si>
  <si>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</si>
  <si>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</si>
  <si>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</si>
  <si>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</si>
  <si>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</si>
  <si>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</si>
  <si>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</si>
  <si>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</si>
  <si>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</si>
  <si>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</si>
  <si>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</si>
  <si>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</si>
  <si>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</si>
  <si>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</si>
  <si>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</si>
  <si>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</si>
  <si>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</si>
  <si>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</si>
  <si>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</si>
  <si>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</si>
  <si>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</si>
  <si>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</si>
  <si>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</si>
  <si>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</si>
  <si>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</si>
  <si>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</si>
  <si>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</si>
  <si>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</si>
  <si>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</si>
  <si>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</si>
  <si>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</si>
  <si>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</si>
  <si>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</si>
  <si>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</si>
  <si>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</si>
  <si>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</si>
  <si>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</si>
  <si>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</si>
  <si>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</si>
  <si>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</si>
  <si>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</si>
  <si>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</si>
  <si>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</si>
  <si>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</si>
  <si>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</si>
  <si>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</si>
  <si>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</si>
  <si>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</si>
  <si>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</si>
  <si>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</si>
  <si>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</si>
  <si>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</si>
  <si>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</si>
  <si>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</si>
  <si>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</si>
  <si>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</si>
  <si>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</si>
  <si>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</si>
  <si>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</si>
  <si>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</si>
  <si>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</si>
  <si>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</si>
  <si>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</si>
  <si>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</si>
  <si>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</si>
  <si>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</si>
  <si>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</si>
  <si>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</si>
  <si>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</si>
  <si>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</si>
  <si>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</si>
  <si>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</si>
  <si>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</si>
  <si>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</si>
  <si>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</si>
  <si>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</si>
  <si>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</si>
  <si>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</si>
  <si>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</si>
  <si>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</si>
  <si>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</si>
  <si>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</si>
  <si>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</si>
  <si>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</si>
  <si>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</si>
  <si>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</si>
  <si>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</si>
  <si>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</si>
  <si>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</si>
  <si>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</si>
  <si>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</si>
  <si>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</si>
  <si>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</si>
  <si>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</si>
  <si>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</si>
  <si>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</si>
  <si>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</si>
  <si>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</si>
  <si>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</si>
  <si>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</si>
  <si>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</si>
  <si>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</si>
  <si>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</si>
  <si>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</si>
  <si>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</si>
  <si>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</si>
  <si>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</si>
  <si>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</si>
  <si>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</si>
  <si>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</si>
  <si>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</si>
  <si>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</si>
  <si>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</si>
  <si>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</si>
  <si>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</si>
  <si>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</si>
  <si>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</si>
  <si>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</si>
  <si>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</si>
  <si>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</si>
  <si>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</si>
  <si>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</si>
  <si>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</si>
  <si>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</si>
  <si>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</si>
  <si>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</si>
  <si>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</si>
  <si>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</si>
  <si>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</si>
  <si>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</si>
  <si>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</si>
  <si>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</si>
  <si>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</si>
  <si>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</si>
  <si>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</si>
  <si>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</si>
  <si>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</si>
  <si>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</si>
  <si>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</si>
  <si>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</si>
  <si>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</si>
  <si>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</si>
  <si>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</si>
  <si>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</si>
  <si>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</si>
  <si>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</si>
  <si>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</si>
  <si>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</si>
  <si>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</si>
  <si>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</si>
  <si>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</si>
  <si>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</si>
  <si>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</si>
  <si>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</si>
  <si>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</si>
  <si>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</si>
  <si>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</si>
  <si>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</si>
  <si>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</si>
  <si>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</si>
  <si>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</si>
  <si>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</si>
  <si>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</si>
  <si>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</si>
  <si>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</si>
  <si>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</si>
  <si>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</si>
  <si>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</si>
  <si>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</si>
  <si>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</si>
  <si>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</si>
  <si>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</si>
  <si>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</si>
  <si>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</si>
  <si>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</si>
  <si>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</si>
  <si>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</si>
  <si>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</si>
  <si>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</si>
  <si>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</si>
  <si>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</si>
  <si>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</si>
  <si>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</si>
  <si>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</si>
  <si>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</si>
  <si>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</si>
  <si>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</si>
  <si>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</si>
  <si>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</si>
  <si>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</si>
  <si>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</si>
  <si>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</si>
  <si>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</si>
  <si>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</si>
  <si>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</si>
  <si>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</si>
  <si>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</si>
  <si>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</si>
  <si>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</si>
  <si>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</si>
  <si>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</si>
  <si>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</si>
  <si>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</si>
  <si>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</si>
  <si>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</si>
  <si>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</si>
  <si>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</si>
  <si>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</si>
  <si>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</si>
  <si>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</si>
  <si>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</si>
  <si>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</si>
  <si>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</si>
  <si>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</si>
  <si>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</si>
  <si>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</si>
  <si>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</si>
  <si>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</si>
  <si>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</si>
  <si>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</si>
  <si>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</si>
  <si>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</si>
  <si>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</si>
  <si>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</si>
  <si>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</si>
  <si>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</si>
  <si>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</si>
  <si>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</si>
  <si>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</si>
  <si>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</si>
  <si>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</si>
  <si>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</si>
  <si>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</si>
  <si>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</si>
  <si>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</si>
  <si>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</si>
  <si>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</si>
  <si>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</si>
  <si>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</si>
  <si>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</si>
  <si>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</si>
  <si>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</si>
  <si>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</si>
  <si>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</si>
  <si>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</si>
  <si>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</si>
  <si>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</si>
  <si>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</si>
  <si>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</si>
  <si>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</si>
  <si>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</si>
  <si>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</si>
  <si>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</si>
  <si>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</si>
  <si>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</si>
  <si>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</si>
  <si>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</si>
  <si>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</si>
  <si>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</si>
  <si>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</si>
  <si>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</si>
  <si>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</si>
  <si>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</si>
  <si>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</si>
  <si>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</si>
  <si>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</si>
  <si>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</si>
  <si>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</si>
  <si>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</si>
  <si>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</si>
  <si>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</si>
  <si>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</si>
  <si>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</si>
  <si>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</si>
  <si>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</si>
  <si>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</si>
  <si>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</si>
  <si>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</si>
  <si>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</si>
  <si>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</si>
  <si>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</si>
  <si>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</si>
  <si>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</si>
  <si>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</si>
  <si>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</si>
  <si>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</si>
  <si>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</si>
  <si>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</si>
  <si>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</si>
  <si>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</si>
  <si>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</si>
  <si>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</si>
  <si>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</si>
  <si>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</si>
  <si>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</si>
  <si>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</si>
  <si>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</si>
  <si>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</si>
  <si>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</si>
  <si>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</si>
  <si>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</si>
  <si>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</si>
  <si>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</si>
  <si>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</si>
  <si>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</si>
  <si>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</si>
  <si>
    <t>1401.03億</t>
  </si>
  <si>
    <t>7821口</t>
  </si>
  <si>
    <t>1307.8億</t>
  </si>
  <si>
    <t>7174口</t>
  </si>
  <si>
    <t>http://www.taifex.com.tw/chinese/3/7_8.asp</t>
    <phoneticPr fontId="3" type="noConversion"/>
  </si>
  <si>
    <t>1186.62億</t>
  </si>
  <si>
    <t>9029口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</si>
</sst>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92699649"/>
  <ax:ocxPr ax:name="CurrentDate" ax:value="4317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E17" sqref="E17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43173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11038.8</v>
      </c>
      <c r="D7" s="34">
        <f>VLOOKUP($B$6,資料整合一覽!$B$3:$AF$500,3,FALSE)</f>
        <v>-56.83</v>
      </c>
      <c r="E7" s="35">
        <f>VLOOKUP($B$6,資料整合一覽!$B$3:$AF$500,4,FALSE)</f>
        <v>-5.1000000000000004E-3</v>
      </c>
      <c r="F7" s="33" t="str">
        <f>VLOOKUP($B$6,資料整合一覽!$B$3:$AF$500,5,FALSE)</f>
        <v>1186.62億</v>
      </c>
      <c r="G7" s="36">
        <f>VLOOKUP($B$6,資料整合一覽!$B$3:$AF$500,6,FALSE)</f>
        <v>5.8770065000000002</v>
      </c>
      <c r="H7" s="34">
        <f>VLOOKUP($B$6,資料整合一覽!$B$3:$AF$500,7,FALSE)</f>
        <v>-13.3848418</v>
      </c>
      <c r="I7" s="34">
        <f>VLOOKUP($B$6,資料整合一覽!$B$3:$AF$500,8,FALSE)</f>
        <v>-2.3694795900000001</v>
      </c>
      <c r="J7" s="34">
        <f>VLOOKUP($B$6,資料整合一覽!$B$3:$AF$500,9,FALSE)</f>
        <v>-83.188114389999996</v>
      </c>
      <c r="K7" s="37">
        <f>VLOOKUP($B$6,資料整合一覽!$B$3:$AF$500,10,FALSE)</f>
        <v>29.257000000000001</v>
      </c>
      <c r="L7" s="38">
        <f>VLOOKUP($B$6,資料整合一覽!$B$3:$AF$500,11,FALSE)</f>
        <v>5.0000000000000001E-3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-2118</v>
      </c>
      <c r="D11" s="27">
        <f>VLOOKUP($B$6,資料整合一覽!$B$3:$AF$500,14,FALSE)</f>
        <v>49338</v>
      </c>
      <c r="E11" s="64">
        <f>VLOOKUP($B$6,資料整合一覽!$B$3:$AF$500,17,FALSE)</f>
        <v>3.5952000000000002</v>
      </c>
      <c r="F11" s="64">
        <f>VLOOKUP($B$6,資料整合一覽!$B$3:$AF$500,18,FALSE)</f>
        <v>-18.141500000000001</v>
      </c>
      <c r="G11" s="64">
        <f>VLOOKUP($B$6,資料整合一覽!$B$3:$AF$500,19,FALSE)</f>
        <v>13.3078</v>
      </c>
      <c r="H11" s="64">
        <f>VLOOKUP($B$6,資料整合一覽!$B$3:$AF$500,20,FALSE)</f>
        <v>17.308</v>
      </c>
      <c r="I11" s="39">
        <f>VLOOKUP($B$6,資料整合一覽!$B$3:$AF$500,21,FALSE)</f>
        <v>1.6505000000000001</v>
      </c>
      <c r="J11" s="41">
        <f>VLOOKUP($B$6,資料整合一覽!$B$3:$AF$500,22,FALSE)</f>
        <v>-0.13101953831551424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1053.25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90.093000000000004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1.77E-2</v>
      </c>
      <c r="AE389" s="33">
        <f>VLOOKUP($B389,三大美股走勢!$A$4:$J$495,7,FALSE)</f>
        <v>1.7899999999999999E-2</v>
      </c>
      <c r="AF389" s="33">
        <f>VLOOKUP($B389,三大美股走勢!$A$4:$J$495,10,FALSE)</f>
        <v>2.0799999999999999E-2</v>
      </c>
    </row>
    <row r="390" spans="2:32">
      <c r="B390" s="32">
        <v>43169</v>
      </c>
      <c r="C390" s="33">
        <f>VLOOKUP($B390,大盤與近月台指!$A$4:$I$499,2,FALSE)</f>
        <v>0</v>
      </c>
      <c r="D390" s="34">
        <f>VLOOKUP($B390,大盤與近月台指!$A$4:$I$499,3,FALSE)</f>
        <v>0</v>
      </c>
      <c r="E390" s="35">
        <f>VLOOKUP($B390,大盤與近月台指!$A$4:$I$499,4,FALSE)</f>
        <v>0</v>
      </c>
      <c r="F390" s="33">
        <f>VLOOKUP($B390,大盤與近月台指!$A$4:$I$499,5,FALSE)</f>
        <v>0</v>
      </c>
      <c r="G390" s="49">
        <f>VLOOKUP($B390,三大法人買賣超!$A$4:$I$500,3,FALSE)</f>
        <v>0</v>
      </c>
      <c r="H390" s="34">
        <f>VLOOKUP($B390,三大法人買賣超!$A$4:$I$500,5,FALSE)</f>
        <v>0</v>
      </c>
      <c r="I390" s="27">
        <f>VLOOKUP($B390,三大法人買賣超!$A$4:$I$500,7,FALSE)</f>
        <v>0</v>
      </c>
      <c r="J390" s="27">
        <f>VLOOKUP($B390,三大法人買賣超!$A$4:$I$500,9,FALSE)</f>
        <v>0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>
        <f>VLOOKUP($B390,外資期貨未平倉口數!$A$4:$M$499,4,FALSE)</f>
        <v>0</v>
      </c>
      <c r="O390" s="27">
        <f>VLOOKUP($B390,外資期貨未平倉口數!$A$4:$M$499,9,FALSE)</f>
        <v>0</v>
      </c>
      <c r="P390" s="27">
        <f>VLOOKUP($B390,外資期貨未平倉口數!$A$4:$M$499,10,FALSE)</f>
        <v>0</v>
      </c>
      <c r="Q390" s="27">
        <f>VLOOKUP($B390,外資期貨未平倉口數!$A$4:$M$499,11,FALSE)</f>
        <v>0</v>
      </c>
      <c r="R390" s="64">
        <f>VLOOKUP($B390,選擇權未平倉餘額!$A$4:$I$500,6,FALSE)</f>
        <v>0</v>
      </c>
      <c r="S390" s="64">
        <f>VLOOKUP($B390,選擇權未平倉餘額!$A$4:$I$500,7,FALSE)</f>
        <v>0</v>
      </c>
      <c r="T390" s="64">
        <f>VLOOKUP($B390,選擇權未平倉餘額!$A$4:$I$500,8,FALSE)</f>
        <v>0</v>
      </c>
      <c r="U390" s="64">
        <f>VLOOKUP($B390,選擇權未平倉餘額!$A$4:$I$500,9,FALSE)</f>
        <v>0</v>
      </c>
      <c r="V390" s="39">
        <f>VLOOKUP($B390,臺指選擇權P_C_Ratios!$A$4:$C$500,3,FALSE)</f>
        <v>0</v>
      </c>
      <c r="W390" s="41">
        <f>VLOOKUP($B390,散戶多空比!$A$6:$L$500,12,FALSE)</f>
        <v>0</v>
      </c>
      <c r="X390" s="40">
        <f>VLOOKUP($B390,期貨大額交易人未沖銷部位!$A$4:$O$499,4,FALSE)</f>
        <v>0</v>
      </c>
      <c r="Y390" s="40">
        <f>VLOOKUP($B390,期貨大額交易人未沖銷部位!$A$4:$O$499,7,FALSE)</f>
        <v>0</v>
      </c>
      <c r="Z390" s="40">
        <f>VLOOKUP($B390,期貨大額交易人未沖銷部位!$A$4:$O$499,10,FALSE)</f>
        <v>0</v>
      </c>
      <c r="AA390" s="40">
        <f>VLOOKUP($B390,期貨大額交易人未沖銷部位!$A$4:$O$499,13,FALSE)</f>
        <v>0</v>
      </c>
      <c r="AB390" s="40">
        <f>VLOOKUP($B390,期貨大額交易人未沖銷部位!$A$4:$O$499,14,FALSE)</f>
        <v>0</v>
      </c>
      <c r="AC390" s="40">
        <f>VLOOKUP($B390,期貨大額交易人未沖銷部位!$A$4:$O$499,15,FALSE)</f>
        <v>0</v>
      </c>
      <c r="AD390" s="33">
        <f>VLOOKUP($B390,三大美股走勢!$A$4:$J$495,4,FALSE)</f>
        <v>0</v>
      </c>
      <c r="AE390" s="33">
        <f>VLOOKUP($B390,三大美股走勢!$A$4:$J$495,7,FALSE)</f>
        <v>0</v>
      </c>
      <c r="AF390" s="33">
        <f>VLOOKUP($B390,三大美股走勢!$A$4:$J$495,10,FALSE)</f>
        <v>0</v>
      </c>
    </row>
    <row r="391" spans="2:32">
      <c r="B391" s="32">
        <v>43170</v>
      </c>
      <c r="C391" s="33">
        <f>VLOOKUP($B391,大盤與近月台指!$A$4:$I$499,2,FALSE)</f>
        <v>0</v>
      </c>
      <c r="D391" s="34">
        <f>VLOOKUP($B391,大盤與近月台指!$A$4:$I$499,3,FALSE)</f>
        <v>0</v>
      </c>
      <c r="E391" s="35">
        <f>VLOOKUP($B391,大盤與近月台指!$A$4:$I$499,4,FALSE)</f>
        <v>0</v>
      </c>
      <c r="F391" s="33">
        <f>VLOOKUP($B391,大盤與近月台指!$A$4:$I$499,5,FALSE)</f>
        <v>0</v>
      </c>
      <c r="G391" s="49">
        <f>VLOOKUP($B391,三大法人買賣超!$A$4:$I$500,3,FALSE)</f>
        <v>0</v>
      </c>
      <c r="H391" s="34">
        <f>VLOOKUP($B391,三大法人買賣超!$A$4:$I$500,5,FALSE)</f>
        <v>0</v>
      </c>
      <c r="I391" s="27">
        <f>VLOOKUP($B391,三大法人買賣超!$A$4:$I$500,7,FALSE)</f>
        <v>0</v>
      </c>
      <c r="J391" s="27">
        <f>VLOOKUP($B391,三大法人買賣超!$A$4:$I$500,9,FALSE)</f>
        <v>0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>
        <f>VLOOKUP($B391,外資期貨未平倉口數!$A$4:$M$499,4,FALSE)</f>
        <v>0</v>
      </c>
      <c r="O391" s="27">
        <f>VLOOKUP($B391,外資期貨未平倉口數!$A$4:$M$499,9,FALSE)</f>
        <v>0</v>
      </c>
      <c r="P391" s="27">
        <f>VLOOKUP($B391,外資期貨未平倉口數!$A$4:$M$499,10,FALSE)</f>
        <v>0</v>
      </c>
      <c r="Q391" s="27">
        <f>VLOOKUP($B391,外資期貨未平倉口數!$A$4:$M$499,11,FALSE)</f>
        <v>0</v>
      </c>
      <c r="R391" s="64">
        <f>VLOOKUP($B391,選擇權未平倉餘額!$A$4:$I$500,6,FALSE)</f>
        <v>0</v>
      </c>
      <c r="S391" s="64">
        <f>VLOOKUP($B391,選擇權未平倉餘額!$A$4:$I$500,7,FALSE)</f>
        <v>0</v>
      </c>
      <c r="T391" s="64">
        <f>VLOOKUP($B391,選擇權未平倉餘額!$A$4:$I$500,8,FALSE)</f>
        <v>0</v>
      </c>
      <c r="U391" s="64">
        <f>VLOOKUP($B391,選擇權未平倉餘額!$A$4:$I$500,9,FALSE)</f>
        <v>0</v>
      </c>
      <c r="V391" s="39">
        <f>VLOOKUP($B391,臺指選擇權P_C_Ratios!$A$4:$C$500,3,FALSE)</f>
        <v>0</v>
      </c>
      <c r="W391" s="41">
        <f>VLOOKUP($B391,散戶多空比!$A$6:$L$500,12,FALSE)</f>
        <v>0</v>
      </c>
      <c r="X391" s="40">
        <f>VLOOKUP($B391,期貨大額交易人未沖銷部位!$A$4:$O$499,4,FALSE)</f>
        <v>0</v>
      </c>
      <c r="Y391" s="40">
        <f>VLOOKUP($B391,期貨大額交易人未沖銷部位!$A$4:$O$499,7,FALSE)</f>
        <v>0</v>
      </c>
      <c r="Z391" s="40">
        <f>VLOOKUP($B391,期貨大額交易人未沖銷部位!$A$4:$O$499,10,FALSE)</f>
        <v>0</v>
      </c>
      <c r="AA391" s="40">
        <f>VLOOKUP($B391,期貨大額交易人未沖銷部位!$A$4:$O$499,13,FALSE)</f>
        <v>0</v>
      </c>
      <c r="AB391" s="40">
        <f>VLOOKUP($B391,期貨大額交易人未沖銷部位!$A$4:$O$499,14,FALSE)</f>
        <v>0</v>
      </c>
      <c r="AC391" s="40">
        <f>VLOOKUP($B391,期貨大額交易人未沖銷部位!$A$4:$O$499,15,FALSE)</f>
        <v>0</v>
      </c>
      <c r="AD391" s="33">
        <f>VLOOKUP($B391,三大美股走勢!$A$4:$J$495,4,FALSE)</f>
        <v>0</v>
      </c>
      <c r="AE391" s="33">
        <f>VLOOKUP($B391,三大美股走勢!$A$4:$J$495,7,FALSE)</f>
        <v>0</v>
      </c>
      <c r="AF391" s="33">
        <f>VLOOKUP($B391,三大美股走勢!$A$4:$J$495,10,FALSE)</f>
        <v>0</v>
      </c>
    </row>
    <row r="392" spans="2:32">
      <c r="B392" s="32">
        <v>43171</v>
      </c>
      <c r="C392" s="33">
        <f>VLOOKUP($B392,大盤與近月台指!$A$4:$I$499,2,FALSE)</f>
        <v>11002.1</v>
      </c>
      <c r="D392" s="34">
        <f>VLOOKUP($B392,大盤與近月台指!$A$4:$I$499,3,FALSE)</f>
        <v>137.28</v>
      </c>
      <c r="E392" s="35">
        <f>VLOOKUP($B392,大盤與近月台指!$A$4:$I$499,4,FALSE)</f>
        <v>1.26E-2</v>
      </c>
      <c r="F392" s="33" t="str">
        <f>VLOOKUP($B392,大盤與近月台指!$A$4:$I$499,5,FALSE)</f>
        <v>1401.03億</v>
      </c>
      <c r="G392" s="49">
        <f>VLOOKUP($B392,三大法人買賣超!$A$4:$I$500,3,FALSE)</f>
        <v>14.0782077</v>
      </c>
      <c r="H392" s="34">
        <f>VLOOKUP($B392,三大法人買賣超!$A$4:$I$500,5,FALSE)</f>
        <v>6.6133670000000006E-2</v>
      </c>
      <c r="I392" s="27">
        <f>VLOOKUP($B392,三大法人買賣超!$A$4:$I$500,7,FALSE)</f>
        <v>2.5064055000000001</v>
      </c>
      <c r="J392" s="27">
        <f>VLOOKUP($B392,三大法人買賣超!$A$4:$I$500,9,FALSE)</f>
        <v>123.71173652</v>
      </c>
      <c r="K392" s="37">
        <f>新台幣匯率美元指數!B393</f>
        <v>29.28</v>
      </c>
      <c r="L392" s="38">
        <f>新台幣匯率美元指數!C393</f>
        <v>-0.02</v>
      </c>
      <c r="M392" s="39">
        <f>新台幣匯率美元指數!D393</f>
        <v>89.894999999999996</v>
      </c>
      <c r="N392" s="27">
        <f>VLOOKUP($B392,外資期貨未平倉口數!$A$4:$M$499,4,FALSE)</f>
        <v>-3468.75</v>
      </c>
      <c r="O392" s="27">
        <f>VLOOKUP($B392,外資期貨未平倉口數!$A$4:$M$499,9,FALSE)</f>
        <v>52813</v>
      </c>
      <c r="P392" s="27">
        <f>VLOOKUP($B392,外資期貨未平倉口數!$A$4:$M$499,10,FALSE)</f>
        <v>4528.25</v>
      </c>
      <c r="Q392" s="27">
        <f>VLOOKUP($B392,外資期貨未平倉口數!$A$4:$M$499,11,FALSE)</f>
        <v>2888.5</v>
      </c>
      <c r="R392" s="64">
        <f>VLOOKUP($B392,選擇權未平倉餘額!$A$4:$I$500,6,FALSE)</f>
        <v>10.0943</v>
      </c>
      <c r="S392" s="64">
        <f>VLOOKUP($B392,選擇權未平倉餘額!$A$4:$I$500,7,FALSE)</f>
        <v>-23.313600000000001</v>
      </c>
      <c r="T392" s="64">
        <f>VLOOKUP($B392,選擇權未平倉餘額!$A$4:$I$500,8,FALSE)</f>
        <v>11.345800000000001</v>
      </c>
      <c r="U392" s="64">
        <f>VLOOKUP($B392,選擇權未平倉餘額!$A$4:$I$500,9,FALSE)</f>
        <v>16.809699999999999</v>
      </c>
      <c r="V392" s="39">
        <f>VLOOKUP($B392,臺指選擇權P_C_Ratios!$A$4:$C$500,3,FALSE)</f>
        <v>1.6403999999999999</v>
      </c>
      <c r="W392" s="41">
        <f>VLOOKUP($B392,散戶多空比!$A$6:$L$500,12,FALSE)</f>
        <v>-0.14801217765042979</v>
      </c>
      <c r="X392" s="40">
        <f>VLOOKUP($B392,期貨大額交易人未沖銷部位!$A$4:$O$499,4,FALSE)</f>
        <v>5324</v>
      </c>
      <c r="Y392" s="40">
        <f>VLOOKUP($B392,期貨大額交易人未沖銷部位!$A$4:$O$499,7,FALSE)</f>
        <v>11070</v>
      </c>
      <c r="Z392" s="40">
        <f>VLOOKUP($B392,期貨大額交易人未沖銷部位!$A$4:$O$499,10,FALSE)</f>
        <v>3218</v>
      </c>
      <c r="AA392" s="40">
        <f>VLOOKUP($B392,期貨大額交易人未沖銷部位!$A$4:$O$499,13,FALSE)</f>
        <v>10585</v>
      </c>
      <c r="AB392" s="40">
        <f>VLOOKUP($B392,期貨大額交易人未沖銷部位!$A$4:$O$499,14,FALSE)</f>
        <v>-2106</v>
      </c>
      <c r="AC392" s="40">
        <f>VLOOKUP($B392,期貨大額交易人未沖銷部位!$A$4:$O$499,15,FALSE)</f>
        <v>-485</v>
      </c>
      <c r="AD392" s="33">
        <f>VLOOKUP($B392,三大美股走勢!$A$4:$J$495,4,FALSE)</f>
        <v>-6.1999999999999998E-3</v>
      </c>
      <c r="AE392" s="33">
        <f>VLOOKUP($B392,三大美股走勢!$A$4:$J$495,7,FALSE)</f>
        <v>3.5999999999999999E-3</v>
      </c>
      <c r="AF392" s="33">
        <f>VLOOKUP($B392,三大美股走勢!$A$4:$J$495,10,FALSE)</f>
        <v>1.03E-2</v>
      </c>
    </row>
    <row r="393" spans="2:32">
      <c r="B393" s="32">
        <v>43172</v>
      </c>
      <c r="C393" s="33">
        <f>VLOOKUP($B393,大盤與近月台指!$A$4:$I$499,2,FALSE)</f>
        <v>11095.63</v>
      </c>
      <c r="D393" s="34">
        <f>VLOOKUP($B393,大盤與近月台指!$A$4:$I$499,3,FALSE)</f>
        <v>93.53</v>
      </c>
      <c r="E393" s="35">
        <f>VLOOKUP($B393,大盤與近月台指!$A$4:$I$499,4,FALSE)</f>
        <v>8.5000000000000006E-3</v>
      </c>
      <c r="F393" s="33" t="str">
        <f>VLOOKUP($B393,大盤與近月台指!$A$4:$I$499,5,FALSE)</f>
        <v>1307.8億</v>
      </c>
      <c r="G393" s="49">
        <f>VLOOKUP($B393,三大法人買賣超!$A$4:$I$500,3,FALSE)</f>
        <v>4.7463575000000002</v>
      </c>
      <c r="H393" s="34">
        <f>VLOOKUP($B393,三大法人買賣超!$A$4:$I$500,5,FALSE)</f>
        <v>-7.6127334099999997</v>
      </c>
      <c r="I393" s="27">
        <f>VLOOKUP($B393,三大法人買賣超!$A$4:$I$500,7,FALSE)</f>
        <v>-1.75829824</v>
      </c>
      <c r="J393" s="27">
        <f>VLOOKUP($B393,三大法人買賣超!$A$4:$I$500,9,FALSE)</f>
        <v>76.847195740000004</v>
      </c>
      <c r="K393" s="37">
        <f>新台幣匯率美元指數!B394</f>
        <v>29.251999999999999</v>
      </c>
      <c r="L393" s="38">
        <f>新台幣匯率美元指數!C394</f>
        <v>-2.8000000000000001E-2</v>
      </c>
      <c r="M393" s="39">
        <f>新台幣匯率美元指數!D394</f>
        <v>89.664000000000001</v>
      </c>
      <c r="N393" s="27">
        <f>VLOOKUP($B393,外資期貨未平倉口數!$A$4:$M$499,4,FALSE)</f>
        <v>-2002</v>
      </c>
      <c r="O393" s="27">
        <f>VLOOKUP($B393,外資期貨未平倉口數!$A$4:$M$499,9,FALSE)</f>
        <v>52205</v>
      </c>
      <c r="P393" s="27">
        <f>VLOOKUP($B393,外資期貨未平倉口數!$A$4:$M$499,10,FALSE)</f>
        <v>3920.25</v>
      </c>
      <c r="Q393" s="27">
        <f>VLOOKUP($B393,外資期貨未平倉口數!$A$4:$M$499,11,FALSE)</f>
        <v>-608</v>
      </c>
      <c r="R393" s="64">
        <f>VLOOKUP($B393,選擇權未平倉餘額!$A$4:$I$500,6,FALSE)</f>
        <v>8.1355000000000004</v>
      </c>
      <c r="S393" s="64">
        <f>VLOOKUP($B393,選擇權未平倉餘額!$A$4:$I$500,7,FALSE)</f>
        <v>-17.146899999999999</v>
      </c>
      <c r="T393" s="64">
        <f>VLOOKUP($B393,選擇權未平倉餘額!$A$4:$I$500,8,FALSE)</f>
        <v>17.700700000000001</v>
      </c>
      <c r="U393" s="64">
        <f>VLOOKUP($B393,選擇權未平倉餘額!$A$4:$I$500,9,FALSE)</f>
        <v>13.201599999999999</v>
      </c>
      <c r="V393" s="39">
        <f>VLOOKUP($B393,臺指選擇權P_C_Ratios!$A$4:$C$500,3,FALSE)</f>
        <v>1.7375</v>
      </c>
      <c r="W393" s="41">
        <f>VLOOKUP($B393,散戶多空比!$A$6:$L$500,12,FALSE)</f>
        <v>-0.16961807849874455</v>
      </c>
      <c r="X393" s="40">
        <f>VLOOKUP($B393,期貨大額交易人未沖銷部位!$A$4:$O$499,4,FALSE)</f>
        <v>5145</v>
      </c>
      <c r="Y393" s="40">
        <f>VLOOKUP($B393,期貨大額交易人未沖銷部位!$A$4:$O$499,7,FALSE)</f>
        <v>12064</v>
      </c>
      <c r="Z393" s="40">
        <f>VLOOKUP($B393,期貨大額交易人未沖銷部位!$A$4:$O$499,10,FALSE)</f>
        <v>2791</v>
      </c>
      <c r="AA393" s="40">
        <f>VLOOKUP($B393,期貨大額交易人未沖銷部位!$A$4:$O$499,13,FALSE)</f>
        <v>12720</v>
      </c>
      <c r="AB393" s="40">
        <f>VLOOKUP($B393,期貨大額交易人未沖銷部位!$A$4:$O$499,14,FALSE)</f>
        <v>-2354</v>
      </c>
      <c r="AC393" s="40">
        <f>VLOOKUP($B393,期貨大額交易人未沖銷部位!$A$4:$O$499,15,FALSE)</f>
        <v>656</v>
      </c>
      <c r="AD393" s="33">
        <f>VLOOKUP($B393,三大美股走勢!$A$4:$J$495,4,FALSE)</f>
        <v>-6.7999999999999996E-3</v>
      </c>
      <c r="AE393" s="33">
        <f>VLOOKUP($B393,三大美股走勢!$A$4:$J$495,7,FALSE)</f>
        <v>-1.0200000000000001E-2</v>
      </c>
      <c r="AF393" s="33">
        <f>VLOOKUP($B393,三大美股走勢!$A$4:$J$495,10,FALSE)</f>
        <v>1.03E-2</v>
      </c>
    </row>
    <row r="394" spans="2:32">
      <c r="B394" s="32">
        <v>43173</v>
      </c>
      <c r="C394" s="33">
        <f>VLOOKUP($B394,大盤與近月台指!$A$4:$I$499,2,FALSE)</f>
        <v>11038.8</v>
      </c>
      <c r="D394" s="34">
        <f>VLOOKUP($B394,大盤與近月台指!$A$4:$I$499,3,FALSE)</f>
        <v>-56.83</v>
      </c>
      <c r="E394" s="35">
        <f>VLOOKUP($B394,大盤與近月台指!$A$4:$I$499,4,FALSE)</f>
        <v>-5.1000000000000004E-3</v>
      </c>
      <c r="F394" s="33" t="str">
        <f>VLOOKUP($B394,大盤與近月台指!$A$4:$I$499,5,FALSE)</f>
        <v>1186.62億</v>
      </c>
      <c r="G394" s="49">
        <f>VLOOKUP($B394,三大法人買賣超!$A$4:$I$500,3,FALSE)</f>
        <v>5.8770065000000002</v>
      </c>
      <c r="H394" s="34">
        <f>VLOOKUP($B394,三大法人買賣超!$A$4:$I$500,5,FALSE)</f>
        <v>-13.3848418</v>
      </c>
      <c r="I394" s="27">
        <f>VLOOKUP($B394,三大法人買賣超!$A$4:$I$500,7,FALSE)</f>
        <v>-2.3694795900000001</v>
      </c>
      <c r="J394" s="27">
        <f>VLOOKUP($B394,三大法人買賣超!$A$4:$I$500,9,FALSE)</f>
        <v>-83.188114389999996</v>
      </c>
      <c r="K394" s="37">
        <f>新台幣匯率美元指數!B395</f>
        <v>29.257000000000001</v>
      </c>
      <c r="L394" s="38">
        <f>新台幣匯率美元指數!C395</f>
        <v>5.0000000000000001E-3</v>
      </c>
      <c r="M394" s="39">
        <f>新台幣匯率美元指數!D395</f>
        <v>0</v>
      </c>
      <c r="N394" s="27">
        <f>VLOOKUP($B394,外資期貨未平倉口數!$A$4:$M$499,4,FALSE)</f>
        <v>-2118</v>
      </c>
      <c r="O394" s="27">
        <f>VLOOKUP($B394,外資期貨未平倉口數!$A$4:$M$499,9,FALSE)</f>
        <v>49338</v>
      </c>
      <c r="P394" s="27">
        <f>VLOOKUP($B394,外資期貨未平倉口數!$A$4:$M$499,10,FALSE)</f>
        <v>1053.25</v>
      </c>
      <c r="Q394" s="27">
        <f>VLOOKUP($B394,外資期貨未平倉口數!$A$4:$M$499,11,FALSE)</f>
        <v>-2867</v>
      </c>
      <c r="R394" s="64">
        <f>VLOOKUP($B394,選擇權未平倉餘額!$A$4:$I$500,6,FALSE)</f>
        <v>3.5952000000000002</v>
      </c>
      <c r="S394" s="64">
        <f>VLOOKUP($B394,選擇權未平倉餘額!$A$4:$I$500,7,FALSE)</f>
        <v>-18.141500000000001</v>
      </c>
      <c r="T394" s="64">
        <f>VLOOKUP($B394,選擇權未平倉餘額!$A$4:$I$500,8,FALSE)</f>
        <v>13.3078</v>
      </c>
      <c r="U394" s="64">
        <f>VLOOKUP($B394,選擇權未平倉餘額!$A$4:$I$500,9,FALSE)</f>
        <v>17.308</v>
      </c>
      <c r="V394" s="39">
        <f>VLOOKUP($B394,臺指選擇權P_C_Ratios!$A$4:$C$500,3,FALSE)</f>
        <v>1.6505000000000001</v>
      </c>
      <c r="W394" s="41">
        <f>VLOOKUP($B394,散戶多空比!$A$6:$L$500,12,FALSE)</f>
        <v>-0.13101953831551424</v>
      </c>
      <c r="X394" s="40">
        <f>VLOOKUP($B394,期貨大額交易人未沖銷部位!$A$4:$O$499,4,FALSE)</f>
        <v>7620</v>
      </c>
      <c r="Y394" s="40">
        <f>VLOOKUP($B394,期貨大額交易人未沖銷部位!$A$4:$O$499,7,FALSE)</f>
        <v>14933</v>
      </c>
      <c r="Z394" s="40">
        <f>VLOOKUP($B394,期貨大額交易人未沖銷部位!$A$4:$O$499,10,FALSE)</f>
        <v>5553</v>
      </c>
      <c r="AA394" s="40">
        <f>VLOOKUP($B394,期貨大額交易人未沖銷部位!$A$4:$O$499,13,FALSE)</f>
        <v>16419</v>
      </c>
      <c r="AB394" s="40">
        <f>VLOOKUP($B394,期貨大額交易人未沖銷部位!$A$4:$O$499,14,FALSE)</f>
        <v>-2067</v>
      </c>
      <c r="AC394" s="40">
        <f>VLOOKUP($B394,期貨大額交易人未沖銷部位!$A$4:$O$499,15,FALSE)</f>
        <v>1486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95"/>
  <sheetViews>
    <sheetView zoomScaleNormal="100" workbookViewId="0">
      <pane ySplit="3" topLeftCell="A391" activePane="bottomLeft" state="frozen"/>
      <selection pane="bottomLeft" activeCell="G400" sqref="G400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351</v>
      </c>
      <c r="F376" s="72">
        <v>10793</v>
      </c>
      <c r="G376" s="21">
        <v>11</v>
      </c>
      <c r="H376" s="44">
        <v>1E-3</v>
      </c>
      <c r="I376" s="42" t="s">
        <v>352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353</v>
      </c>
      <c r="F379" s="72">
        <v>10829</v>
      </c>
      <c r="G379" s="21">
        <v>9</v>
      </c>
      <c r="H379" s="44">
        <v>8.0000000000000004E-4</v>
      </c>
      <c r="I379" s="42" t="s">
        <v>354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355</v>
      </c>
      <c r="F380" s="72">
        <v>10770</v>
      </c>
      <c r="G380" s="21">
        <v>-19</v>
      </c>
      <c r="H380" s="44">
        <v>-1.8E-3</v>
      </c>
      <c r="I380" s="42" t="s">
        <v>356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357</v>
      </c>
      <c r="F382" s="72">
        <v>10753</v>
      </c>
      <c r="G382" s="21">
        <v>19</v>
      </c>
      <c r="H382" s="44">
        <v>1.8E-3</v>
      </c>
      <c r="I382" s="42" t="s">
        <v>358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359</v>
      </c>
      <c r="F383" s="72">
        <v>10629</v>
      </c>
      <c r="G383" s="21">
        <v>-49</v>
      </c>
      <c r="H383" s="44">
        <v>-4.5999999999999999E-3</v>
      </c>
      <c r="I383" s="42" t="s">
        <v>360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361</v>
      </c>
      <c r="F386" s="72">
        <v>10639</v>
      </c>
      <c r="G386" s="21">
        <v>7</v>
      </c>
      <c r="H386" s="44">
        <v>6.9999999999999999E-4</v>
      </c>
      <c r="I386" s="42" t="s">
        <v>362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363</v>
      </c>
      <c r="F387" s="72">
        <v>10835</v>
      </c>
      <c r="G387" s="21">
        <v>49</v>
      </c>
      <c r="H387" s="44">
        <v>4.4999999999999997E-3</v>
      </c>
      <c r="I387" s="42" t="s">
        <v>364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365</v>
      </c>
      <c r="F388" s="72">
        <v>10737</v>
      </c>
      <c r="G388" s="21">
        <v>29</v>
      </c>
      <c r="H388" s="44">
        <v>2.7000000000000001E-3</v>
      </c>
      <c r="I388" s="42" t="s">
        <v>366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367</v>
      </c>
      <c r="F389" s="72">
        <v>10859</v>
      </c>
      <c r="G389" s="21">
        <v>32</v>
      </c>
      <c r="H389" s="44">
        <v>3.0000000000000001E-3</v>
      </c>
      <c r="I389" s="42" t="s">
        <v>368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369</v>
      </c>
      <c r="F390" s="72">
        <v>10858</v>
      </c>
      <c r="G390" s="21">
        <v>-4</v>
      </c>
      <c r="H390" s="44">
        <v>-4.0000000000000002E-4</v>
      </c>
      <c r="I390" s="42" t="s">
        <v>370</v>
      </c>
    </row>
    <row r="391" spans="1:9">
      <c r="A391" s="9">
        <v>43169</v>
      </c>
      <c r="B391" s="57"/>
      <c r="C391" s="57"/>
      <c r="D391" s="43"/>
      <c r="E391" s="71"/>
      <c r="F391" s="72"/>
      <c r="G391" s="21"/>
      <c r="H391" s="44"/>
      <c r="I391" s="42"/>
    </row>
    <row r="392" spans="1:9">
      <c r="A392" s="9">
        <v>43170</v>
      </c>
      <c r="B392" s="57"/>
      <c r="C392" s="57"/>
      <c r="D392" s="43"/>
      <c r="E392" s="71"/>
      <c r="F392" s="72"/>
      <c r="G392" s="21"/>
      <c r="H392" s="44"/>
      <c r="I392" s="42"/>
    </row>
    <row r="393" spans="1:9">
      <c r="A393" s="9">
        <v>43171</v>
      </c>
      <c r="B393" s="57">
        <v>11002.1</v>
      </c>
      <c r="C393" s="57">
        <v>137.28</v>
      </c>
      <c r="D393" s="43">
        <v>1.26E-2</v>
      </c>
      <c r="E393" s="71" t="s">
        <v>371</v>
      </c>
      <c r="F393" s="72">
        <v>11043</v>
      </c>
      <c r="G393" s="21">
        <v>21</v>
      </c>
      <c r="H393" s="44">
        <v>1.9E-3</v>
      </c>
      <c r="I393" s="42" t="s">
        <v>372</v>
      </c>
    </row>
    <row r="394" spans="1:9">
      <c r="A394" s="9">
        <v>43172</v>
      </c>
      <c r="B394" s="57">
        <v>11095.63</v>
      </c>
      <c r="C394" s="57">
        <v>93.53</v>
      </c>
      <c r="D394" s="43">
        <v>8.5000000000000006E-3</v>
      </c>
      <c r="E394" s="71" t="s">
        <v>373</v>
      </c>
      <c r="F394" s="72">
        <v>11106</v>
      </c>
      <c r="G394" s="21">
        <v>7</v>
      </c>
      <c r="H394" s="44">
        <v>5.9999999999999995E-4</v>
      </c>
      <c r="I394" s="42" t="s">
        <v>374</v>
      </c>
    </row>
    <row r="395" spans="1:9">
      <c r="A395" s="9">
        <v>43173</v>
      </c>
      <c r="B395" s="57">
        <v>11038.8</v>
      </c>
      <c r="C395" s="57">
        <v>-56.83</v>
      </c>
      <c r="D395" s="43">
        <v>-5.1000000000000004E-3</v>
      </c>
      <c r="E395" s="71" t="s">
        <v>376</v>
      </c>
      <c r="F395" s="72">
        <v>11060</v>
      </c>
      <c r="G395" s="21">
        <v>30</v>
      </c>
      <c r="H395" s="44">
        <v>2.7000000000000001E-3</v>
      </c>
      <c r="I395" s="42" t="s">
        <v>377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95"/>
  <sheetViews>
    <sheetView workbookViewId="0">
      <pane ySplit="3" topLeftCell="A388" activePane="bottomLeft" state="frozen"/>
      <selection pane="bottomLeft" activeCell="I403" sqref="I403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  <row r="391" spans="1:9">
      <c r="A391" s="92">
        <v>43169</v>
      </c>
      <c r="B391" s="102"/>
      <c r="C391" s="98"/>
      <c r="D391" s="102"/>
      <c r="E391" s="95"/>
      <c r="F391" s="102"/>
      <c r="G391" s="98"/>
      <c r="H391" s="102"/>
      <c r="I391" s="98"/>
    </row>
    <row r="392" spans="1:9">
      <c r="A392" s="92">
        <v>43170</v>
      </c>
      <c r="B392" s="102"/>
      <c r="C392" s="98"/>
      <c r="D392" s="102"/>
      <c r="E392" s="95"/>
      <c r="F392" s="102"/>
      <c r="G392" s="98"/>
      <c r="H392" s="102"/>
      <c r="I392" s="98"/>
    </row>
    <row r="393" spans="1:9">
      <c r="A393" s="92">
        <v>43171</v>
      </c>
      <c r="B393" s="102">
        <v>1407820770</v>
      </c>
      <c r="C393" s="98">
        <f t="shared" ref="C393" si="296">B393/100000000</f>
        <v>14.0782077</v>
      </c>
      <c r="D393" s="102">
        <v>6613367</v>
      </c>
      <c r="E393" s="95">
        <f t="shared" ref="E393" si="297">D393/100000000</f>
        <v>6.6133670000000006E-2</v>
      </c>
      <c r="F393" s="102">
        <v>250640550</v>
      </c>
      <c r="G393" s="98">
        <f t="shared" ref="G393" si="298">F393/100000000</f>
        <v>2.5064055000000001</v>
      </c>
      <c r="H393" s="102">
        <v>12371173652</v>
      </c>
      <c r="I393" s="98">
        <f t="shared" ref="I393" si="299">H393/100000000</f>
        <v>123.71173652</v>
      </c>
    </row>
    <row r="394" spans="1:9">
      <c r="A394" s="92">
        <v>43172</v>
      </c>
      <c r="B394" s="102">
        <v>474635750</v>
      </c>
      <c r="C394" s="98">
        <f t="shared" ref="C394" si="300">B394/100000000</f>
        <v>4.7463575000000002</v>
      </c>
      <c r="D394" s="102">
        <v>-761273341</v>
      </c>
      <c r="E394" s="95">
        <f t="shared" ref="E394" si="301">D394/100000000</f>
        <v>-7.6127334099999997</v>
      </c>
      <c r="F394" s="102">
        <v>-175829824</v>
      </c>
      <c r="G394" s="98">
        <f t="shared" ref="G394" si="302">F394/100000000</f>
        <v>-1.75829824</v>
      </c>
      <c r="H394" s="102">
        <v>7684719574</v>
      </c>
      <c r="I394" s="98">
        <f t="shared" ref="I394" si="303">H394/100000000</f>
        <v>76.847195740000004</v>
      </c>
    </row>
    <row r="395" spans="1:9">
      <c r="A395" s="92">
        <v>43173</v>
      </c>
      <c r="B395" s="102">
        <v>587700650</v>
      </c>
      <c r="C395" s="98">
        <f t="shared" ref="C395" si="304">B395/100000000</f>
        <v>5.8770065000000002</v>
      </c>
      <c r="D395" s="102">
        <v>-1338484180</v>
      </c>
      <c r="E395" s="95">
        <f t="shared" ref="E395" si="305">D395/100000000</f>
        <v>-13.3848418</v>
      </c>
      <c r="F395" s="102">
        <v>-236947959</v>
      </c>
      <c r="G395" s="98">
        <f t="shared" ref="G395" si="306">F395/100000000</f>
        <v>-2.3694795900000001</v>
      </c>
      <c r="H395" s="102">
        <v>-8318811439</v>
      </c>
      <c r="I395" s="98">
        <f t="shared" ref="I395" si="307">H395/100000000</f>
        <v>-83.188114389999996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96"/>
  <sheetViews>
    <sheetView zoomScale="85" zoomScaleNormal="85" workbookViewId="0">
      <pane ySplit="3" topLeftCell="A387" activePane="bottomLeft" state="frozen"/>
      <selection pane="bottomLeft" activeCell="H415" sqref="H415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5.66406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  <row r="392" spans="1:13">
      <c r="A392" s="9">
        <v>43169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>
      <c r="A393" s="9">
        <v>43170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>
      <c r="A394" s="9">
        <v>43171</v>
      </c>
      <c r="B394" s="10">
        <v>-3764</v>
      </c>
      <c r="C394" s="10">
        <v>1181</v>
      </c>
      <c r="D394" s="10">
        <f t="shared" ref="D394" si="265">B394+C394/4</f>
        <v>-3468.75</v>
      </c>
      <c r="E394" s="10">
        <v>438</v>
      </c>
      <c r="F394" s="10">
        <v>-93</v>
      </c>
      <c r="G394" s="10">
        <v>51104</v>
      </c>
      <c r="H394" s="10">
        <v>6836</v>
      </c>
      <c r="I394" s="10">
        <f t="shared" ref="I394" si="266">G394+H394/4</f>
        <v>52813</v>
      </c>
      <c r="J394" s="10">
        <f t="shared" ref="J394" si="267">I394-$I$375</f>
        <v>4528.25</v>
      </c>
      <c r="K394" s="10">
        <f>I394-I391</f>
        <v>2888.5</v>
      </c>
      <c r="L394" s="10">
        <v>39</v>
      </c>
      <c r="M394" s="10">
        <v>-1499</v>
      </c>
    </row>
    <row r="395" spans="1:13">
      <c r="A395" s="9">
        <v>43172</v>
      </c>
      <c r="B395" s="10">
        <v>-2315</v>
      </c>
      <c r="C395" s="10">
        <v>1252</v>
      </c>
      <c r="D395" s="10">
        <f t="shared" ref="D395" si="268">B395+C395/4</f>
        <v>-2002</v>
      </c>
      <c r="E395" s="10">
        <v>517</v>
      </c>
      <c r="F395" s="10">
        <v>-170</v>
      </c>
      <c r="G395" s="10">
        <v>50013</v>
      </c>
      <c r="H395" s="10">
        <v>8768</v>
      </c>
      <c r="I395" s="10">
        <f t="shared" ref="I395" si="269">G395+H395/4</f>
        <v>52205</v>
      </c>
      <c r="J395" s="10">
        <f t="shared" ref="J395" si="270">I395-$I$375</f>
        <v>3920.25</v>
      </c>
      <c r="K395" s="10">
        <f>I395-I394</f>
        <v>-608</v>
      </c>
      <c r="L395" s="10">
        <v>163</v>
      </c>
      <c r="M395" s="10">
        <v>-1583</v>
      </c>
    </row>
    <row r="396" spans="1:13">
      <c r="A396" s="9">
        <v>43173</v>
      </c>
      <c r="B396" s="10">
        <v>-2490</v>
      </c>
      <c r="C396" s="10">
        <v>1488</v>
      </c>
      <c r="D396" s="10">
        <f t="shared" ref="D396" si="271">B396+C396/4</f>
        <v>-2118</v>
      </c>
      <c r="E396" s="10">
        <v>474</v>
      </c>
      <c r="F396" s="10">
        <v>-211</v>
      </c>
      <c r="G396" s="10">
        <v>47943</v>
      </c>
      <c r="H396" s="10">
        <v>5580</v>
      </c>
      <c r="I396" s="10">
        <f t="shared" ref="I396" si="272">G396+H396/4</f>
        <v>49338</v>
      </c>
      <c r="J396" s="10">
        <f t="shared" ref="J396" si="273">I396-$I$375</f>
        <v>1053.25</v>
      </c>
      <c r="K396" s="10">
        <f>I396-I395</f>
        <v>-2867</v>
      </c>
      <c r="L396" s="10">
        <v>59</v>
      </c>
      <c r="M396" s="10">
        <v>-1635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95"/>
  <sheetViews>
    <sheetView zoomScale="80" zoomScaleNormal="80" workbookViewId="0">
      <pane ySplit="3" topLeftCell="A384" activePane="bottomLeft" state="frozen"/>
      <selection pane="bottomLeft" activeCell="M401" sqref="M401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375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  <row r="391" spans="1:15">
      <c r="A391" s="9">
        <v>43169</v>
      </c>
      <c r="B391" s="10"/>
      <c r="C391" s="10"/>
      <c r="D391" s="25"/>
      <c r="E391" s="10"/>
      <c r="F391" s="10"/>
      <c r="G391" s="26"/>
      <c r="H391" s="10"/>
      <c r="I391" s="10"/>
      <c r="J391" s="25"/>
      <c r="K391" s="10"/>
      <c r="L391" s="10"/>
      <c r="M391" s="26"/>
      <c r="N391" s="25"/>
      <c r="O391" s="26"/>
    </row>
    <row r="392" spans="1:15">
      <c r="A392" s="9">
        <v>43170</v>
      </c>
      <c r="B392" s="10"/>
      <c r="C392" s="10"/>
      <c r="D392" s="25"/>
      <c r="E392" s="10"/>
      <c r="F392" s="10"/>
      <c r="G392" s="26"/>
      <c r="H392" s="10"/>
      <c r="I392" s="10"/>
      <c r="J392" s="25"/>
      <c r="K392" s="10"/>
      <c r="L392" s="10"/>
      <c r="M392" s="26"/>
      <c r="N392" s="25"/>
      <c r="O392" s="26"/>
    </row>
    <row r="393" spans="1:15">
      <c r="A393" s="9">
        <v>43171</v>
      </c>
      <c r="B393" s="10">
        <v>48313</v>
      </c>
      <c r="C393" s="10">
        <v>42989</v>
      </c>
      <c r="D393" s="25">
        <f t="shared" ref="D393" si="522">B393-C393</f>
        <v>5324</v>
      </c>
      <c r="E393" s="10">
        <v>62117</v>
      </c>
      <c r="F393" s="10">
        <v>51047</v>
      </c>
      <c r="G393" s="26">
        <f t="shared" ref="G393" si="523">E393-F393</f>
        <v>11070</v>
      </c>
      <c r="H393" s="10">
        <v>50526</v>
      </c>
      <c r="I393" s="10">
        <v>47308</v>
      </c>
      <c r="J393" s="25">
        <f t="shared" ref="J393" si="524">H393-I393</f>
        <v>3218</v>
      </c>
      <c r="K393" s="10">
        <v>68392</v>
      </c>
      <c r="L393" s="10">
        <v>57807</v>
      </c>
      <c r="M393" s="26">
        <f t="shared" ref="M393" si="525">K393-L393</f>
        <v>10585</v>
      </c>
      <c r="N393" s="25">
        <f t="shared" ref="N393" si="526">J393-D393</f>
        <v>-2106</v>
      </c>
      <c r="O393" s="26">
        <f t="shared" ref="O393" si="527">M393-G393</f>
        <v>-485</v>
      </c>
    </row>
    <row r="394" spans="1:15">
      <c r="A394" s="9">
        <v>43172</v>
      </c>
      <c r="B394" s="10">
        <v>47518</v>
      </c>
      <c r="C394" s="10">
        <v>42373</v>
      </c>
      <c r="D394" s="25">
        <f t="shared" ref="D394" si="528">B394-C394</f>
        <v>5145</v>
      </c>
      <c r="E394" s="10">
        <v>61732</v>
      </c>
      <c r="F394" s="10">
        <v>49668</v>
      </c>
      <c r="G394" s="26">
        <f t="shared" ref="G394" si="529">E394-F394</f>
        <v>12064</v>
      </c>
      <c r="H394" s="10">
        <v>49774</v>
      </c>
      <c r="I394" s="10">
        <v>46983</v>
      </c>
      <c r="J394" s="25">
        <f t="shared" ref="J394" si="530">H394-I394</f>
        <v>2791</v>
      </c>
      <c r="K394" s="10">
        <v>69253</v>
      </c>
      <c r="L394" s="10">
        <v>56533</v>
      </c>
      <c r="M394" s="26">
        <f t="shared" ref="M394" si="531">K394-L394</f>
        <v>12720</v>
      </c>
      <c r="N394" s="25">
        <f t="shared" ref="N394" si="532">J394-D394</f>
        <v>-2354</v>
      </c>
      <c r="O394" s="26">
        <f t="shared" ref="O394" si="533">M394-G394</f>
        <v>656</v>
      </c>
    </row>
    <row r="395" spans="1:15">
      <c r="A395" s="9">
        <v>43173</v>
      </c>
      <c r="B395" s="10">
        <v>48232</v>
      </c>
      <c r="C395" s="10">
        <v>40612</v>
      </c>
      <c r="D395" s="25">
        <f t="shared" ref="D395" si="534">B395-C395</f>
        <v>7620</v>
      </c>
      <c r="E395" s="10">
        <v>61796</v>
      </c>
      <c r="F395" s="10">
        <v>46863</v>
      </c>
      <c r="G395" s="26">
        <f t="shared" ref="G395" si="535">E395-F395</f>
        <v>14933</v>
      </c>
      <c r="H395" s="10">
        <v>50688</v>
      </c>
      <c r="I395" s="10">
        <v>45135</v>
      </c>
      <c r="J395" s="25">
        <f t="shared" ref="J395" si="536">H395-I395</f>
        <v>5553</v>
      </c>
      <c r="K395" s="10">
        <v>69998</v>
      </c>
      <c r="L395" s="10">
        <v>53579</v>
      </c>
      <c r="M395" s="26">
        <f t="shared" ref="M395" si="537">K395-L395</f>
        <v>16419</v>
      </c>
      <c r="N395" s="25">
        <f t="shared" ref="N395" si="538">J395-D395</f>
        <v>-2067</v>
      </c>
      <c r="O395" s="26">
        <f t="shared" ref="O395" si="539">M395-G395</f>
        <v>1486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95"/>
  <sheetViews>
    <sheetView zoomScale="85" zoomScaleNormal="85" workbookViewId="0">
      <pane ySplit="3" topLeftCell="A388" activePane="bottomLeft" state="frozen"/>
      <selection pane="bottomLeft" activeCell="I405" sqref="I405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  <row r="391" spans="1:9">
      <c r="A391" s="9">
        <v>43169</v>
      </c>
      <c r="B391" s="10"/>
      <c r="C391" s="10"/>
      <c r="D391" s="10"/>
      <c r="E391" s="10"/>
      <c r="F391" s="22"/>
      <c r="G391" s="22"/>
      <c r="H391" s="22"/>
      <c r="I391" s="22"/>
    </row>
    <row r="392" spans="1:9">
      <c r="A392" s="9">
        <v>43170</v>
      </c>
      <c r="B392" s="10"/>
      <c r="C392" s="10"/>
      <c r="D392" s="10"/>
      <c r="E392" s="10"/>
      <c r="F392" s="22"/>
      <c r="G392" s="22"/>
      <c r="H392" s="22"/>
      <c r="I392" s="22"/>
    </row>
    <row r="393" spans="1:9">
      <c r="A393" s="9">
        <v>43171</v>
      </c>
      <c r="B393" s="10">
        <v>100943</v>
      </c>
      <c r="C393" s="10">
        <v>-233136</v>
      </c>
      <c r="D393" s="10">
        <v>113458</v>
      </c>
      <c r="E393" s="10">
        <v>168097</v>
      </c>
      <c r="F393" s="22">
        <f t="shared" ref="F393" si="359">B393/10000</f>
        <v>10.0943</v>
      </c>
      <c r="G393" s="22">
        <f t="shared" ref="G393" si="360">C393/10000</f>
        <v>-23.313600000000001</v>
      </c>
      <c r="H393" s="22">
        <f t="shared" ref="H393" si="361">D393/10000</f>
        <v>11.345800000000001</v>
      </c>
      <c r="I393" s="22">
        <f t="shared" ref="I393" si="362">E393/10000</f>
        <v>16.809699999999999</v>
      </c>
    </row>
    <row r="394" spans="1:9">
      <c r="A394" s="9">
        <v>43172</v>
      </c>
      <c r="B394" s="10">
        <v>81355</v>
      </c>
      <c r="C394" s="10">
        <v>-171469</v>
      </c>
      <c r="D394" s="10">
        <v>177007</v>
      </c>
      <c r="E394" s="10">
        <v>132016</v>
      </c>
      <c r="F394" s="22">
        <f t="shared" ref="F394" si="363">B394/10000</f>
        <v>8.1355000000000004</v>
      </c>
      <c r="G394" s="22">
        <f t="shared" ref="G394" si="364">C394/10000</f>
        <v>-17.146899999999999</v>
      </c>
      <c r="H394" s="22">
        <f t="shared" ref="H394" si="365">D394/10000</f>
        <v>17.700700000000001</v>
      </c>
      <c r="I394" s="22">
        <f t="shared" ref="I394" si="366">E394/10000</f>
        <v>13.201599999999999</v>
      </c>
    </row>
    <row r="395" spans="1:9">
      <c r="A395" s="9">
        <v>43173</v>
      </c>
      <c r="B395" s="10">
        <v>35952</v>
      </c>
      <c r="C395" s="10">
        <v>-181415</v>
      </c>
      <c r="D395" s="10">
        <v>133078</v>
      </c>
      <c r="E395" s="10">
        <v>173080</v>
      </c>
      <c r="F395" s="22">
        <f t="shared" ref="F395" si="367">B395/10000</f>
        <v>3.5952000000000002</v>
      </c>
      <c r="G395" s="22">
        <f t="shared" ref="G395" si="368">C395/10000</f>
        <v>-18.141500000000001</v>
      </c>
      <c r="H395" s="22">
        <f t="shared" ref="H395" si="369">D395/10000</f>
        <v>13.3078</v>
      </c>
      <c r="I395" s="22">
        <f t="shared" ref="I395" si="370">E395/10000</f>
        <v>17.308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95"/>
  <sheetViews>
    <sheetView zoomScaleNormal="100" workbookViewId="0">
      <pane xSplit="1" ySplit="3" topLeftCell="B389" activePane="bottomRight" state="frozen"/>
      <selection pane="topRight" activeCell="B1" sqref="B1"/>
      <selection pane="bottomLeft" activeCell="A4" sqref="A4"/>
      <selection pane="bottomRight" activeCell="E397" sqref="E397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  <row r="391" spans="1:3">
      <c r="A391" s="9">
        <v>43169</v>
      </c>
      <c r="B391" s="10"/>
      <c r="C391" s="23"/>
    </row>
    <row r="392" spans="1:3">
      <c r="A392" s="9">
        <v>43170</v>
      </c>
      <c r="B392" s="10"/>
      <c r="C392" s="23"/>
    </row>
    <row r="393" spans="1:3">
      <c r="A393" s="9">
        <v>43171</v>
      </c>
      <c r="B393" s="10">
        <v>164.04</v>
      </c>
      <c r="C393" s="23">
        <f t="shared" ref="C393" si="86">B393/100</f>
        <v>1.6403999999999999</v>
      </c>
    </row>
    <row r="394" spans="1:3">
      <c r="A394" s="9">
        <v>43172</v>
      </c>
      <c r="B394" s="10">
        <v>173.75</v>
      </c>
      <c r="C394" s="23">
        <f t="shared" ref="C394" si="87">B394/100</f>
        <v>1.7375</v>
      </c>
    </row>
    <row r="395" spans="1:3">
      <c r="A395" s="9">
        <v>43173</v>
      </c>
      <c r="B395" s="10">
        <v>165.05</v>
      </c>
      <c r="C395" s="23">
        <f t="shared" ref="C395" si="88">B395/100</f>
        <v>1.6505000000000001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95"/>
  <sheetViews>
    <sheetView workbookViewId="0">
      <pane ySplit="3" topLeftCell="A380" activePane="bottomLeft" state="frozen"/>
      <selection pane="bottomLeft" activeCell="F392" sqref="F392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>
        <v>90.093000000000004</v>
      </c>
    </row>
    <row r="391" spans="1:4">
      <c r="A391" s="9">
        <v>43169</v>
      </c>
      <c r="B391" s="42"/>
      <c r="C391" s="50"/>
      <c r="D391" s="23"/>
    </row>
    <row r="392" spans="1:4">
      <c r="A392" s="9">
        <v>43170</v>
      </c>
      <c r="B392" s="42"/>
      <c r="C392" s="50"/>
      <c r="D392" s="23"/>
    </row>
    <row r="393" spans="1:4">
      <c r="A393" s="9">
        <v>43171</v>
      </c>
      <c r="B393" s="42">
        <v>29.28</v>
      </c>
      <c r="C393" s="50">
        <v>-0.02</v>
      </c>
      <c r="D393" s="23">
        <v>89.894999999999996</v>
      </c>
    </row>
    <row r="394" spans="1:4">
      <c r="A394" s="9">
        <v>43172</v>
      </c>
      <c r="B394" s="42">
        <v>29.251999999999999</v>
      </c>
      <c r="C394" s="50">
        <v>-2.8000000000000001E-2</v>
      </c>
      <c r="D394" s="23">
        <v>89.664000000000001</v>
      </c>
    </row>
    <row r="395" spans="1:4">
      <c r="A395" s="9">
        <v>43173</v>
      </c>
      <c r="B395" s="42">
        <v>29.257000000000001</v>
      </c>
      <c r="C395" s="50">
        <v>5.0000000000000001E-3</v>
      </c>
      <c r="D395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97"/>
  <sheetViews>
    <sheetView zoomScale="85" zoomScaleNormal="85" workbookViewId="0">
      <pane xSplit="1" ySplit="4" topLeftCell="B382" activePane="bottomRight" state="frozen"/>
      <selection pane="topRight" activeCell="B1" sqref="B1"/>
      <selection pane="bottomLeft" activeCell="A5" sqref="A5"/>
      <selection pane="bottomRight" activeCell="J398" sqref="J398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  <row r="393" spans="1:12">
      <c r="A393" s="9">
        <v>43169</v>
      </c>
      <c r="B393" s="10"/>
      <c r="C393" s="10"/>
      <c r="D393" s="10"/>
      <c r="E393" s="10"/>
      <c r="F393" s="87"/>
      <c r="G393" s="83"/>
      <c r="H393" s="85"/>
      <c r="I393" s="10"/>
      <c r="J393" s="10"/>
      <c r="K393" s="19"/>
      <c r="L393" s="20"/>
    </row>
    <row r="394" spans="1:12">
      <c r="A394" s="9">
        <v>43170</v>
      </c>
      <c r="B394" s="10"/>
      <c r="C394" s="10"/>
      <c r="D394" s="10"/>
      <c r="E394" s="10"/>
      <c r="F394" s="87"/>
      <c r="G394" s="83"/>
      <c r="H394" s="85"/>
      <c r="I394" s="10"/>
      <c r="J394" s="10"/>
      <c r="K394" s="19"/>
      <c r="L394" s="20"/>
    </row>
    <row r="395" spans="1:12">
      <c r="A395" s="9">
        <v>43171</v>
      </c>
      <c r="B395" s="10">
        <v>55840</v>
      </c>
      <c r="C395" s="10">
        <v>19896</v>
      </c>
      <c r="D395" s="10">
        <v>288</v>
      </c>
      <c r="E395" s="10">
        <v>7711</v>
      </c>
      <c r="F395" s="87">
        <f t="shared" ref="F395" si="255">B395-SUM(C395:E395)</f>
        <v>27945</v>
      </c>
      <c r="G395" s="83"/>
      <c r="H395" s="85">
        <v>18715</v>
      </c>
      <c r="I395" s="10">
        <v>40</v>
      </c>
      <c r="J395" s="10">
        <v>875</v>
      </c>
      <c r="K395" s="19">
        <f t="shared" ref="K395" si="256">B395-SUM(H395:J395)</f>
        <v>36210</v>
      </c>
      <c r="L395" s="20">
        <f t="shared" ref="L395" si="257">(F395-K395)/B395</f>
        <v>-0.14801217765042979</v>
      </c>
    </row>
    <row r="396" spans="1:12">
      <c r="A396" s="9">
        <v>43172</v>
      </c>
      <c r="B396" s="10">
        <v>60536</v>
      </c>
      <c r="C396" s="10">
        <v>22126</v>
      </c>
      <c r="D396" s="10">
        <v>288</v>
      </c>
      <c r="E396" s="10">
        <v>9761</v>
      </c>
      <c r="F396" s="87">
        <f t="shared" ref="F396" si="258">B396-SUM(C396:E396)</f>
        <v>28361</v>
      </c>
      <c r="G396" s="83"/>
      <c r="H396" s="85">
        <v>20874</v>
      </c>
      <c r="I396" s="10">
        <v>40</v>
      </c>
      <c r="J396" s="10">
        <v>993</v>
      </c>
      <c r="K396" s="19">
        <f t="shared" ref="K396" si="259">B396-SUM(H396:J396)</f>
        <v>38629</v>
      </c>
      <c r="L396" s="20">
        <f t="shared" ref="L396" si="260">(F396-K396)/B396</f>
        <v>-0.16961807849874455</v>
      </c>
    </row>
    <row r="397" spans="1:12">
      <c r="A397" s="9">
        <v>43173</v>
      </c>
      <c r="B397" s="10">
        <v>55839</v>
      </c>
      <c r="C397" s="10">
        <v>21869</v>
      </c>
      <c r="D397" s="10">
        <v>288</v>
      </c>
      <c r="E397" s="10">
        <v>6956</v>
      </c>
      <c r="F397" s="87">
        <f t="shared" ref="F397" si="261">B397-SUM(C397:E397)</f>
        <v>26726</v>
      </c>
      <c r="G397" s="83"/>
      <c r="H397" s="85">
        <v>20381</v>
      </c>
      <c r="I397" s="10">
        <v>40</v>
      </c>
      <c r="J397" s="10">
        <v>1376</v>
      </c>
      <c r="K397" s="19">
        <f t="shared" ref="K397" si="262">B397-SUM(H397:J397)</f>
        <v>34042</v>
      </c>
      <c r="L397" s="20">
        <f t="shared" ref="L397" si="263">(F397-K397)/B397</f>
        <v>-0.13101953831551424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94"/>
  <sheetViews>
    <sheetView zoomScaleNormal="100" workbookViewId="0">
      <pane ySplit="3" topLeftCell="A388" activePane="bottomLeft" state="frozen"/>
      <selection pane="bottomLeft" activeCell="I398" sqref="I398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>
        <v>25335.74</v>
      </c>
      <c r="C390" s="27">
        <v>440.53</v>
      </c>
      <c r="D390" s="91">
        <v>1.77E-2</v>
      </c>
      <c r="E390" s="89">
        <v>7560.81</v>
      </c>
      <c r="F390" s="27">
        <v>132.86000000000001</v>
      </c>
      <c r="G390" s="91">
        <v>1.7899999999999999E-2</v>
      </c>
      <c r="H390" s="89">
        <v>1431.16</v>
      </c>
      <c r="I390" s="27">
        <v>29.11</v>
      </c>
      <c r="J390" s="91">
        <v>2.0799999999999999E-2</v>
      </c>
    </row>
    <row r="391" spans="1:10">
      <c r="A391" s="92">
        <v>43169</v>
      </c>
      <c r="B391" s="89"/>
      <c r="C391" s="27"/>
      <c r="D391" s="91"/>
      <c r="E391" s="89"/>
      <c r="F391" s="27"/>
      <c r="G391" s="91"/>
      <c r="H391" s="89"/>
      <c r="I391" s="27"/>
      <c r="J391" s="91"/>
    </row>
    <row r="392" spans="1:10">
      <c r="A392" s="92">
        <v>43170</v>
      </c>
      <c r="B392" s="89"/>
      <c r="C392" s="27"/>
      <c r="D392" s="91"/>
      <c r="E392" s="89"/>
      <c r="F392" s="27"/>
      <c r="G392" s="91"/>
      <c r="H392" s="89"/>
      <c r="I392" s="27"/>
      <c r="J392" s="91"/>
    </row>
    <row r="393" spans="1:10">
      <c r="A393" s="92">
        <v>43171</v>
      </c>
      <c r="B393" s="89">
        <v>25178.61</v>
      </c>
      <c r="C393" s="27">
        <v>-157.13</v>
      </c>
      <c r="D393" s="91">
        <v>-6.1999999999999998E-3</v>
      </c>
      <c r="E393" s="89">
        <v>7588.33</v>
      </c>
      <c r="F393" s="27">
        <v>27.51</v>
      </c>
      <c r="G393" s="91">
        <v>3.5999999999999999E-3</v>
      </c>
      <c r="H393" s="89">
        <v>1445.9</v>
      </c>
      <c r="I393" s="27">
        <v>14.74</v>
      </c>
      <c r="J393" s="91">
        <v>1.03E-2</v>
      </c>
    </row>
    <row r="394" spans="1:10">
      <c r="A394" s="92">
        <v>43172</v>
      </c>
      <c r="B394" s="89">
        <v>25007.03</v>
      </c>
      <c r="C394" s="27">
        <v>-171.58</v>
      </c>
      <c r="D394" s="91">
        <v>-6.7999999999999996E-3</v>
      </c>
      <c r="E394" s="89">
        <v>7511.01</v>
      </c>
      <c r="F394" s="27">
        <v>-77.31</v>
      </c>
      <c r="G394" s="91">
        <v>-1.0200000000000001E-2</v>
      </c>
      <c r="H394" s="89">
        <v>445.9</v>
      </c>
      <c r="I394" s="27">
        <v>14.74</v>
      </c>
      <c r="J394" s="91">
        <v>1.03E-2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2018-03-14T12:40:05Z</dcterms:modified>
</cp:coreProperties>
</file>