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0" i="18" l="1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<sst xmlns="http://schemas.openxmlformats.org/spreadsheetml/2006/main" count="268" uniqueCount="189">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</sst>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49970177"/>
  <ax:ocxPr ax:name="CurrentDate" ax:value="4308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5" sqref="D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43080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10473.09</v>
      </c>
      <c r="D7" s="37">
        <f>VLOOKUP($B$6,資料整合一覽!$B$3:$AF$500,3,FALSE)</f>
        <v>74.47</v>
      </c>
      <c r="E7" s="38">
        <f>VLOOKUP($B$6,資料整合一覽!$B$3:$AF$500,4,FALSE)</f>
        <v>7.1999999999999998E-3</v>
      </c>
      <c r="F7" s="36" t="str">
        <f>VLOOKUP($B$6,資料整合一覽!$B$3:$AF$500,5,FALSE)</f>
        <v>1167.56億</v>
      </c>
      <c r="G7" s="39">
        <f>VLOOKUP($B$6,資料整合一覽!$B$3:$AF$500,6,FALSE)</f>
        <v>-1.85263394</v>
      </c>
      <c r="H7" s="37">
        <f>VLOOKUP($B$6,資料整合一覽!$B$3:$AF$500,7,FALSE)</f>
        <v>21.822435760000001</v>
      </c>
      <c r="I7" s="37">
        <f>VLOOKUP($B$6,資料整合一覽!$B$3:$AF$500,8,FALSE)</f>
        <v>5.8708191799999998</v>
      </c>
      <c r="J7" s="37">
        <f>VLOOKUP($B$6,資料整合一覽!$B$3:$AF$500,9,FALSE)</f>
        <v>-37.751740329999997</v>
      </c>
      <c r="K7" s="40">
        <f>VLOOKUP($B$6,資料整合一覽!$B$3:$AF$500,10,FALSE)</f>
        <v>30.018000000000001</v>
      </c>
      <c r="L7" s="41">
        <f>VLOOKUP($B$6,資料整合一覽!$B$3:$AF$500,11,FALSE)</f>
        <v>3.0000000000000001E-3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-7699.75</v>
      </c>
      <c r="D11" s="29">
        <f>VLOOKUP($B$6,資料整合一覽!$B$3:$AF$500,14,FALSE)</f>
        <v>38441.75</v>
      </c>
      <c r="E11" s="67">
        <f>VLOOKUP($B$6,資料整合一覽!$B$3:$AF$500,17,FALSE)</f>
        <v>3.4178000000000002</v>
      </c>
      <c r="F11" s="67">
        <f>VLOOKUP($B$6,資料整合一覽!$B$3:$AF$500,18,FALSE)</f>
        <v>-29.407299999999999</v>
      </c>
      <c r="G11" s="67">
        <f>VLOOKUP($B$6,資料整合一覽!$B$3:$AF$500,19,FALSE)</f>
        <v>23.196200000000001</v>
      </c>
      <c r="H11" s="67">
        <f>VLOOKUP($B$6,資料整合一覽!$B$3:$AF$500,20,FALSE)</f>
        <v>80.748800000000003</v>
      </c>
      <c r="I11" s="42">
        <f>VLOOKUP($B$6,資料整合一覽!$B$3:$AF$500,21,FALSE)</f>
        <v>1.3300999999999998</v>
      </c>
      <c r="J11" s="44">
        <f>VLOOKUP($B$6,資料整合一覽!$B$3:$AF$500,22,FALSE)</f>
        <v>0.35319303631296201</v>
      </c>
      <c r="K11" s="38">
        <f>VLOOKUP($B$6,資料整合一覽!$B$3:$AF$500,29,FALSE)</f>
        <v>0</v>
      </c>
      <c r="L11" s="38">
        <f>VLOOKUP($B$6,資料整合一覽!$B$3:$AF$500,30,FALSE)</f>
        <v>0</v>
      </c>
      <c r="M11" s="38">
        <f>VLOOKUP($B$6,資料整合一覽!$B$3:$AF$500,31,FALSE)</f>
        <v>0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02"/>
  <sheetViews>
    <sheetView topLeftCell="B1" zoomScale="80" zoomScaleNormal="80" workbookViewId="0">
      <pane ySplit="3" topLeftCell="A292" activePane="bottomLeft" state="frozen"/>
      <selection pane="bottomLeft" activeCell="M302" sqref="M302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7">
        <f t="shared" ref="D290" si="180">B290-C290</f>
        <v>-569</v>
      </c>
      <c r="E290" s="10">
        <v>63642</v>
      </c>
      <c r="F290" s="10">
        <v>55617</v>
      </c>
      <c r="G290" s="28">
        <f t="shared" ref="G290" si="181">E290-F290</f>
        <v>8025</v>
      </c>
      <c r="H290" s="10">
        <v>45320</v>
      </c>
      <c r="I290" s="10">
        <v>45407</v>
      </c>
      <c r="J290" s="27">
        <f t="shared" ref="J290" si="182">H290-I290</f>
        <v>-87</v>
      </c>
      <c r="K290" s="10">
        <v>64681</v>
      </c>
      <c r="L290" s="10">
        <v>57470</v>
      </c>
      <c r="M290" s="28">
        <f t="shared" ref="M290" si="183">K290-L290</f>
        <v>7211</v>
      </c>
      <c r="N290" s="27">
        <f t="shared" ref="N290" si="184">J290-D290</f>
        <v>482</v>
      </c>
      <c r="O290" s="28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7">
        <f t="shared" ref="D291" si="186">B291-C291</f>
        <v>-4136</v>
      </c>
      <c r="E291" s="10">
        <v>63179</v>
      </c>
      <c r="F291" s="10">
        <v>57442</v>
      </c>
      <c r="G291" s="28">
        <f t="shared" ref="G291" si="187">E291-F291</f>
        <v>5737</v>
      </c>
      <c r="H291" s="10">
        <v>44786</v>
      </c>
      <c r="I291" s="10">
        <v>48441</v>
      </c>
      <c r="J291" s="27">
        <f t="shared" ref="J291" si="188">H291-I291</f>
        <v>-3655</v>
      </c>
      <c r="K291" s="10">
        <v>64721</v>
      </c>
      <c r="L291" s="10">
        <v>60184</v>
      </c>
      <c r="M291" s="28">
        <f t="shared" ref="M291" si="189">K291-L291</f>
        <v>4537</v>
      </c>
      <c r="N291" s="27">
        <f t="shared" ref="N291" si="190">J291-D291</f>
        <v>481</v>
      </c>
      <c r="O291" s="28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7">
        <f t="shared" ref="D292" si="192">B292-C292</f>
        <v>-1545</v>
      </c>
      <c r="E292" s="10">
        <v>62662</v>
      </c>
      <c r="F292" s="10">
        <v>55581</v>
      </c>
      <c r="G292" s="28">
        <f t="shared" ref="G292" si="193">E292-F292</f>
        <v>7081</v>
      </c>
      <c r="H292" s="10">
        <v>44354</v>
      </c>
      <c r="I292" s="10">
        <v>46114</v>
      </c>
      <c r="J292" s="27">
        <f t="shared" ref="J292" si="194">H292-I292</f>
        <v>-1760</v>
      </c>
      <c r="K292" s="10">
        <v>64050</v>
      </c>
      <c r="L292" s="10">
        <v>58610</v>
      </c>
      <c r="M292" s="28">
        <f t="shared" ref="M292" si="195">K292-L292</f>
        <v>5440</v>
      </c>
      <c r="N292" s="27">
        <f t="shared" ref="N292" si="196">J292-D292</f>
        <v>-215</v>
      </c>
      <c r="O292" s="28">
        <f t="shared" ref="O292" si="197">M292-G292</f>
        <v>-1641</v>
      </c>
    </row>
    <row r="293" spans="1:15">
      <c r="A293" s="9">
        <v>43071</v>
      </c>
      <c r="B293" s="10"/>
      <c r="C293" s="10"/>
      <c r="D293" s="27">
        <f t="shared" ref="D293:D296" si="198">B293-C293</f>
        <v>0</v>
      </c>
      <c r="E293" s="10"/>
      <c r="F293" s="10"/>
      <c r="G293" s="28">
        <f t="shared" ref="G293:G296" si="199">E293-F293</f>
        <v>0</v>
      </c>
      <c r="H293" s="10"/>
      <c r="I293" s="10"/>
      <c r="J293" s="27">
        <f t="shared" ref="J293:J296" si="200">H293-I293</f>
        <v>0</v>
      </c>
      <c r="K293" s="10"/>
      <c r="L293" s="10"/>
      <c r="M293" s="28">
        <f t="shared" ref="M293:M296" si="201">K293-L293</f>
        <v>0</v>
      </c>
      <c r="N293" s="27">
        <f t="shared" ref="N293:N296" si="202">J293-D293</f>
        <v>0</v>
      </c>
      <c r="O293" s="28">
        <f t="shared" ref="O293:O296" si="203">M293-G293</f>
        <v>0</v>
      </c>
    </row>
    <row r="294" spans="1:15">
      <c r="A294" s="9">
        <v>43072</v>
      </c>
      <c r="B294" s="10"/>
      <c r="C294" s="10"/>
      <c r="D294" s="27">
        <f t="shared" si="198"/>
        <v>0</v>
      </c>
      <c r="E294" s="10"/>
      <c r="F294" s="10"/>
      <c r="G294" s="28">
        <f t="shared" si="199"/>
        <v>0</v>
      </c>
      <c r="H294" s="10"/>
      <c r="I294" s="10"/>
      <c r="J294" s="27">
        <f t="shared" si="200"/>
        <v>0</v>
      </c>
      <c r="K294" s="10"/>
      <c r="L294" s="10"/>
      <c r="M294" s="28">
        <f t="shared" si="201"/>
        <v>0</v>
      </c>
      <c r="N294" s="27">
        <f t="shared" si="202"/>
        <v>0</v>
      </c>
      <c r="O294" s="28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7">
        <f t="shared" si="198"/>
        <v>-2819</v>
      </c>
      <c r="E295" s="10">
        <v>61484</v>
      </c>
      <c r="F295" s="10">
        <v>55048</v>
      </c>
      <c r="G295" s="28">
        <f t="shared" si="199"/>
        <v>6436</v>
      </c>
      <c r="H295" s="10">
        <v>43300</v>
      </c>
      <c r="I295" s="10">
        <v>46097</v>
      </c>
      <c r="J295" s="27">
        <f t="shared" si="200"/>
        <v>-2797</v>
      </c>
      <c r="K295" s="10">
        <v>63347</v>
      </c>
      <c r="L295" s="10">
        <v>58132</v>
      </c>
      <c r="M295" s="28">
        <f t="shared" si="201"/>
        <v>5215</v>
      </c>
      <c r="N295" s="27">
        <f t="shared" si="202"/>
        <v>22</v>
      </c>
      <c r="O295" s="28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7">
        <f t="shared" si="198"/>
        <v>-4888</v>
      </c>
      <c r="E296" s="10">
        <v>60561</v>
      </c>
      <c r="F296" s="10">
        <v>54628</v>
      </c>
      <c r="G296" s="28">
        <f t="shared" si="199"/>
        <v>5933</v>
      </c>
      <c r="H296" s="10">
        <v>41988</v>
      </c>
      <c r="I296" s="10">
        <v>46382</v>
      </c>
      <c r="J296" s="27">
        <f t="shared" si="200"/>
        <v>-4394</v>
      </c>
      <c r="K296" s="10">
        <v>62199</v>
      </c>
      <c r="L296" s="10">
        <v>58468</v>
      </c>
      <c r="M296" s="28">
        <f t="shared" si="201"/>
        <v>3731</v>
      </c>
      <c r="N296" s="27">
        <f t="shared" si="202"/>
        <v>494</v>
      </c>
      <c r="O296" s="28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7">
        <f t="shared" ref="D297" si="204">B297-C297</f>
        <v>-5499</v>
      </c>
      <c r="E297" s="10">
        <v>60046</v>
      </c>
      <c r="F297" s="10">
        <v>55877</v>
      </c>
      <c r="G297" s="28">
        <f t="shared" ref="G297" si="205">E297-F297</f>
        <v>4169</v>
      </c>
      <c r="H297" s="10">
        <v>43338</v>
      </c>
      <c r="I297" s="10">
        <v>47822</v>
      </c>
      <c r="J297" s="27">
        <f t="shared" ref="J297" si="206">H297-I297</f>
        <v>-4484</v>
      </c>
      <c r="K297" s="10">
        <v>62676</v>
      </c>
      <c r="L297" s="10">
        <v>60525</v>
      </c>
      <c r="M297" s="28">
        <f t="shared" ref="M297" si="207">K297-L297</f>
        <v>2151</v>
      </c>
      <c r="N297" s="27">
        <f t="shared" ref="N297" si="208">J297-D297</f>
        <v>1015</v>
      </c>
      <c r="O297" s="28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7">
        <f t="shared" ref="D298" si="210">B298-C298</f>
        <v>-4394</v>
      </c>
      <c r="E298" s="10">
        <v>60499</v>
      </c>
      <c r="F298" s="10">
        <v>56211</v>
      </c>
      <c r="G298" s="28">
        <f t="shared" ref="G298" si="211">E298-F298</f>
        <v>4288</v>
      </c>
      <c r="H298" s="10">
        <v>45330</v>
      </c>
      <c r="I298" s="10">
        <v>48782</v>
      </c>
      <c r="J298" s="27">
        <f t="shared" ref="J298" si="212">H298-I298</f>
        <v>-3452</v>
      </c>
      <c r="K298" s="10">
        <v>63585</v>
      </c>
      <c r="L298" s="10">
        <v>61057</v>
      </c>
      <c r="M298" s="28">
        <f t="shared" ref="M298" si="213">K298-L298</f>
        <v>2528</v>
      </c>
      <c r="N298" s="27">
        <f t="shared" ref="N298" si="214">J298-D298</f>
        <v>942</v>
      </c>
      <c r="O298" s="28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7">
        <f t="shared" ref="D299:D302" si="216">B299-C299</f>
        <v>-5698</v>
      </c>
      <c r="E299" s="10">
        <v>58019</v>
      </c>
      <c r="F299" s="10">
        <v>57017</v>
      </c>
      <c r="G299" s="28">
        <f t="shared" ref="G299:G302" si="217">E299-F299</f>
        <v>1002</v>
      </c>
      <c r="H299" s="10">
        <v>44985</v>
      </c>
      <c r="I299" s="10">
        <v>48489</v>
      </c>
      <c r="J299" s="27">
        <f t="shared" ref="J299:J302" si="218">H299-I299</f>
        <v>-3504</v>
      </c>
      <c r="K299" s="10">
        <v>62050</v>
      </c>
      <c r="L299" s="10">
        <v>61329</v>
      </c>
      <c r="M299" s="28">
        <f t="shared" ref="M299" si="219">K299-L299</f>
        <v>721</v>
      </c>
      <c r="N299" s="27">
        <f t="shared" ref="N299" si="220">J299-D299</f>
        <v>2194</v>
      </c>
      <c r="O299" s="28">
        <f t="shared" ref="O299" si="221">M299-G299</f>
        <v>-281</v>
      </c>
    </row>
    <row r="300" spans="1:15">
      <c r="A300" s="9">
        <v>43078</v>
      </c>
      <c r="B300" s="10"/>
      <c r="C300" s="10"/>
      <c r="D300" s="27">
        <f t="shared" si="216"/>
        <v>0</v>
      </c>
      <c r="E300" s="10"/>
      <c r="F300" s="10"/>
      <c r="G300" s="28">
        <f t="shared" si="217"/>
        <v>0</v>
      </c>
      <c r="H300" s="10"/>
      <c r="I300" s="10"/>
      <c r="J300" s="27">
        <f t="shared" si="218"/>
        <v>0</v>
      </c>
      <c r="K300" s="10"/>
      <c r="L300" s="10"/>
      <c r="M300" s="28">
        <f t="shared" ref="M300:M302" si="222">K300-L300</f>
        <v>0</v>
      </c>
      <c r="N300" s="27">
        <f t="shared" ref="N300:N302" si="223">J300-D300</f>
        <v>0</v>
      </c>
      <c r="O300" s="28">
        <f t="shared" ref="O300:O302" si="224">M300-G300</f>
        <v>0</v>
      </c>
    </row>
    <row r="301" spans="1:15">
      <c r="A301" s="9">
        <v>43079</v>
      </c>
      <c r="B301" s="10"/>
      <c r="C301" s="10"/>
      <c r="D301" s="27">
        <f t="shared" si="216"/>
        <v>0</v>
      </c>
      <c r="E301" s="10"/>
      <c r="F301" s="10"/>
      <c r="G301" s="28">
        <f t="shared" si="217"/>
        <v>0</v>
      </c>
      <c r="H301" s="10"/>
      <c r="I301" s="10"/>
      <c r="J301" s="27">
        <f t="shared" si="218"/>
        <v>0</v>
      </c>
      <c r="K301" s="10"/>
      <c r="L301" s="10"/>
      <c r="M301" s="28">
        <f t="shared" si="222"/>
        <v>0</v>
      </c>
      <c r="N301" s="27">
        <f t="shared" si="223"/>
        <v>0</v>
      </c>
      <c r="O301" s="28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7">
        <f t="shared" si="216"/>
        <v>-5857</v>
      </c>
      <c r="E302" s="10">
        <v>55335</v>
      </c>
      <c r="F302" s="10">
        <v>54329</v>
      </c>
      <c r="G302" s="28">
        <f t="shared" si="217"/>
        <v>1006</v>
      </c>
      <c r="H302" s="10">
        <v>43550</v>
      </c>
      <c r="I302" s="10">
        <v>47145</v>
      </c>
      <c r="J302" s="27">
        <f t="shared" si="218"/>
        <v>-3595</v>
      </c>
      <c r="K302" s="10">
        <v>59696</v>
      </c>
      <c r="L302" s="10">
        <v>60094</v>
      </c>
      <c r="M302" s="28">
        <f t="shared" si="222"/>
        <v>-398</v>
      </c>
      <c r="N302" s="27">
        <f t="shared" si="223"/>
        <v>2262</v>
      </c>
      <c r="O302" s="28">
        <f t="shared" si="224"/>
        <v>-1404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02"/>
  <sheetViews>
    <sheetView zoomScaleNormal="100" workbookViewId="0">
      <pane ySplit="3" topLeftCell="A282" activePane="bottomLeft" state="frozen"/>
      <selection pane="bottomLeft" activeCell="K293" sqref="K293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  <row r="289" spans="1:10">
      <c r="A289" s="95">
        <v>43067</v>
      </c>
      <c r="B289" s="92">
        <v>23836.71</v>
      </c>
      <c r="C289" s="29">
        <v>255.93</v>
      </c>
      <c r="D289" s="94">
        <v>1.09E-2</v>
      </c>
      <c r="E289" s="92">
        <v>6912.36</v>
      </c>
      <c r="F289" s="29">
        <v>33.840000000000003</v>
      </c>
      <c r="G289" s="94">
        <v>4.8999999999999998E-3</v>
      </c>
      <c r="H289" s="92">
        <v>1323.08</v>
      </c>
      <c r="I289" s="29">
        <v>-1.07</v>
      </c>
      <c r="J289" s="94">
        <v>-8.0000000000000004E-4</v>
      </c>
    </row>
    <row r="290" spans="1:10">
      <c r="A290" s="95">
        <v>43068</v>
      </c>
      <c r="B290" s="92">
        <v>23940.68</v>
      </c>
      <c r="C290" s="29">
        <v>103.97</v>
      </c>
      <c r="D290" s="94">
        <v>4.4000000000000003E-3</v>
      </c>
      <c r="E290" s="92">
        <v>6824.3909999999996</v>
      </c>
      <c r="F290" s="29">
        <v>-87.97</v>
      </c>
      <c r="G290" s="94">
        <v>-1.2699999999999999E-2</v>
      </c>
      <c r="H290" s="92">
        <v>1265.01</v>
      </c>
      <c r="I290" s="29">
        <v>-58.07</v>
      </c>
      <c r="J290" s="94">
        <v>-4.3900000000000002E-2</v>
      </c>
    </row>
    <row r="291" spans="1:10">
      <c r="A291" s="95">
        <v>43069</v>
      </c>
      <c r="B291" s="92">
        <v>24272.35</v>
      </c>
      <c r="C291" s="29">
        <v>331.67</v>
      </c>
      <c r="D291" s="94">
        <v>1.3899999999999999E-2</v>
      </c>
      <c r="E291" s="92">
        <v>6873.973</v>
      </c>
      <c r="F291" s="29">
        <v>49.58</v>
      </c>
      <c r="G291" s="94">
        <v>7.3000000000000001E-3</v>
      </c>
      <c r="H291" s="92">
        <v>1272.55</v>
      </c>
      <c r="I291" s="29">
        <v>7.54</v>
      </c>
      <c r="J291" s="94">
        <v>6.0000000000000001E-3</v>
      </c>
    </row>
    <row r="292" spans="1:10">
      <c r="A292" s="95">
        <v>43070</v>
      </c>
      <c r="B292" s="92">
        <v>24231.59</v>
      </c>
      <c r="C292" s="29">
        <v>-40.76</v>
      </c>
      <c r="D292" s="94">
        <v>-1.6999999999999999E-3</v>
      </c>
      <c r="E292" s="92">
        <v>6847.5860000000002</v>
      </c>
      <c r="F292" s="29">
        <v>-26.39</v>
      </c>
      <c r="G292" s="94">
        <v>-3.8E-3</v>
      </c>
      <c r="H292" s="92">
        <v>1258.6500000000001</v>
      </c>
      <c r="I292" s="29">
        <v>-13.9</v>
      </c>
      <c r="J292" s="94">
        <v>-1.09E-2</v>
      </c>
    </row>
    <row r="293" spans="1:10">
      <c r="A293" s="95">
        <v>43071</v>
      </c>
      <c r="B293" s="92"/>
      <c r="C293" s="29"/>
      <c r="D293" s="94"/>
      <c r="E293" s="92"/>
      <c r="F293" s="29"/>
      <c r="G293" s="94"/>
      <c r="H293" s="92"/>
      <c r="I293" s="29"/>
      <c r="J293" s="94"/>
    </row>
    <row r="294" spans="1:10">
      <c r="A294" s="95">
        <v>43072</v>
      </c>
      <c r="B294" s="92"/>
      <c r="C294" s="29"/>
      <c r="D294" s="94"/>
      <c r="E294" s="92"/>
      <c r="F294" s="29"/>
      <c r="G294" s="94"/>
      <c r="H294" s="92"/>
      <c r="I294" s="29"/>
      <c r="J294" s="94"/>
    </row>
    <row r="295" spans="1:10">
      <c r="A295" s="95">
        <v>43073</v>
      </c>
      <c r="B295" s="92">
        <v>24290.05</v>
      </c>
      <c r="C295" s="29">
        <v>58.46</v>
      </c>
      <c r="D295" s="94">
        <v>2.3999999999999998E-3</v>
      </c>
      <c r="E295" s="92">
        <v>6775.3670000000002</v>
      </c>
      <c r="F295" s="29">
        <v>-72.22</v>
      </c>
      <c r="G295" s="94">
        <v>-1.0500000000000001E-2</v>
      </c>
      <c r="H295" s="92">
        <v>1227.8499999999999</v>
      </c>
      <c r="I295" s="29">
        <v>-30.8</v>
      </c>
      <c r="J295" s="94">
        <v>-2.4500000000000001E-2</v>
      </c>
    </row>
    <row r="296" spans="1:10">
      <c r="A296" s="95">
        <v>43074</v>
      </c>
      <c r="B296" s="92">
        <v>24180.639999999999</v>
      </c>
      <c r="C296" s="29">
        <v>-109.41</v>
      </c>
      <c r="D296" s="94">
        <v>-4.4999999999999997E-3</v>
      </c>
      <c r="E296" s="92">
        <v>6762.2150000000001</v>
      </c>
      <c r="F296" s="29">
        <v>-13.15</v>
      </c>
      <c r="G296" s="94">
        <v>-1.9E-3</v>
      </c>
      <c r="H296" s="92">
        <v>1228.51</v>
      </c>
      <c r="I296" s="29">
        <v>0.66</v>
      </c>
      <c r="J296" s="94">
        <v>5.0000000000000001E-4</v>
      </c>
    </row>
    <row r="297" spans="1:10">
      <c r="A297" s="95">
        <v>43075</v>
      </c>
      <c r="B297" s="92">
        <v>24140.91</v>
      </c>
      <c r="C297" s="29">
        <v>-39.729999999999997</v>
      </c>
      <c r="D297" s="94">
        <v>-1.6000000000000001E-3</v>
      </c>
      <c r="E297" s="92">
        <v>6776.38</v>
      </c>
      <c r="F297" s="29">
        <v>14.16</v>
      </c>
      <c r="G297" s="94">
        <v>2.0999999999999999E-3</v>
      </c>
      <c r="H297" s="92">
        <v>1230.47</v>
      </c>
      <c r="I297" s="29">
        <v>1.95</v>
      </c>
      <c r="J297" s="94">
        <v>1.6000000000000001E-3</v>
      </c>
    </row>
    <row r="298" spans="1:10">
      <c r="A298" s="95">
        <v>43076</v>
      </c>
      <c r="B298" s="92">
        <v>24211.48</v>
      </c>
      <c r="C298" s="29">
        <v>70.569999999999993</v>
      </c>
      <c r="D298" s="94">
        <v>2.8999999999999998E-3</v>
      </c>
      <c r="E298" s="92">
        <v>6812.84</v>
      </c>
      <c r="F298" s="29">
        <v>36.47</v>
      </c>
      <c r="G298" s="94">
        <v>5.4000000000000003E-3</v>
      </c>
      <c r="H298" s="92">
        <v>1245.08</v>
      </c>
      <c r="I298" s="29">
        <v>12.81</v>
      </c>
      <c r="J298" s="94">
        <v>1.04E-2</v>
      </c>
    </row>
    <row r="299" spans="1:10">
      <c r="A299" s="95">
        <v>43077</v>
      </c>
      <c r="B299" s="92">
        <v>24329.16</v>
      </c>
      <c r="C299" s="29">
        <v>117.68</v>
      </c>
      <c r="D299" s="94">
        <v>4.8999999999999998E-3</v>
      </c>
      <c r="E299" s="92">
        <v>6840.08</v>
      </c>
      <c r="F299" s="29">
        <v>27.24</v>
      </c>
      <c r="G299" s="94">
        <v>4.0000000000000001E-3</v>
      </c>
      <c r="H299" s="92">
        <v>1238.24</v>
      </c>
      <c r="I299" s="29">
        <v>-6.27</v>
      </c>
      <c r="J299" s="94">
        <v>-5.0000000000000001E-3</v>
      </c>
    </row>
    <row r="300" spans="1:10">
      <c r="A300" s="95">
        <v>43078</v>
      </c>
      <c r="B300" s="92"/>
      <c r="C300" s="29"/>
      <c r="D300" s="94"/>
      <c r="E300" s="92"/>
      <c r="F300" s="29"/>
      <c r="G300" s="94"/>
      <c r="H300" s="92"/>
      <c r="I300" s="29"/>
      <c r="J300" s="94"/>
    </row>
    <row r="301" spans="1:10">
      <c r="A301" s="95">
        <v>43079</v>
      </c>
      <c r="B301" s="92"/>
      <c r="C301" s="29"/>
      <c r="D301" s="94"/>
      <c r="E301" s="92"/>
      <c r="F301" s="29"/>
      <c r="G301" s="94"/>
      <c r="H301" s="92"/>
      <c r="I301" s="29"/>
      <c r="J301" s="94"/>
    </row>
    <row r="302" spans="1:10">
      <c r="A302" s="95">
        <v>43080</v>
      </c>
      <c r="B302" s="92"/>
      <c r="C302" s="29"/>
      <c r="D302" s="94"/>
      <c r="E302" s="92"/>
      <c r="F302" s="29"/>
      <c r="G302" s="94"/>
      <c r="H302" s="92"/>
      <c r="I302" s="29"/>
      <c r="J302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83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93.27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>
        <f>VLOOKUP($B288,三大美股走勢!$A$4:$J$495,4,FALSE)</f>
        <v>1.09E-2</v>
      </c>
      <c r="AE288" s="36">
        <f>VLOOKUP($B288,三大美股走勢!$A$4:$J$495,7,FALSE)</f>
        <v>4.8999999999999998E-3</v>
      </c>
      <c r="AF288" s="36">
        <f>VLOOKUP($B288,三大美股走勢!$A$4:$J$495,10,FALSE)</f>
        <v>-8.0000000000000004E-4</v>
      </c>
    </row>
    <row r="289" spans="2:32">
      <c r="B289" s="35">
        <v>43068</v>
      </c>
      <c r="C289" s="36">
        <f>VLOOKUP($B289,大盤與近月台指!$A$4:$I$499,2,FALSE)</f>
        <v>10713.55</v>
      </c>
      <c r="D289" s="37">
        <f>VLOOKUP($B289,大盤與近月台指!$A$4:$I$499,3,FALSE)</f>
        <v>6.48</v>
      </c>
      <c r="E289" s="38">
        <f>VLOOKUP($B289,大盤與近月台指!$A$4:$I$499,4,FALSE)</f>
        <v>5.9999999999999995E-4</v>
      </c>
      <c r="F289" s="36" t="str">
        <f>VLOOKUP($B289,大盤與近月台指!$A$4:$I$499,5,FALSE)</f>
        <v>1337.63億</v>
      </c>
      <c r="G289" s="52">
        <f>VLOOKUP($B289,三大法人買賣超!$A$4:$I$500,3,FALSE)</f>
        <v>0.54933242999999998</v>
      </c>
      <c r="H289" s="37">
        <f>VLOOKUP($B289,三大法人買賣超!$A$4:$I$500,5,FALSE)</f>
        <v>-2.8958637899999999</v>
      </c>
      <c r="I289" s="29">
        <f>VLOOKUP($B289,三大法人買賣超!$A$4:$I$500,7,FALSE)</f>
        <v>-2.0577418999999999</v>
      </c>
      <c r="J289" s="29">
        <f>VLOOKUP($B289,三大法人買賣超!$A$4:$I$500,9,FALSE)</f>
        <v>-66.805726649999997</v>
      </c>
      <c r="K289" s="40">
        <f>新台幣匯率美元指數!B290</f>
        <v>29.99</v>
      </c>
      <c r="L289" s="41">
        <f>新台幣匯率美元指數!C290</f>
        <v>-1.0999999999999999E-2</v>
      </c>
      <c r="M289" s="42">
        <f>新台幣匯率美元指數!D290</f>
        <v>93.164000000000001</v>
      </c>
      <c r="N289" s="29">
        <f>VLOOKUP($B289,期貨未平倉口數!$A$4:$M$499,4,FALSE)</f>
        <v>-3168.5</v>
      </c>
      <c r="O289" s="29">
        <f>VLOOKUP($B289,期貨未平倉口數!$A$4:$M$499,9,FALSE)</f>
        <v>42831.5</v>
      </c>
      <c r="P289" s="29">
        <f>VLOOKUP($B289,期貨未平倉口數!$A$4:$M$499,10,FALSE)</f>
        <v>4045</v>
      </c>
      <c r="Q289" s="29">
        <f>VLOOKUP($B289,期貨未平倉口數!$A$4:$M$499,11,FALSE)</f>
        <v>-64</v>
      </c>
      <c r="R289" s="67">
        <f>VLOOKUP($B289,選擇權未平倉餘額!$A$4:$I$500,6,FALSE)</f>
        <v>-11.502599999999999</v>
      </c>
      <c r="S289" s="67">
        <f>VLOOKUP($B289,選擇權未平倉餘額!$A$4:$I$500,7,FALSE)</f>
        <v>-7.5269000000000004</v>
      </c>
      <c r="T289" s="67">
        <f>VLOOKUP($B289,選擇權未平倉餘額!$A$4:$I$500,8,FALSE)</f>
        <v>46.601500000000001</v>
      </c>
      <c r="U289" s="67">
        <f>VLOOKUP($B289,選擇權未平倉餘額!$A$4:$I$500,9,FALSE)</f>
        <v>39.512700000000002</v>
      </c>
      <c r="V289" s="42">
        <f>VLOOKUP($B289,臺指選擇權P_C_Ratios!$A$4:$C$500,3,FALSE)</f>
        <v>1.5633000000000001</v>
      </c>
      <c r="W289" s="44">
        <f>VLOOKUP($B289,散戶多空比!$A$6:$L$500,12,FALSE)</f>
        <v>9.1843728581220016E-2</v>
      </c>
      <c r="X289" s="43">
        <f>VLOOKUP($B289,期貨大額交易人未沖銷部位!$A$4:$O$499,4,FALSE)</f>
        <v>-569</v>
      </c>
      <c r="Y289" s="43">
        <f>VLOOKUP($B289,期貨大額交易人未沖銷部位!$A$4:$O$499,7,FALSE)</f>
        <v>8025</v>
      </c>
      <c r="Z289" s="43">
        <f>VLOOKUP($B289,期貨大額交易人未沖銷部位!$A$4:$O$499,10,FALSE)</f>
        <v>-87</v>
      </c>
      <c r="AA289" s="43">
        <f>VLOOKUP($B289,期貨大額交易人未沖銷部位!$A$4:$O$499,13,FALSE)</f>
        <v>7211</v>
      </c>
      <c r="AB289" s="43">
        <f>VLOOKUP($B289,期貨大額交易人未沖銷部位!$A$4:$O$499,14,FALSE)</f>
        <v>482</v>
      </c>
      <c r="AC289" s="43">
        <f>VLOOKUP($B289,期貨大額交易人未沖銷部位!$A$4:$O$499,15,FALSE)</f>
        <v>-814</v>
      </c>
      <c r="AD289" s="36">
        <f>VLOOKUP($B289,三大美股走勢!$A$4:$J$495,4,FALSE)</f>
        <v>4.4000000000000003E-3</v>
      </c>
      <c r="AE289" s="36">
        <f>VLOOKUP($B289,三大美股走勢!$A$4:$J$495,7,FALSE)</f>
        <v>-1.2699999999999999E-2</v>
      </c>
      <c r="AF289" s="36">
        <f>VLOOKUP($B289,三大美股走勢!$A$4:$J$495,10,FALSE)</f>
        <v>-4.3900000000000002E-2</v>
      </c>
    </row>
    <row r="290" spans="2:32">
      <c r="B290" s="35">
        <v>43069</v>
      </c>
      <c r="C290" s="36">
        <f>VLOOKUP($B290,大盤與近月台指!$A$4:$I$499,2,FALSE)</f>
        <v>10560.44</v>
      </c>
      <c r="D290" s="37">
        <f>VLOOKUP($B290,大盤與近月台指!$A$4:$I$499,3,FALSE)</f>
        <v>-153.11000000000001</v>
      </c>
      <c r="E290" s="38">
        <f>VLOOKUP($B290,大盤與近月台指!$A$4:$I$499,4,FALSE)</f>
        <v>-1.43E-2</v>
      </c>
      <c r="F290" s="36" t="str">
        <f>VLOOKUP($B290,大盤與近月台指!$A$4:$I$499,5,FALSE)</f>
        <v>2299.18億</v>
      </c>
      <c r="G290" s="52">
        <f>VLOOKUP($B290,三大法人買賣超!$A$4:$I$500,3,FALSE)</f>
        <v>-9.6360932399999992</v>
      </c>
      <c r="H290" s="37">
        <f>VLOOKUP($B290,三大法人買賣超!$A$4:$I$500,5,FALSE)</f>
        <v>-4.1314189600000004</v>
      </c>
      <c r="I290" s="29">
        <f>VLOOKUP($B290,三大法人買賣超!$A$4:$I$500,7,FALSE)</f>
        <v>-16.194204679999999</v>
      </c>
      <c r="J290" s="29">
        <f>VLOOKUP($B290,三大法人買賣超!$A$4:$I$500,9,FALSE)</f>
        <v>-136.85550803000001</v>
      </c>
      <c r="K290" s="40">
        <f>新台幣匯率美元指數!B291</f>
        <v>30.01</v>
      </c>
      <c r="L290" s="41">
        <f>新台幣匯率美元指數!C291</f>
        <v>0.02</v>
      </c>
      <c r="M290" s="42">
        <f>新台幣匯率美元指數!D291</f>
        <v>93.046999999999997</v>
      </c>
      <c r="N290" s="29">
        <f>VLOOKUP($B290,期貨未平倉口數!$A$4:$M$499,4,FALSE)</f>
        <v>-4530.5</v>
      </c>
      <c r="O290" s="29">
        <f>VLOOKUP($B290,期貨未平倉口數!$A$4:$M$499,9,FALSE)</f>
        <v>36798</v>
      </c>
      <c r="P290" s="29">
        <f>VLOOKUP($B290,期貨未平倉口數!$A$4:$M$499,10,FALSE)</f>
        <v>-1988.5</v>
      </c>
      <c r="Q290" s="29">
        <f>VLOOKUP($B290,期貨未平倉口數!$A$4:$M$499,11,FALSE)</f>
        <v>-6033.5</v>
      </c>
      <c r="R290" s="67">
        <f>VLOOKUP($B290,選擇權未平倉餘額!$A$4:$I$500,6,FALSE)</f>
        <v>-8.7545999999999999</v>
      </c>
      <c r="S290" s="67">
        <f>VLOOKUP($B290,選擇權未平倉餘額!$A$4:$I$500,7,FALSE)</f>
        <v>-10.458299999999999</v>
      </c>
      <c r="T290" s="67">
        <f>VLOOKUP($B290,選擇權未平倉餘額!$A$4:$I$500,8,FALSE)</f>
        <v>29.467199999999998</v>
      </c>
      <c r="U290" s="67">
        <f>VLOOKUP($B290,選擇權未平倉餘額!$A$4:$I$500,9,FALSE)</f>
        <v>70.708699999999993</v>
      </c>
      <c r="V290" s="42">
        <f>VLOOKUP($B290,臺指選擇權P_C_Ratios!$A$4:$C$500,3,FALSE)</f>
        <v>1.3738999999999999</v>
      </c>
      <c r="W290" s="44">
        <f>VLOOKUP($B290,散戶多空比!$A$6:$L$500,12,FALSE)</f>
        <v>0.2804285486697467</v>
      </c>
      <c r="X290" s="43">
        <f>VLOOKUP($B290,期貨大額交易人未沖銷部位!$A$4:$O$499,4,FALSE)</f>
        <v>-4136</v>
      </c>
      <c r="Y290" s="43">
        <f>VLOOKUP($B290,期貨大額交易人未沖銷部位!$A$4:$O$499,7,FALSE)</f>
        <v>5737</v>
      </c>
      <c r="Z290" s="43">
        <f>VLOOKUP($B290,期貨大額交易人未沖銷部位!$A$4:$O$499,10,FALSE)</f>
        <v>-3655</v>
      </c>
      <c r="AA290" s="43">
        <f>VLOOKUP($B290,期貨大額交易人未沖銷部位!$A$4:$O$499,13,FALSE)</f>
        <v>4537</v>
      </c>
      <c r="AB290" s="43">
        <f>VLOOKUP($B290,期貨大額交易人未沖銷部位!$A$4:$O$499,14,FALSE)</f>
        <v>481</v>
      </c>
      <c r="AC290" s="43">
        <f>VLOOKUP($B290,期貨大額交易人未沖銷部位!$A$4:$O$499,15,FALSE)</f>
        <v>-1200</v>
      </c>
      <c r="AD290" s="36">
        <f>VLOOKUP($B290,三大美股走勢!$A$4:$J$495,4,FALSE)</f>
        <v>1.3899999999999999E-2</v>
      </c>
      <c r="AE290" s="36">
        <f>VLOOKUP($B290,三大美股走勢!$A$4:$J$495,7,FALSE)</f>
        <v>7.3000000000000001E-3</v>
      </c>
      <c r="AF290" s="36">
        <f>VLOOKUP($B290,三大美股走勢!$A$4:$J$495,10,FALSE)</f>
        <v>6.0000000000000001E-3</v>
      </c>
    </row>
    <row r="291" spans="2:32">
      <c r="B291" s="35">
        <v>43070</v>
      </c>
      <c r="C291" s="36">
        <f>VLOOKUP($B291,大盤與近月台指!$A$4:$I$499,2,FALSE)</f>
        <v>10600.37</v>
      </c>
      <c r="D291" s="37">
        <f>VLOOKUP($B291,大盤與近月台指!$A$4:$I$499,3,FALSE)</f>
        <v>39.93</v>
      </c>
      <c r="E291" s="38">
        <f>VLOOKUP($B291,大盤與近月台指!$A$4:$I$499,4,FALSE)</f>
        <v>3.8E-3</v>
      </c>
      <c r="F291" s="36" t="str">
        <f>VLOOKUP($B291,大盤與近月台指!$A$4:$I$499,5,FALSE)</f>
        <v>1791.26億</v>
      </c>
      <c r="G291" s="52">
        <f>VLOOKUP($B291,三大法人買賣超!$A$4:$I$500,3,FALSE)</f>
        <v>-6.9673990000000003</v>
      </c>
      <c r="H291" s="37">
        <f>VLOOKUP($B291,三大法人買賣超!$A$4:$I$500,5,FALSE)</f>
        <v>-24.3047617</v>
      </c>
      <c r="I291" s="29">
        <f>VLOOKUP($B291,三大法人買賣超!$A$4:$I$500,7,FALSE)</f>
        <v>-8.0131604900000006</v>
      </c>
      <c r="J291" s="29">
        <f>VLOOKUP($B291,三大法人買賣超!$A$4:$I$500,9,FALSE)</f>
        <v>-76.874296459999997</v>
      </c>
      <c r="K291" s="40">
        <f>新台幣匯率美元指數!B292</f>
        <v>30.027999999999999</v>
      </c>
      <c r="L291" s="41">
        <f>新台幣匯率美元指數!C292</f>
        <v>1.7999999999999999E-2</v>
      </c>
      <c r="M291" s="42">
        <f>新台幣匯率美元指數!D292</f>
        <v>0</v>
      </c>
      <c r="N291" s="29">
        <f>VLOOKUP($B291,期貨未平倉口數!$A$4:$M$499,4,FALSE)</f>
        <v>-4290.25</v>
      </c>
      <c r="O291" s="29">
        <f>VLOOKUP($B291,期貨未平倉口數!$A$4:$M$499,9,FALSE)</f>
        <v>39831</v>
      </c>
      <c r="P291" s="29">
        <f>VLOOKUP($B291,期貨未平倉口數!$A$4:$M$499,10,FALSE)</f>
        <v>1044.5</v>
      </c>
      <c r="Q291" s="29">
        <f>VLOOKUP($B291,期貨未平倉口數!$A$4:$M$499,11,FALSE)</f>
        <v>3033</v>
      </c>
      <c r="R291" s="67">
        <f>VLOOKUP($B291,選擇權未平倉餘額!$A$4:$I$500,6,FALSE)</f>
        <v>-4.0301999999999998</v>
      </c>
      <c r="S291" s="67">
        <f>VLOOKUP($B291,選擇權未平倉餘額!$A$4:$I$500,7,FALSE)</f>
        <v>-5.5991</v>
      </c>
      <c r="T291" s="67">
        <f>VLOOKUP($B291,選擇權未平倉餘額!$A$4:$I$500,8,FALSE)</f>
        <v>31.1966</v>
      </c>
      <c r="U291" s="67">
        <f>VLOOKUP($B291,選擇權未平倉餘額!$A$4:$I$500,9,FALSE)</f>
        <v>64.511399999999995</v>
      </c>
      <c r="V291" s="42">
        <f>VLOOKUP($B291,臺指選擇權P_C_Ratios!$A$4:$C$500,3,FALSE)</f>
        <v>1.3731</v>
      </c>
      <c r="W291" s="44">
        <f>VLOOKUP($B291,散戶多空比!$A$6:$L$500,12,FALSE)</f>
        <v>0.27012503211441297</v>
      </c>
      <c r="X291" s="43">
        <f>VLOOKUP($B291,期貨大額交易人未沖銷部位!$A$4:$O$499,4,FALSE)</f>
        <v>-1545</v>
      </c>
      <c r="Y291" s="43">
        <f>VLOOKUP($B291,期貨大額交易人未沖銷部位!$A$4:$O$499,7,FALSE)</f>
        <v>7081</v>
      </c>
      <c r="Z291" s="43">
        <f>VLOOKUP($B291,期貨大額交易人未沖銷部位!$A$4:$O$499,10,FALSE)</f>
        <v>-1760</v>
      </c>
      <c r="AA291" s="43">
        <f>VLOOKUP($B291,期貨大額交易人未沖銷部位!$A$4:$O$499,13,FALSE)</f>
        <v>5440</v>
      </c>
      <c r="AB291" s="43">
        <f>VLOOKUP($B291,期貨大額交易人未沖銷部位!$A$4:$O$499,14,FALSE)</f>
        <v>-215</v>
      </c>
      <c r="AC291" s="43">
        <f>VLOOKUP($B291,期貨大額交易人未沖銷部位!$A$4:$O$499,15,FALSE)</f>
        <v>-1641</v>
      </c>
      <c r="AD291" s="36">
        <f>VLOOKUP($B291,三大美股走勢!$A$4:$J$495,4,FALSE)</f>
        <v>-1.6999999999999999E-3</v>
      </c>
      <c r="AE291" s="36">
        <f>VLOOKUP($B291,三大美股走勢!$A$4:$J$495,7,FALSE)</f>
        <v>-3.8E-3</v>
      </c>
      <c r="AF291" s="36">
        <f>VLOOKUP($B291,三大美股走勢!$A$4:$J$495,10,FALSE)</f>
        <v>-1.09E-2</v>
      </c>
    </row>
    <row r="292" spans="2:32">
      <c r="B292" s="35">
        <v>43071</v>
      </c>
      <c r="C292" s="36">
        <f>VLOOKUP($B292,大盤與近月台指!$A$4:$I$499,2,FALSE)</f>
        <v>0</v>
      </c>
      <c r="D292" s="37">
        <f>VLOOKUP($B292,大盤與近月台指!$A$4:$I$499,3,FALSE)</f>
        <v>0</v>
      </c>
      <c r="E292" s="38">
        <f>VLOOKUP($B292,大盤與近月台指!$A$4:$I$499,4,FALSE)</f>
        <v>0</v>
      </c>
      <c r="F292" s="36">
        <f>VLOOKUP($B292,大盤與近月台指!$A$4:$I$499,5,FALSE)</f>
        <v>0</v>
      </c>
      <c r="G292" s="52">
        <f>VLOOKUP($B292,三大法人買賣超!$A$4:$I$500,3,FALSE)</f>
        <v>0</v>
      </c>
      <c r="H292" s="37">
        <f>VLOOKUP($B292,三大法人買賣超!$A$4:$I$500,5,FALSE)</f>
        <v>0</v>
      </c>
      <c r="I292" s="29">
        <f>VLOOKUP($B292,三大法人買賣超!$A$4:$I$500,7,FALSE)</f>
        <v>0</v>
      </c>
      <c r="J292" s="29">
        <f>VLOOKUP($B292,三大法人買賣超!$A$4:$I$500,9,FALSE)</f>
        <v>0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>
        <f>VLOOKUP($B292,期貨未平倉口數!$A$4:$M$499,4,FALSE)</f>
        <v>0</v>
      </c>
      <c r="O292" s="29">
        <f>VLOOKUP($B292,期貨未平倉口數!$A$4:$M$499,9,FALSE)</f>
        <v>0</v>
      </c>
      <c r="P292" s="29">
        <f>VLOOKUP($B292,期貨未平倉口數!$A$4:$M$499,10,FALSE)</f>
        <v>0</v>
      </c>
      <c r="Q292" s="29">
        <f>VLOOKUP($B292,期貨未平倉口數!$A$4:$M$499,11,FALSE)</f>
        <v>0</v>
      </c>
      <c r="R292" s="67">
        <f>VLOOKUP($B292,選擇權未平倉餘額!$A$4:$I$500,6,FALSE)</f>
        <v>0</v>
      </c>
      <c r="S292" s="67">
        <f>VLOOKUP($B292,選擇權未平倉餘額!$A$4:$I$500,7,FALSE)</f>
        <v>0</v>
      </c>
      <c r="T292" s="67">
        <f>VLOOKUP($B292,選擇權未平倉餘額!$A$4:$I$500,8,FALSE)</f>
        <v>0</v>
      </c>
      <c r="U292" s="67">
        <f>VLOOKUP($B292,選擇權未平倉餘額!$A$4:$I$500,9,FALSE)</f>
        <v>0</v>
      </c>
      <c r="V292" s="42">
        <f>VLOOKUP($B292,臺指選擇權P_C_Ratios!$A$4:$C$500,3,FALSE)</f>
        <v>0</v>
      </c>
      <c r="W292" s="44">
        <f>VLOOKUP($B292,散戶多空比!$A$6:$L$500,12,FALSE)</f>
        <v>0</v>
      </c>
      <c r="X292" s="43">
        <f>VLOOKUP($B292,期貨大額交易人未沖銷部位!$A$4:$O$499,4,FALSE)</f>
        <v>0</v>
      </c>
      <c r="Y292" s="43">
        <f>VLOOKUP($B292,期貨大額交易人未沖銷部位!$A$4:$O$499,7,FALSE)</f>
        <v>0</v>
      </c>
      <c r="Z292" s="43">
        <f>VLOOKUP($B292,期貨大額交易人未沖銷部位!$A$4:$O$499,10,FALSE)</f>
        <v>0</v>
      </c>
      <c r="AA292" s="43">
        <f>VLOOKUP($B292,期貨大額交易人未沖銷部位!$A$4:$O$499,13,FALSE)</f>
        <v>0</v>
      </c>
      <c r="AB292" s="43">
        <f>VLOOKUP($B292,期貨大額交易人未沖銷部位!$A$4:$O$499,14,FALSE)</f>
        <v>0</v>
      </c>
      <c r="AC292" s="43">
        <f>VLOOKUP($B292,期貨大額交易人未沖銷部位!$A$4:$O$499,15,FALSE)</f>
        <v>0</v>
      </c>
      <c r="AD292" s="36">
        <f>VLOOKUP($B292,三大美股走勢!$A$4:$J$495,4,FALSE)</f>
        <v>0</v>
      </c>
      <c r="AE292" s="36">
        <f>VLOOKUP($B292,三大美股走勢!$A$4:$J$495,7,FALSE)</f>
        <v>0</v>
      </c>
      <c r="AF292" s="36">
        <f>VLOOKUP($B292,三大美股走勢!$A$4:$J$495,10,FALSE)</f>
        <v>0</v>
      </c>
    </row>
    <row r="293" spans="2:32">
      <c r="B293" s="35">
        <v>43072</v>
      </c>
      <c r="C293" s="36">
        <f>VLOOKUP($B293,大盤與近月台指!$A$4:$I$499,2,FALSE)</f>
        <v>0</v>
      </c>
      <c r="D293" s="37">
        <f>VLOOKUP($B293,大盤與近月台指!$A$4:$I$499,3,FALSE)</f>
        <v>0</v>
      </c>
      <c r="E293" s="38">
        <f>VLOOKUP($B293,大盤與近月台指!$A$4:$I$499,4,FALSE)</f>
        <v>0</v>
      </c>
      <c r="F293" s="36">
        <f>VLOOKUP($B293,大盤與近月台指!$A$4:$I$499,5,FALSE)</f>
        <v>0</v>
      </c>
      <c r="G293" s="52">
        <f>VLOOKUP($B293,三大法人買賣超!$A$4:$I$500,3,FALSE)</f>
        <v>0</v>
      </c>
      <c r="H293" s="37">
        <f>VLOOKUP($B293,三大法人買賣超!$A$4:$I$500,5,FALSE)</f>
        <v>0</v>
      </c>
      <c r="I293" s="29">
        <f>VLOOKUP($B293,三大法人買賣超!$A$4:$I$500,7,FALSE)</f>
        <v>0</v>
      </c>
      <c r="J293" s="29">
        <f>VLOOKUP($B293,三大法人買賣超!$A$4:$I$500,9,FALSE)</f>
        <v>0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>
        <f>VLOOKUP($B293,期貨未平倉口數!$A$4:$M$499,4,FALSE)</f>
        <v>0</v>
      </c>
      <c r="O293" s="29">
        <f>VLOOKUP($B293,期貨未平倉口數!$A$4:$M$499,9,FALSE)</f>
        <v>0</v>
      </c>
      <c r="P293" s="29">
        <f>VLOOKUP($B293,期貨未平倉口數!$A$4:$M$499,10,FALSE)</f>
        <v>0</v>
      </c>
      <c r="Q293" s="29">
        <f>VLOOKUP($B293,期貨未平倉口數!$A$4:$M$499,11,FALSE)</f>
        <v>0</v>
      </c>
      <c r="R293" s="67">
        <f>VLOOKUP($B293,選擇權未平倉餘額!$A$4:$I$500,6,FALSE)</f>
        <v>0</v>
      </c>
      <c r="S293" s="67">
        <f>VLOOKUP($B293,選擇權未平倉餘額!$A$4:$I$500,7,FALSE)</f>
        <v>0</v>
      </c>
      <c r="T293" s="67">
        <f>VLOOKUP($B293,選擇權未平倉餘額!$A$4:$I$500,8,FALSE)</f>
        <v>0</v>
      </c>
      <c r="U293" s="67">
        <f>VLOOKUP($B293,選擇權未平倉餘額!$A$4:$I$500,9,FALSE)</f>
        <v>0</v>
      </c>
      <c r="V293" s="42">
        <f>VLOOKUP($B293,臺指選擇權P_C_Ratios!$A$4:$C$500,3,FALSE)</f>
        <v>0</v>
      </c>
      <c r="W293" s="44">
        <f>VLOOKUP($B293,散戶多空比!$A$6:$L$500,12,FALSE)</f>
        <v>0</v>
      </c>
      <c r="X293" s="43">
        <f>VLOOKUP($B293,期貨大額交易人未沖銷部位!$A$4:$O$499,4,FALSE)</f>
        <v>0</v>
      </c>
      <c r="Y293" s="43">
        <f>VLOOKUP($B293,期貨大額交易人未沖銷部位!$A$4:$O$499,7,FALSE)</f>
        <v>0</v>
      </c>
      <c r="Z293" s="43">
        <f>VLOOKUP($B293,期貨大額交易人未沖銷部位!$A$4:$O$499,10,FALSE)</f>
        <v>0</v>
      </c>
      <c r="AA293" s="43">
        <f>VLOOKUP($B293,期貨大額交易人未沖銷部位!$A$4:$O$499,13,FALSE)</f>
        <v>0</v>
      </c>
      <c r="AB293" s="43">
        <f>VLOOKUP($B293,期貨大額交易人未沖銷部位!$A$4:$O$499,14,FALSE)</f>
        <v>0</v>
      </c>
      <c r="AC293" s="43">
        <f>VLOOKUP($B293,期貨大額交易人未沖銷部位!$A$4:$O$499,15,FALSE)</f>
        <v>0</v>
      </c>
      <c r="AD293" s="36">
        <f>VLOOKUP($B293,三大美股走勢!$A$4:$J$495,4,FALSE)</f>
        <v>0</v>
      </c>
      <c r="AE293" s="36">
        <f>VLOOKUP($B293,三大美股走勢!$A$4:$J$495,7,FALSE)</f>
        <v>0</v>
      </c>
      <c r="AF293" s="36">
        <f>VLOOKUP($B293,三大美股走勢!$A$4:$J$495,10,FALSE)</f>
        <v>0</v>
      </c>
    </row>
    <row r="294" spans="2:32">
      <c r="B294" s="35">
        <v>43073</v>
      </c>
      <c r="C294" s="36">
        <f>VLOOKUP($B294,大盤與近月台指!$A$4:$I$499,2,FALSE)</f>
        <v>0</v>
      </c>
      <c r="D294" s="37">
        <f>VLOOKUP($B294,大盤與近月台指!$A$4:$I$499,3,FALSE)</f>
        <v>0</v>
      </c>
      <c r="E294" s="38">
        <f>VLOOKUP($B294,大盤與近月台指!$A$4:$I$499,4,FALSE)</f>
        <v>0</v>
      </c>
      <c r="F294" s="36">
        <f>VLOOKUP($B294,大盤與近月台指!$A$4:$I$499,5,FALSE)</f>
        <v>0</v>
      </c>
      <c r="G294" s="52">
        <f>VLOOKUP($B294,三大法人買賣超!$A$4:$I$500,3,FALSE)</f>
        <v>-4.1758880600000001</v>
      </c>
      <c r="H294" s="37">
        <f>VLOOKUP($B294,三大法人買賣超!$A$4:$I$500,5,FALSE)</f>
        <v>1.1534928600000001</v>
      </c>
      <c r="I294" s="29">
        <f>VLOOKUP($B294,三大法人買賣超!$A$4:$I$500,7,FALSE)</f>
        <v>-9.4326695100000002</v>
      </c>
      <c r="J294" s="29">
        <f>VLOOKUP($B294,三大法人買賣超!$A$4:$I$500,9,FALSE)</f>
        <v>-14.16163087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93.188000000000002</v>
      </c>
      <c r="N294" s="29">
        <f>VLOOKUP($B294,期貨未平倉口數!$A$4:$M$499,4,FALSE)</f>
        <v>-4161.25</v>
      </c>
      <c r="O294" s="29">
        <f>VLOOKUP($B294,期貨未平倉口數!$A$4:$M$499,9,FALSE)</f>
        <v>40949.25</v>
      </c>
      <c r="P294" s="29">
        <f>VLOOKUP($B294,期貨未平倉口數!$A$4:$M$499,10,FALSE)</f>
        <v>2162.75</v>
      </c>
      <c r="Q294" s="29">
        <f>VLOOKUP($B294,期貨未平倉口數!$A$4:$M$499,11,FALSE)</f>
        <v>1118.25</v>
      </c>
      <c r="R294" s="67">
        <f>VLOOKUP($B294,選擇權未平倉餘額!$A$4:$I$500,6,FALSE)</f>
        <v>-4.8539000000000003</v>
      </c>
      <c r="S294" s="67">
        <f>VLOOKUP($B294,選擇權未平倉餘額!$A$4:$I$500,7,FALSE)</f>
        <v>-8.8552999999999997</v>
      </c>
      <c r="T294" s="67">
        <f>VLOOKUP($B294,選擇權未平倉餘額!$A$4:$I$500,8,FALSE)</f>
        <v>34.094799999999999</v>
      </c>
      <c r="U294" s="67">
        <f>VLOOKUP($B294,選擇權未平倉餘額!$A$4:$I$500,9,FALSE)</f>
        <v>55.0227</v>
      </c>
      <c r="V294" s="42">
        <f>VLOOKUP($B294,臺指選擇權P_C_Ratios!$A$4:$C$500,3,FALSE)</f>
        <v>1.3775999999999999</v>
      </c>
      <c r="W294" s="44">
        <f>VLOOKUP($B294,散戶多空比!$A$6:$L$500,12,FALSE)</f>
        <v>0.21699713155084693</v>
      </c>
      <c r="X294" s="43">
        <f>VLOOKUP($B294,期貨大額交易人未沖銷部位!$A$4:$O$499,4,FALSE)</f>
        <v>-2819</v>
      </c>
      <c r="Y294" s="43">
        <f>VLOOKUP($B294,期貨大額交易人未沖銷部位!$A$4:$O$499,7,FALSE)</f>
        <v>6436</v>
      </c>
      <c r="Z294" s="43">
        <f>VLOOKUP($B294,期貨大額交易人未沖銷部位!$A$4:$O$499,10,FALSE)</f>
        <v>-2797</v>
      </c>
      <c r="AA294" s="43">
        <f>VLOOKUP($B294,期貨大額交易人未沖銷部位!$A$4:$O$499,13,FALSE)</f>
        <v>5215</v>
      </c>
      <c r="AB294" s="43">
        <f>VLOOKUP($B294,期貨大額交易人未沖銷部位!$A$4:$O$499,14,FALSE)</f>
        <v>22</v>
      </c>
      <c r="AC294" s="43">
        <f>VLOOKUP($B294,期貨大額交易人未沖銷部位!$A$4:$O$499,15,FALSE)</f>
        <v>-1221</v>
      </c>
      <c r="AD294" s="36">
        <f>VLOOKUP($B294,三大美股走勢!$A$4:$J$495,4,FALSE)</f>
        <v>2.3999999999999998E-3</v>
      </c>
      <c r="AE294" s="36">
        <f>VLOOKUP($B294,三大美股走勢!$A$4:$J$495,7,FALSE)</f>
        <v>-1.0500000000000001E-2</v>
      </c>
      <c r="AF294" s="36">
        <f>VLOOKUP($B294,三大美股走勢!$A$4:$J$495,10,FALSE)</f>
        <v>-2.4500000000000001E-2</v>
      </c>
    </row>
    <row r="295" spans="2:32">
      <c r="B295" s="35">
        <v>43074</v>
      </c>
      <c r="C295" s="36">
        <f>VLOOKUP($B295,大盤與近月台指!$A$4:$I$499,2,FALSE)</f>
        <v>10566.85</v>
      </c>
      <c r="D295" s="37">
        <f>VLOOKUP($B295,大盤與近月台指!$A$4:$I$499,3,FALSE)</f>
        <v>-84.26</v>
      </c>
      <c r="E295" s="38">
        <f>VLOOKUP($B295,大盤與近月台指!$A$4:$I$499,4,FALSE)</f>
        <v>-7.9000000000000008E-3</v>
      </c>
      <c r="F295" s="36" t="str">
        <f>VLOOKUP($B295,大盤與近月台指!$A$4:$I$499,5,FALSE)</f>
        <v>1446.21億</v>
      </c>
      <c r="G295" s="52">
        <f>VLOOKUP($B295,三大法人買賣超!$A$4:$I$500,3,FALSE)</f>
        <v>-8.4814160800000007</v>
      </c>
      <c r="H295" s="37">
        <f>VLOOKUP($B295,三大法人買賣超!$A$4:$I$500,5,FALSE)</f>
        <v>-12.771157499999999</v>
      </c>
      <c r="I295" s="29">
        <f>VLOOKUP($B295,三大法人買賣超!$A$4:$I$500,7,FALSE)</f>
        <v>-13.568872369999999</v>
      </c>
      <c r="J295" s="29">
        <f>VLOOKUP($B295,三大法人買賣超!$A$4:$I$500,9,FALSE)</f>
        <v>-5.6824742800000001</v>
      </c>
      <c r="K295" s="40">
        <f>新台幣匯率美元指數!B296</f>
        <v>29.992999999999999</v>
      </c>
      <c r="L295" s="41">
        <f>新台幣匯率美元指數!C296</f>
        <v>-4.2999999999999997E-2</v>
      </c>
      <c r="M295" s="42">
        <f>新台幣匯率美元指數!D296</f>
        <v>93.379000000000005</v>
      </c>
      <c r="N295" s="29">
        <f>VLOOKUP($B295,期貨未平倉口數!$A$4:$M$499,4,FALSE)</f>
        <v>-5285.25</v>
      </c>
      <c r="O295" s="29">
        <f>VLOOKUP($B295,期貨未平倉口數!$A$4:$M$499,9,FALSE)</f>
        <v>40616</v>
      </c>
      <c r="P295" s="29">
        <f>VLOOKUP($B295,期貨未平倉口數!$A$4:$M$499,10,FALSE)</f>
        <v>1829.5</v>
      </c>
      <c r="Q295" s="29">
        <f>VLOOKUP($B295,期貨未平倉口數!$A$4:$M$499,11,FALSE)</f>
        <v>-333.25</v>
      </c>
      <c r="R295" s="67">
        <f>VLOOKUP($B295,選擇權未平倉餘額!$A$4:$I$500,6,FALSE)</f>
        <v>-8.0089000000000006</v>
      </c>
      <c r="S295" s="67">
        <f>VLOOKUP($B295,選擇權未平倉餘額!$A$4:$I$500,7,FALSE)</f>
        <v>-12.623100000000001</v>
      </c>
      <c r="T295" s="67">
        <f>VLOOKUP($B295,選擇權未平倉餘額!$A$4:$I$500,8,FALSE)</f>
        <v>28.651199999999999</v>
      </c>
      <c r="U295" s="67">
        <f>VLOOKUP($B295,選擇權未平倉餘額!$A$4:$I$500,9,FALSE)</f>
        <v>71.193799999999996</v>
      </c>
      <c r="V295" s="42">
        <f>VLOOKUP($B295,臺指選擇權P_C_Ratios!$A$4:$C$500,3,FALSE)</f>
        <v>1.3144999999999998</v>
      </c>
      <c r="W295" s="44">
        <f>VLOOKUP($B295,散戶多空比!$A$6:$L$500,12,FALSE)</f>
        <v>0.2506068082887003</v>
      </c>
      <c r="X295" s="43">
        <f>VLOOKUP($B295,期貨大額交易人未沖銷部位!$A$4:$O$499,4,FALSE)</f>
        <v>-4888</v>
      </c>
      <c r="Y295" s="43">
        <f>VLOOKUP($B295,期貨大額交易人未沖銷部位!$A$4:$O$499,7,FALSE)</f>
        <v>5933</v>
      </c>
      <c r="Z295" s="43">
        <f>VLOOKUP($B295,期貨大額交易人未沖銷部位!$A$4:$O$499,10,FALSE)</f>
        <v>-4394</v>
      </c>
      <c r="AA295" s="43">
        <f>VLOOKUP($B295,期貨大額交易人未沖銷部位!$A$4:$O$499,13,FALSE)</f>
        <v>3731</v>
      </c>
      <c r="AB295" s="43">
        <f>VLOOKUP($B295,期貨大額交易人未沖銷部位!$A$4:$O$499,14,FALSE)</f>
        <v>494</v>
      </c>
      <c r="AC295" s="43">
        <f>VLOOKUP($B295,期貨大額交易人未沖銷部位!$A$4:$O$499,15,FALSE)</f>
        <v>-2202</v>
      </c>
      <c r="AD295" s="36">
        <f>VLOOKUP($B295,三大美股走勢!$A$4:$J$495,4,FALSE)</f>
        <v>-4.4999999999999997E-3</v>
      </c>
      <c r="AE295" s="36">
        <f>VLOOKUP($B295,三大美股走勢!$A$4:$J$495,7,FALSE)</f>
        <v>-1.9E-3</v>
      </c>
      <c r="AF295" s="36">
        <f>VLOOKUP($B295,三大美股走勢!$A$4:$J$495,10,FALSE)</f>
        <v>5.0000000000000001E-4</v>
      </c>
    </row>
    <row r="296" spans="2:32">
      <c r="B296" s="35">
        <v>43075</v>
      </c>
      <c r="C296" s="36">
        <f>VLOOKUP($B296,大盤與近月台指!$A$4:$I$499,2,FALSE)</f>
        <v>10393.92</v>
      </c>
      <c r="D296" s="37">
        <f>VLOOKUP($B296,大盤與近月台指!$A$4:$I$499,3,FALSE)</f>
        <v>-172.93</v>
      </c>
      <c r="E296" s="38">
        <f>VLOOKUP($B296,大盤與近月台指!$A$4:$I$499,4,FALSE)</f>
        <v>-1.6400000000000001E-2</v>
      </c>
      <c r="F296" s="36" t="str">
        <f>VLOOKUP($B296,大盤與近月台指!$A$4:$I$499,5,FALSE)</f>
        <v>1598.27億</v>
      </c>
      <c r="G296" s="52">
        <f>VLOOKUP($B296,三大法人買賣超!$A$4:$I$500,3,FALSE)</f>
        <v>-6.0149147699999999</v>
      </c>
      <c r="H296" s="37">
        <f>VLOOKUP($B296,三大法人買賣超!$A$4:$I$500,5,FALSE)</f>
        <v>-26.35390306</v>
      </c>
      <c r="I296" s="29">
        <f>VLOOKUP($B296,三大法人買賣超!$A$4:$I$500,7,FALSE)</f>
        <v>-4.9016878400000001</v>
      </c>
      <c r="J296" s="29">
        <f>VLOOKUP($B296,三大法人買賣超!$A$4:$I$500,9,FALSE)</f>
        <v>-110.3770751</v>
      </c>
      <c r="K296" s="40">
        <f>新台幣匯率美元指數!B297</f>
        <v>30.01</v>
      </c>
      <c r="L296" s="41">
        <f>新台幣匯率美元指數!C297</f>
        <v>1.7000000000000001E-2</v>
      </c>
      <c r="M296" s="42">
        <f>新台幣匯率美元指數!D297</f>
        <v>93.61</v>
      </c>
      <c r="N296" s="29">
        <f>VLOOKUP($B296,期貨未平倉口數!$A$4:$M$499,4,FALSE)</f>
        <v>-7789.5</v>
      </c>
      <c r="O296" s="29">
        <f>VLOOKUP($B296,期貨未平倉口數!$A$4:$M$499,9,FALSE)</f>
        <v>39426.5</v>
      </c>
      <c r="P296" s="29">
        <f>VLOOKUP($B296,期貨未平倉口數!$A$4:$M$499,10,FALSE)</f>
        <v>640</v>
      </c>
      <c r="Q296" s="29">
        <f>VLOOKUP($B296,期貨未平倉口數!$A$4:$M$499,11,FALSE)</f>
        <v>-1189.5</v>
      </c>
      <c r="R296" s="67">
        <f>VLOOKUP($B296,選擇權未平倉餘額!$A$4:$I$500,6,FALSE)</f>
        <v>-3.8473000000000002</v>
      </c>
      <c r="S296" s="67">
        <f>VLOOKUP($B296,選擇權未平倉餘額!$A$4:$I$500,7,FALSE)</f>
        <v>-33.608899999999998</v>
      </c>
      <c r="T296" s="67">
        <f>VLOOKUP($B296,選擇權未平倉餘額!$A$4:$I$500,8,FALSE)</f>
        <v>18.3935</v>
      </c>
      <c r="U296" s="67">
        <f>VLOOKUP($B296,選擇權未平倉餘額!$A$4:$I$500,9,FALSE)</f>
        <v>136.5658</v>
      </c>
      <c r="V296" s="42">
        <f>VLOOKUP($B296,臺指選擇權P_C_Ratios!$A$4:$C$500,3,FALSE)</f>
        <v>1.3182</v>
      </c>
      <c r="W296" s="44">
        <f>VLOOKUP($B296,散戶多空比!$A$6:$L$500,12,FALSE)</f>
        <v>0.37888626341935366</v>
      </c>
      <c r="X296" s="43">
        <f>VLOOKUP($B296,期貨大額交易人未沖銷部位!$A$4:$O$499,4,FALSE)</f>
        <v>-5499</v>
      </c>
      <c r="Y296" s="43">
        <f>VLOOKUP($B296,期貨大額交易人未沖銷部位!$A$4:$O$499,7,FALSE)</f>
        <v>4169</v>
      </c>
      <c r="Z296" s="43">
        <f>VLOOKUP($B296,期貨大額交易人未沖銷部位!$A$4:$O$499,10,FALSE)</f>
        <v>-4484</v>
      </c>
      <c r="AA296" s="43">
        <f>VLOOKUP($B296,期貨大額交易人未沖銷部位!$A$4:$O$499,13,FALSE)</f>
        <v>2151</v>
      </c>
      <c r="AB296" s="43">
        <f>VLOOKUP($B296,期貨大額交易人未沖銷部位!$A$4:$O$499,14,FALSE)</f>
        <v>1015</v>
      </c>
      <c r="AC296" s="43">
        <f>VLOOKUP($B296,期貨大額交易人未沖銷部位!$A$4:$O$499,15,FALSE)</f>
        <v>-2018</v>
      </c>
      <c r="AD296" s="36">
        <f>VLOOKUP($B296,三大美股走勢!$A$4:$J$495,4,FALSE)</f>
        <v>-1.6000000000000001E-3</v>
      </c>
      <c r="AE296" s="36">
        <f>VLOOKUP($B296,三大美股走勢!$A$4:$J$495,7,FALSE)</f>
        <v>2.0999999999999999E-3</v>
      </c>
      <c r="AF296" s="36">
        <f>VLOOKUP($B296,三大美股走勢!$A$4:$J$495,10,FALSE)</f>
        <v>1.6000000000000001E-3</v>
      </c>
    </row>
    <row r="297" spans="2:32">
      <c r="B297" s="35">
        <v>43076</v>
      </c>
      <c r="C297" s="36">
        <f>VLOOKUP($B297,大盤與近月台指!$A$4:$I$499,2,FALSE)</f>
        <v>10355.76</v>
      </c>
      <c r="D297" s="37">
        <f>VLOOKUP($B297,大盤與近月台指!$A$4:$I$499,3,FALSE)</f>
        <v>-38.159999999999997</v>
      </c>
      <c r="E297" s="38">
        <f>VLOOKUP($B297,大盤與近月台指!$A$4:$I$499,4,FALSE)</f>
        <v>-3.7000000000000002E-3</v>
      </c>
      <c r="F297" s="36" t="str">
        <f>VLOOKUP($B297,大盤與近月台指!$A$4:$I$499,5,FALSE)</f>
        <v>1375.14億</v>
      </c>
      <c r="G297" s="52">
        <f>VLOOKUP($B297,三大法人買賣超!$A$4:$I$500,3,FALSE)</f>
        <v>-5.8222080099999998</v>
      </c>
      <c r="H297" s="37">
        <f>VLOOKUP($B297,三大法人買賣超!$A$4:$I$500,5,FALSE)</f>
        <v>-6.9331550100000001</v>
      </c>
      <c r="I297" s="29">
        <f>VLOOKUP($B297,三大法人買賣超!$A$4:$I$500,7,FALSE)</f>
        <v>-8.5950567499999995</v>
      </c>
      <c r="J297" s="29">
        <f>VLOOKUP($B297,三大法人買賣超!$A$4:$I$500,9,FALSE)</f>
        <v>-67.558120090000003</v>
      </c>
      <c r="K297" s="40">
        <f>新台幣匯率美元指數!B298</f>
        <v>30.024999999999999</v>
      </c>
      <c r="L297" s="41">
        <f>新台幣匯率美元指數!C298</f>
        <v>1.4999999999999999E-2</v>
      </c>
      <c r="M297" s="42">
        <f>新台幣匯率美元指數!D298</f>
        <v>93.795000000000002</v>
      </c>
      <c r="N297" s="29">
        <f>VLOOKUP($B297,期貨未平倉口數!$A$4:$M$499,4,FALSE)</f>
        <v>-8572.5</v>
      </c>
      <c r="O297" s="29">
        <f>VLOOKUP($B297,期貨未平倉口數!$A$4:$M$499,9,FALSE)</f>
        <v>38808</v>
      </c>
      <c r="P297" s="29">
        <f>VLOOKUP($B297,期貨未平倉口數!$A$4:$M$499,10,FALSE)</f>
        <v>21.5</v>
      </c>
      <c r="Q297" s="29">
        <f>VLOOKUP($B297,期貨未平倉口數!$A$4:$M$499,11,FALSE)</f>
        <v>-618.5</v>
      </c>
      <c r="R297" s="67">
        <f>VLOOKUP($B297,選擇權未平倉餘額!$A$4:$I$500,6,FALSE)</f>
        <v>-1.4141999999999999</v>
      </c>
      <c r="S297" s="67">
        <f>VLOOKUP($B297,選擇權未平倉餘額!$A$4:$I$500,7,FALSE)</f>
        <v>-42.177</v>
      </c>
      <c r="T297" s="67">
        <f>VLOOKUP($B297,選擇權未平倉餘額!$A$4:$I$500,8,FALSE)</f>
        <v>16.9893</v>
      </c>
      <c r="U297" s="67">
        <f>VLOOKUP($B297,選擇權未平倉餘額!$A$4:$I$500,9,FALSE)</f>
        <v>131.59</v>
      </c>
      <c r="V297" s="42">
        <f>VLOOKUP($B297,臺指選擇權P_C_Ratios!$A$4:$C$500,3,FALSE)</f>
        <v>1.2617</v>
      </c>
      <c r="W297" s="44">
        <f>VLOOKUP($B297,散戶多空比!$A$6:$L$500,12,FALSE)</f>
        <v>0.36960775002374396</v>
      </c>
      <c r="X297" s="43">
        <f>VLOOKUP($B297,期貨大額交易人未沖銷部位!$A$4:$O$499,4,FALSE)</f>
        <v>-4394</v>
      </c>
      <c r="Y297" s="43">
        <f>VLOOKUP($B297,期貨大額交易人未沖銷部位!$A$4:$O$499,7,FALSE)</f>
        <v>4288</v>
      </c>
      <c r="Z297" s="43">
        <f>VLOOKUP($B297,期貨大額交易人未沖銷部位!$A$4:$O$499,10,FALSE)</f>
        <v>-3452</v>
      </c>
      <c r="AA297" s="43">
        <f>VLOOKUP($B297,期貨大額交易人未沖銷部位!$A$4:$O$499,13,FALSE)</f>
        <v>2528</v>
      </c>
      <c r="AB297" s="43">
        <f>VLOOKUP($B297,期貨大額交易人未沖銷部位!$A$4:$O$499,14,FALSE)</f>
        <v>942</v>
      </c>
      <c r="AC297" s="43">
        <f>VLOOKUP($B297,期貨大額交易人未沖銷部位!$A$4:$O$499,15,FALSE)</f>
        <v>-1760</v>
      </c>
      <c r="AD297" s="36">
        <f>VLOOKUP($B297,三大美股走勢!$A$4:$J$495,4,FALSE)</f>
        <v>2.8999999999999998E-3</v>
      </c>
      <c r="AE297" s="36">
        <f>VLOOKUP($B297,三大美股走勢!$A$4:$J$495,7,FALSE)</f>
        <v>5.4000000000000003E-3</v>
      </c>
      <c r="AF297" s="36">
        <f>VLOOKUP($B297,三大美股走勢!$A$4:$J$495,10,FALSE)</f>
        <v>1.04E-2</v>
      </c>
    </row>
    <row r="298" spans="2:32">
      <c r="B298" s="35">
        <v>43077</v>
      </c>
      <c r="C298" s="36">
        <f>VLOOKUP($B298,大盤與近月台指!$A$4:$I$499,2,FALSE)</f>
        <v>10398.620000000001</v>
      </c>
      <c r="D298" s="37">
        <f>VLOOKUP($B298,大盤與近月台指!$A$4:$I$499,3,FALSE)</f>
        <v>42.86</v>
      </c>
      <c r="E298" s="38">
        <f>VLOOKUP($B298,大盤與近月台指!$A$4:$I$499,4,FALSE)</f>
        <v>4.1000000000000003E-3</v>
      </c>
      <c r="F298" s="36" t="str">
        <f>VLOOKUP($B298,大盤與近月台指!$A$4:$I$499,5,FALSE)</f>
        <v>1298.22億</v>
      </c>
      <c r="G298" s="52">
        <f>VLOOKUP($B298,三大法人買賣超!$A$4:$I$500,3,FALSE)</f>
        <v>-7.39784241</v>
      </c>
      <c r="H298" s="37">
        <f>VLOOKUP($B298,三大法人買賣超!$A$4:$I$500,5,FALSE)</f>
        <v>9.6161147899999992</v>
      </c>
      <c r="I298" s="29">
        <f>VLOOKUP($B298,三大法人買賣超!$A$4:$I$500,7,FALSE)</f>
        <v>0.14663055</v>
      </c>
      <c r="J298" s="29">
        <f>VLOOKUP($B298,三大法人買賣超!$A$4:$I$500,9,FALSE)</f>
        <v>-23.685830800000002</v>
      </c>
      <c r="K298" s="40">
        <f>新台幣匯率美元指數!B299</f>
        <v>30.015000000000001</v>
      </c>
      <c r="L298" s="41">
        <f>新台幣匯率美元指數!C299</f>
        <v>-0.01</v>
      </c>
      <c r="M298" s="42">
        <f>新台幣匯率美元指數!D299</f>
        <v>93.900999999999996</v>
      </c>
      <c r="N298" s="29">
        <f>VLOOKUP($B298,期貨未平倉口數!$A$4:$M$499,4,FALSE)</f>
        <v>-7779.5</v>
      </c>
      <c r="O298" s="29">
        <f>VLOOKUP($B298,期貨未平倉口數!$A$4:$M$499,9,FALSE)</f>
        <v>36211.75</v>
      </c>
      <c r="P298" s="29">
        <f>VLOOKUP($B298,期貨未平倉口數!$A$4:$M$499,10,FALSE)</f>
        <v>-2574.75</v>
      </c>
      <c r="Q298" s="29">
        <f>VLOOKUP($B298,期貨未平倉口數!$A$4:$M$499,11,FALSE)</f>
        <v>-2596.25</v>
      </c>
      <c r="R298" s="67">
        <f>VLOOKUP($B298,選擇權未平倉餘額!$A$4:$I$500,6,FALSE)</f>
        <v>1.89E-2</v>
      </c>
      <c r="S298" s="67">
        <f>VLOOKUP($B298,選擇權未平倉餘額!$A$4:$I$500,7,FALSE)</f>
        <v>-36.178699999999999</v>
      </c>
      <c r="T298" s="67">
        <f>VLOOKUP($B298,選擇權未平倉餘額!$A$4:$I$500,8,FALSE)</f>
        <v>18.330500000000001</v>
      </c>
      <c r="U298" s="67">
        <f>VLOOKUP($B298,選擇權未平倉餘額!$A$4:$I$500,9,FALSE)</f>
        <v>109.26949999999999</v>
      </c>
      <c r="V298" s="42">
        <f>VLOOKUP($B298,臺指選擇權P_C_Ratios!$A$4:$C$500,3,FALSE)</f>
        <v>1.2587999999999999</v>
      </c>
      <c r="W298" s="44">
        <f>VLOOKUP($B298,散戶多空比!$A$6:$L$500,12,FALSE)</f>
        <v>0.37701153975574514</v>
      </c>
      <c r="X298" s="43">
        <f>VLOOKUP($B298,期貨大額交易人未沖銷部位!$A$4:$O$499,4,FALSE)</f>
        <v>-5698</v>
      </c>
      <c r="Y298" s="43">
        <f>VLOOKUP($B298,期貨大額交易人未沖銷部位!$A$4:$O$499,7,FALSE)</f>
        <v>1002</v>
      </c>
      <c r="Z298" s="43">
        <f>VLOOKUP($B298,期貨大額交易人未沖銷部位!$A$4:$O$499,10,FALSE)</f>
        <v>-3504</v>
      </c>
      <c r="AA298" s="43">
        <f>VLOOKUP($B298,期貨大額交易人未沖銷部位!$A$4:$O$499,13,FALSE)</f>
        <v>721</v>
      </c>
      <c r="AB298" s="43">
        <f>VLOOKUP($B298,期貨大額交易人未沖銷部位!$A$4:$O$499,14,FALSE)</f>
        <v>2194</v>
      </c>
      <c r="AC298" s="43">
        <f>VLOOKUP($B298,期貨大額交易人未沖銷部位!$A$4:$O$499,15,FALSE)</f>
        <v>-281</v>
      </c>
      <c r="AD298" s="36">
        <f>VLOOKUP($B298,三大美股走勢!$A$4:$J$495,4,FALSE)</f>
        <v>4.8999999999999998E-3</v>
      </c>
      <c r="AE298" s="36">
        <f>VLOOKUP($B298,三大美股走勢!$A$4:$J$495,7,FALSE)</f>
        <v>4.0000000000000001E-3</v>
      </c>
      <c r="AF298" s="36">
        <f>VLOOKUP($B298,三大美股走勢!$A$4:$J$495,10,FALSE)</f>
        <v>-5.0000000000000001E-3</v>
      </c>
    </row>
    <row r="299" spans="2:32">
      <c r="B299" s="35">
        <v>43078</v>
      </c>
      <c r="C299" s="36">
        <f>VLOOKUP($B299,大盤與近月台指!$A$4:$I$499,2,FALSE)</f>
        <v>0</v>
      </c>
      <c r="D299" s="37">
        <f>VLOOKUP($B299,大盤與近月台指!$A$4:$I$499,3,FALSE)</f>
        <v>0</v>
      </c>
      <c r="E299" s="38">
        <f>VLOOKUP($B299,大盤與近月台指!$A$4:$I$499,4,FALSE)</f>
        <v>0</v>
      </c>
      <c r="F299" s="36">
        <f>VLOOKUP($B299,大盤與近月台指!$A$4:$I$499,5,FALSE)</f>
        <v>0</v>
      </c>
      <c r="G299" s="52">
        <f>VLOOKUP($B299,三大法人買賣超!$A$4:$I$500,3,FALSE)</f>
        <v>0</v>
      </c>
      <c r="H299" s="37">
        <f>VLOOKUP($B299,三大法人買賣超!$A$4:$I$500,5,FALSE)</f>
        <v>0</v>
      </c>
      <c r="I299" s="29">
        <f>VLOOKUP($B299,三大法人買賣超!$A$4:$I$500,7,FALSE)</f>
        <v>0</v>
      </c>
      <c r="J299" s="29">
        <f>VLOOKUP($B299,三大法人買賣超!$A$4:$I$500,9,FALSE)</f>
        <v>0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>
        <f>VLOOKUP($B299,期貨未平倉口數!$A$4:$M$499,4,FALSE)</f>
        <v>0</v>
      </c>
      <c r="O299" s="29">
        <f>VLOOKUP($B299,期貨未平倉口數!$A$4:$M$499,9,FALSE)</f>
        <v>0</v>
      </c>
      <c r="P299" s="29">
        <f>VLOOKUP($B299,期貨未平倉口數!$A$4:$M$499,10,FALSE)</f>
        <v>0</v>
      </c>
      <c r="Q299" s="29">
        <f>VLOOKUP($B299,期貨未平倉口數!$A$4:$M$499,11,FALSE)</f>
        <v>0</v>
      </c>
      <c r="R299" s="67">
        <f>VLOOKUP($B299,選擇權未平倉餘額!$A$4:$I$500,6,FALSE)</f>
        <v>0</v>
      </c>
      <c r="S299" s="67">
        <f>VLOOKUP($B299,選擇權未平倉餘額!$A$4:$I$500,7,FALSE)</f>
        <v>0</v>
      </c>
      <c r="T299" s="67">
        <f>VLOOKUP($B299,選擇權未平倉餘額!$A$4:$I$500,8,FALSE)</f>
        <v>0</v>
      </c>
      <c r="U299" s="67">
        <f>VLOOKUP($B299,選擇權未平倉餘額!$A$4:$I$500,9,FALSE)</f>
        <v>0</v>
      </c>
      <c r="V299" s="42">
        <f>VLOOKUP($B299,臺指選擇權P_C_Ratios!$A$4:$C$500,3,FALSE)</f>
        <v>0</v>
      </c>
      <c r="W299" s="44">
        <f>VLOOKUP($B299,散戶多空比!$A$6:$L$500,12,FALSE)</f>
        <v>0</v>
      </c>
      <c r="X299" s="43">
        <f>VLOOKUP($B299,期貨大額交易人未沖銷部位!$A$4:$O$499,4,FALSE)</f>
        <v>0</v>
      </c>
      <c r="Y299" s="43">
        <f>VLOOKUP($B299,期貨大額交易人未沖銷部位!$A$4:$O$499,7,FALSE)</f>
        <v>0</v>
      </c>
      <c r="Z299" s="43">
        <f>VLOOKUP($B299,期貨大額交易人未沖銷部位!$A$4:$O$499,10,FALSE)</f>
        <v>0</v>
      </c>
      <c r="AA299" s="43">
        <f>VLOOKUP($B299,期貨大額交易人未沖銷部位!$A$4:$O$499,13,FALSE)</f>
        <v>0</v>
      </c>
      <c r="AB299" s="43">
        <f>VLOOKUP($B299,期貨大額交易人未沖銷部位!$A$4:$O$499,14,FALSE)</f>
        <v>0</v>
      </c>
      <c r="AC299" s="43">
        <f>VLOOKUP($B299,期貨大額交易人未沖銷部位!$A$4:$O$499,15,FALSE)</f>
        <v>0</v>
      </c>
      <c r="AD299" s="36">
        <f>VLOOKUP($B299,三大美股走勢!$A$4:$J$495,4,FALSE)</f>
        <v>0</v>
      </c>
      <c r="AE299" s="36">
        <f>VLOOKUP($B299,三大美股走勢!$A$4:$J$495,7,FALSE)</f>
        <v>0</v>
      </c>
      <c r="AF299" s="36">
        <f>VLOOKUP($B299,三大美股走勢!$A$4:$J$495,10,FALSE)</f>
        <v>0</v>
      </c>
    </row>
    <row r="300" spans="2:32">
      <c r="B300" s="35">
        <v>43079</v>
      </c>
      <c r="C300" s="36">
        <f>VLOOKUP($B300,大盤與近月台指!$A$4:$I$499,2,FALSE)</f>
        <v>0</v>
      </c>
      <c r="D300" s="37">
        <f>VLOOKUP($B300,大盤與近月台指!$A$4:$I$499,3,FALSE)</f>
        <v>0</v>
      </c>
      <c r="E300" s="38">
        <f>VLOOKUP($B300,大盤與近月台指!$A$4:$I$499,4,FALSE)</f>
        <v>0</v>
      </c>
      <c r="F300" s="36">
        <f>VLOOKUP($B300,大盤與近月台指!$A$4:$I$499,5,FALSE)</f>
        <v>0</v>
      </c>
      <c r="G300" s="52">
        <f>VLOOKUP($B300,三大法人買賣超!$A$4:$I$500,3,FALSE)</f>
        <v>0</v>
      </c>
      <c r="H300" s="37">
        <f>VLOOKUP($B300,三大法人買賣超!$A$4:$I$500,5,FALSE)</f>
        <v>0</v>
      </c>
      <c r="I300" s="29">
        <f>VLOOKUP($B300,三大法人買賣超!$A$4:$I$500,7,FALSE)</f>
        <v>0</v>
      </c>
      <c r="J300" s="29">
        <f>VLOOKUP($B300,三大法人買賣超!$A$4:$I$500,9,FALSE)</f>
        <v>0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>
        <f>VLOOKUP($B300,期貨未平倉口數!$A$4:$M$499,4,FALSE)</f>
        <v>0</v>
      </c>
      <c r="O300" s="29">
        <f>VLOOKUP($B300,期貨未平倉口數!$A$4:$M$499,9,FALSE)</f>
        <v>0</v>
      </c>
      <c r="P300" s="29">
        <f>VLOOKUP($B300,期貨未平倉口數!$A$4:$M$499,10,FALSE)</f>
        <v>0</v>
      </c>
      <c r="Q300" s="29">
        <f>VLOOKUP($B300,期貨未平倉口數!$A$4:$M$499,11,FALSE)</f>
        <v>0</v>
      </c>
      <c r="R300" s="67">
        <f>VLOOKUP($B300,選擇權未平倉餘額!$A$4:$I$500,6,FALSE)</f>
        <v>0</v>
      </c>
      <c r="S300" s="67">
        <f>VLOOKUP($B300,選擇權未平倉餘額!$A$4:$I$500,7,FALSE)</f>
        <v>0</v>
      </c>
      <c r="T300" s="67">
        <f>VLOOKUP($B300,選擇權未平倉餘額!$A$4:$I$500,8,FALSE)</f>
        <v>0</v>
      </c>
      <c r="U300" s="67">
        <f>VLOOKUP($B300,選擇權未平倉餘額!$A$4:$I$500,9,FALSE)</f>
        <v>0</v>
      </c>
      <c r="V300" s="42">
        <f>VLOOKUP($B300,臺指選擇權P_C_Ratios!$A$4:$C$500,3,FALSE)</f>
        <v>0</v>
      </c>
      <c r="W300" s="44">
        <f>VLOOKUP($B300,散戶多空比!$A$6:$L$500,12,FALSE)</f>
        <v>0</v>
      </c>
      <c r="X300" s="43">
        <f>VLOOKUP($B300,期貨大額交易人未沖銷部位!$A$4:$O$499,4,FALSE)</f>
        <v>0</v>
      </c>
      <c r="Y300" s="43">
        <f>VLOOKUP($B300,期貨大額交易人未沖銷部位!$A$4:$O$499,7,FALSE)</f>
        <v>0</v>
      </c>
      <c r="Z300" s="43">
        <f>VLOOKUP($B300,期貨大額交易人未沖銷部位!$A$4:$O$499,10,FALSE)</f>
        <v>0</v>
      </c>
      <c r="AA300" s="43">
        <f>VLOOKUP($B300,期貨大額交易人未沖銷部位!$A$4:$O$499,13,FALSE)</f>
        <v>0</v>
      </c>
      <c r="AB300" s="43">
        <f>VLOOKUP($B300,期貨大額交易人未沖銷部位!$A$4:$O$499,14,FALSE)</f>
        <v>0</v>
      </c>
      <c r="AC300" s="43">
        <f>VLOOKUP($B300,期貨大額交易人未沖銷部位!$A$4:$O$499,15,FALSE)</f>
        <v>0</v>
      </c>
      <c r="AD300" s="36">
        <f>VLOOKUP($B300,三大美股走勢!$A$4:$J$495,4,FALSE)</f>
        <v>0</v>
      </c>
      <c r="AE300" s="36">
        <f>VLOOKUP($B300,三大美股走勢!$A$4:$J$495,7,FALSE)</f>
        <v>0</v>
      </c>
      <c r="AF300" s="36">
        <f>VLOOKUP($B300,三大美股走勢!$A$4:$J$495,10,FALSE)</f>
        <v>0</v>
      </c>
    </row>
    <row r="301" spans="2:32">
      <c r="B301" s="35">
        <v>43080</v>
      </c>
      <c r="C301" s="36">
        <f>VLOOKUP($B301,大盤與近月台指!$A$4:$I$499,2,FALSE)</f>
        <v>10473.09</v>
      </c>
      <c r="D301" s="37">
        <f>VLOOKUP($B301,大盤與近月台指!$A$4:$I$499,3,FALSE)</f>
        <v>74.47</v>
      </c>
      <c r="E301" s="38">
        <f>VLOOKUP($B301,大盤與近月台指!$A$4:$I$499,4,FALSE)</f>
        <v>7.1999999999999998E-3</v>
      </c>
      <c r="F301" s="36" t="str">
        <f>VLOOKUP($B301,大盤與近月台指!$A$4:$I$499,5,FALSE)</f>
        <v>1167.56億</v>
      </c>
      <c r="G301" s="52">
        <f>VLOOKUP($B301,三大法人買賣超!$A$4:$I$500,3,FALSE)</f>
        <v>-1.85263394</v>
      </c>
      <c r="H301" s="37">
        <f>VLOOKUP($B301,三大法人買賣超!$A$4:$I$500,5,FALSE)</f>
        <v>21.822435760000001</v>
      </c>
      <c r="I301" s="29">
        <f>VLOOKUP($B301,三大法人買賣超!$A$4:$I$500,7,FALSE)</f>
        <v>5.8708191799999998</v>
      </c>
      <c r="J301" s="29">
        <f>VLOOKUP($B301,三大法人買賣超!$A$4:$I$500,9,FALSE)</f>
        <v>-37.751740329999997</v>
      </c>
      <c r="K301" s="40">
        <f>新台幣匯率美元指數!B302</f>
        <v>30.018000000000001</v>
      </c>
      <c r="L301" s="41">
        <f>新台幣匯率美元指數!C302</f>
        <v>3.0000000000000001E-3</v>
      </c>
      <c r="M301" s="42">
        <f>新台幣匯率美元指數!D302</f>
        <v>0</v>
      </c>
      <c r="N301" s="29">
        <f>VLOOKUP($B301,期貨未平倉口數!$A$4:$M$499,4,FALSE)</f>
        <v>-7699.75</v>
      </c>
      <c r="O301" s="29">
        <f>VLOOKUP($B301,期貨未平倉口數!$A$4:$M$499,9,FALSE)</f>
        <v>38441.75</v>
      </c>
      <c r="P301" s="29">
        <f>VLOOKUP($B301,期貨未平倉口數!$A$4:$M$499,10,FALSE)</f>
        <v>-344.75</v>
      </c>
      <c r="Q301" s="29">
        <f>VLOOKUP($B301,期貨未平倉口數!$A$4:$M$499,11,FALSE)</f>
        <v>2230</v>
      </c>
      <c r="R301" s="67">
        <f>VLOOKUP($B301,選擇權未平倉餘額!$A$4:$I$500,6,FALSE)</f>
        <v>3.4178000000000002</v>
      </c>
      <c r="S301" s="67">
        <f>VLOOKUP($B301,選擇權未平倉餘額!$A$4:$I$500,7,FALSE)</f>
        <v>-29.407299999999999</v>
      </c>
      <c r="T301" s="67">
        <f>VLOOKUP($B301,選擇權未平倉餘額!$A$4:$I$500,8,FALSE)</f>
        <v>23.196200000000001</v>
      </c>
      <c r="U301" s="67">
        <f>VLOOKUP($B301,選擇權未平倉餘額!$A$4:$I$500,9,FALSE)</f>
        <v>80.748800000000003</v>
      </c>
      <c r="V301" s="42">
        <f>VLOOKUP($B301,臺指選擇權P_C_Ratios!$A$4:$C$500,3,FALSE)</f>
        <v>1.3300999999999998</v>
      </c>
      <c r="W301" s="44">
        <f>VLOOKUP($B301,散戶多空比!$A$6:$L$500,12,FALSE)</f>
        <v>0.35319303631296201</v>
      </c>
      <c r="X301" s="43">
        <f>VLOOKUP($B301,期貨大額交易人未沖銷部位!$A$4:$O$499,4,FALSE)</f>
        <v>-5857</v>
      </c>
      <c r="Y301" s="43">
        <f>VLOOKUP($B301,期貨大額交易人未沖銷部位!$A$4:$O$499,7,FALSE)</f>
        <v>1006</v>
      </c>
      <c r="Z301" s="43">
        <f>VLOOKUP($B301,期貨大額交易人未沖銷部位!$A$4:$O$499,10,FALSE)</f>
        <v>-3595</v>
      </c>
      <c r="AA301" s="43">
        <f>VLOOKUP($B301,期貨大額交易人未沖銷部位!$A$4:$O$499,13,FALSE)</f>
        <v>-398</v>
      </c>
      <c r="AB301" s="43">
        <f>VLOOKUP($B301,期貨大額交易人未沖銷部位!$A$4:$O$499,14,FALSE)</f>
        <v>2262</v>
      </c>
      <c r="AC301" s="43">
        <f>VLOOKUP($B301,期貨大額交易人未沖銷部位!$A$4:$O$499,15,FALSE)</f>
        <v>-1404</v>
      </c>
      <c r="AD301" s="36">
        <f>VLOOKUP($B301,三大美股走勢!$A$4:$J$495,4,FALSE)</f>
        <v>0</v>
      </c>
      <c r="AE301" s="36">
        <f>VLOOKUP($B301,三大美股走勢!$A$4:$J$495,7,FALSE)</f>
        <v>0</v>
      </c>
      <c r="AF301" s="36">
        <f>VLOOKUP($B301,三大美股走勢!$A$4:$J$495,10,FALSE)</f>
        <v>0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>
        <f>VLOOKUP($B302,期貨未平倉口數!$A$4:$M$499,4,FALSE)</f>
        <v>0</v>
      </c>
      <c r="O302" s="29">
        <f>VLOOKUP($B302,期貨未平倉口數!$A$4:$M$499,9,FALSE)</f>
        <v>0</v>
      </c>
      <c r="P302" s="29">
        <f>VLOOKUP($B302,期貨未平倉口數!$A$4:$M$499,10,FALSE)</f>
        <v>-38786.5</v>
      </c>
      <c r="Q302" s="29">
        <f>VLOOKUP($B302,期貨未平倉口數!$A$4:$M$499,11,FALSE)</f>
        <v>-38441.75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02"/>
  <sheetViews>
    <sheetView workbookViewId="0">
      <pane ySplit="3" topLeftCell="A291" activePane="bottomLeft" state="frozen"/>
      <selection pane="bottomLeft" activeCell="I307" sqref="I307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  <row r="290" spans="1:9">
      <c r="A290" s="9">
        <v>43068</v>
      </c>
      <c r="B290" s="60">
        <v>10713.55</v>
      </c>
      <c r="C290" s="60">
        <v>6.48</v>
      </c>
      <c r="D290" s="46">
        <v>5.9999999999999995E-4</v>
      </c>
      <c r="E290" s="74" t="s">
        <v>172</v>
      </c>
      <c r="F290" s="75">
        <v>10738</v>
      </c>
      <c r="G290" s="23">
        <v>10</v>
      </c>
      <c r="H290" s="47">
        <v>8.9999999999999998E-4</v>
      </c>
      <c r="I290" s="45" t="s">
        <v>173</v>
      </c>
    </row>
    <row r="291" spans="1:9">
      <c r="A291" s="9">
        <v>43069</v>
      </c>
      <c r="B291" s="60">
        <v>10560.44</v>
      </c>
      <c r="C291" s="60">
        <v>-153.11000000000001</v>
      </c>
      <c r="D291" s="46">
        <v>-1.43E-2</v>
      </c>
      <c r="E291" s="74" t="s">
        <v>175</v>
      </c>
      <c r="F291" s="75">
        <v>10576</v>
      </c>
      <c r="G291" s="23">
        <v>0</v>
      </c>
      <c r="H291" s="47">
        <v>0</v>
      </c>
      <c r="I291" s="45" t="s">
        <v>176</v>
      </c>
    </row>
    <row r="292" spans="1:9">
      <c r="A292" s="9">
        <v>43070</v>
      </c>
      <c r="B292" s="60">
        <v>10600.37</v>
      </c>
      <c r="C292" s="60">
        <v>39.93</v>
      </c>
      <c r="D292" s="46">
        <v>3.8E-3</v>
      </c>
      <c r="E292" s="74" t="s">
        <v>177</v>
      </c>
      <c r="F292" s="75">
        <v>10564</v>
      </c>
      <c r="G292" s="23">
        <v>-39</v>
      </c>
      <c r="H292" s="47">
        <v>-3.7000000000000002E-3</v>
      </c>
      <c r="I292" s="45" t="s">
        <v>178</v>
      </c>
    </row>
    <row r="293" spans="1:9">
      <c r="A293" s="9">
        <v>43071</v>
      </c>
      <c r="B293" s="60"/>
      <c r="C293" s="60"/>
      <c r="D293" s="46"/>
      <c r="E293" s="74"/>
      <c r="F293" s="75"/>
      <c r="G293" s="23"/>
      <c r="H293" s="47"/>
      <c r="I293" s="45"/>
    </row>
    <row r="294" spans="1:9">
      <c r="A294" s="9">
        <v>43072</v>
      </c>
      <c r="B294" s="60"/>
      <c r="C294" s="60"/>
      <c r="D294" s="46"/>
      <c r="E294" s="74"/>
      <c r="F294" s="75"/>
      <c r="G294" s="23"/>
      <c r="H294" s="47"/>
      <c r="I294" s="45"/>
    </row>
    <row r="295" spans="1:9">
      <c r="A295" s="9">
        <v>43073</v>
      </c>
      <c r="B295" s="60"/>
      <c r="C295" s="60"/>
      <c r="D295" s="46"/>
      <c r="E295" s="74"/>
      <c r="F295" s="75"/>
      <c r="G295" s="23"/>
      <c r="H295" s="47"/>
      <c r="I295" s="45"/>
    </row>
    <row r="296" spans="1:9">
      <c r="A296" s="9">
        <v>43074</v>
      </c>
      <c r="B296" s="60">
        <v>10566.85</v>
      </c>
      <c r="C296" s="60">
        <v>-84.26</v>
      </c>
      <c r="D296" s="46">
        <v>-7.9000000000000008E-3</v>
      </c>
      <c r="E296" s="74" t="s">
        <v>179</v>
      </c>
      <c r="F296" s="75">
        <v>10563</v>
      </c>
      <c r="G296" s="23">
        <v>-8</v>
      </c>
      <c r="H296" s="47">
        <v>-8.0000000000000004E-4</v>
      </c>
      <c r="I296" s="45" t="s">
        <v>180</v>
      </c>
    </row>
    <row r="297" spans="1:9">
      <c r="A297" s="9">
        <v>43075</v>
      </c>
      <c r="B297" s="60">
        <v>10393.92</v>
      </c>
      <c r="C297" s="60">
        <v>-172.93</v>
      </c>
      <c r="D297" s="46">
        <v>-1.6400000000000001E-2</v>
      </c>
      <c r="E297" s="74" t="s">
        <v>181</v>
      </c>
      <c r="F297" s="75">
        <v>10346</v>
      </c>
      <c r="G297" s="23">
        <v>-38</v>
      </c>
      <c r="H297" s="47">
        <v>-3.7000000000000002E-3</v>
      </c>
      <c r="I297" s="45" t="s">
        <v>182</v>
      </c>
    </row>
    <row r="298" spans="1:9">
      <c r="A298" s="9">
        <v>43076</v>
      </c>
      <c r="B298" s="60">
        <v>10355.76</v>
      </c>
      <c r="C298" s="60">
        <v>-38.159999999999997</v>
      </c>
      <c r="D298" s="46">
        <v>-3.7000000000000002E-3</v>
      </c>
      <c r="E298" s="74" t="s">
        <v>183</v>
      </c>
      <c r="F298" s="75">
        <v>10348</v>
      </c>
      <c r="G298" s="23">
        <v>-17</v>
      </c>
      <c r="H298" s="47">
        <v>-1.6000000000000001E-3</v>
      </c>
      <c r="I298" s="45" t="s">
        <v>184</v>
      </c>
    </row>
    <row r="299" spans="1:9">
      <c r="A299" s="9">
        <v>43077</v>
      </c>
      <c r="B299" s="60">
        <v>10398.620000000001</v>
      </c>
      <c r="C299" s="60">
        <v>42.86</v>
      </c>
      <c r="D299" s="46">
        <v>4.1000000000000003E-3</v>
      </c>
      <c r="E299" s="74" t="s">
        <v>185</v>
      </c>
      <c r="F299" s="75">
        <v>10394</v>
      </c>
      <c r="G299" s="23">
        <v>-2</v>
      </c>
      <c r="H299" s="47">
        <v>-2.0000000000000001E-4</v>
      </c>
      <c r="I299" s="45" t="s">
        <v>186</v>
      </c>
    </row>
    <row r="300" spans="1:9">
      <c r="A300" s="9">
        <v>43078</v>
      </c>
      <c r="B300" s="60"/>
      <c r="C300" s="60"/>
      <c r="D300" s="46"/>
      <c r="E300" s="74"/>
      <c r="F300" s="75"/>
      <c r="G300" s="23"/>
      <c r="H300" s="47"/>
      <c r="I300" s="45"/>
    </row>
    <row r="301" spans="1:9">
      <c r="A301" s="9">
        <v>43079</v>
      </c>
      <c r="B301" s="60"/>
      <c r="C301" s="60"/>
      <c r="D301" s="46"/>
      <c r="E301" s="74"/>
      <c r="F301" s="75"/>
      <c r="G301" s="23"/>
      <c r="H301" s="47"/>
      <c r="I301" s="45"/>
    </row>
    <row r="302" spans="1:9">
      <c r="A302" s="9">
        <v>43080</v>
      </c>
      <c r="B302" s="60">
        <v>10473.09</v>
      </c>
      <c r="C302" s="60">
        <v>74.47</v>
      </c>
      <c r="D302" s="46">
        <v>7.1999999999999998E-3</v>
      </c>
      <c r="E302" s="74" t="s">
        <v>187</v>
      </c>
      <c r="F302" s="75">
        <v>10482</v>
      </c>
      <c r="G302" s="23">
        <v>4</v>
      </c>
      <c r="H302" s="47">
        <v>4.0000000000000002E-4</v>
      </c>
      <c r="I302" s="45" t="s">
        <v>188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302"/>
  <sheetViews>
    <sheetView workbookViewId="0">
      <pane ySplit="3" topLeftCell="A288" activePane="bottomLeft" state="frozen"/>
      <selection pane="bottomLeft" activeCell="K305" sqref="K305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9">
        <v>54933243</v>
      </c>
      <c r="C290" s="10">
        <f t="shared" ref="C290" si="120">B290/100000000</f>
        <v>0.54933242999999998</v>
      </c>
      <c r="D290" s="49">
        <v>-289586379</v>
      </c>
      <c r="E290" s="10">
        <f t="shared" ref="E290" si="121">D290/100000000</f>
        <v>-2.8958637899999999</v>
      </c>
      <c r="F290" s="49">
        <v>-205774190</v>
      </c>
      <c r="G290" s="10">
        <f t="shared" ref="G290" si="122">F290/100000000</f>
        <v>-2.0577418999999999</v>
      </c>
      <c r="H290" s="49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9">
        <v>-963609324</v>
      </c>
      <c r="C291" s="10">
        <f t="shared" ref="C291" si="124">B291/100000000</f>
        <v>-9.6360932399999992</v>
      </c>
      <c r="D291" s="49">
        <v>-413141896</v>
      </c>
      <c r="E291" s="10">
        <f t="shared" ref="E291" si="125">D291/100000000</f>
        <v>-4.1314189600000004</v>
      </c>
      <c r="F291" s="49">
        <v>-1619420468</v>
      </c>
      <c r="G291" s="10">
        <f t="shared" ref="G291" si="126">F291/100000000</f>
        <v>-16.194204679999999</v>
      </c>
      <c r="H291" s="49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9">
        <v>-696739900</v>
      </c>
      <c r="C292" s="10">
        <f t="shared" ref="C292" si="128">B292/100000000</f>
        <v>-6.9673990000000003</v>
      </c>
      <c r="D292" s="49">
        <v>-2430476170</v>
      </c>
      <c r="E292" s="10">
        <f t="shared" ref="E292" si="129">D292/100000000</f>
        <v>-24.3047617</v>
      </c>
      <c r="F292" s="49">
        <v>-801316049</v>
      </c>
      <c r="G292" s="10">
        <f t="shared" ref="G292" si="130">F292/100000000</f>
        <v>-8.0131604900000006</v>
      </c>
      <c r="H292" s="49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9"/>
      <c r="C293" s="10">
        <f t="shared" ref="C293:C296" si="132">B293/100000000</f>
        <v>0</v>
      </c>
      <c r="D293" s="49"/>
      <c r="E293" s="10">
        <f t="shared" ref="E293:E296" si="133">D293/100000000</f>
        <v>0</v>
      </c>
      <c r="F293" s="49"/>
      <c r="G293" s="10">
        <f t="shared" ref="G293:G296" si="134">F293/100000000</f>
        <v>0</v>
      </c>
      <c r="H293" s="49"/>
      <c r="I293" s="10">
        <f t="shared" ref="I293:I296" si="135">H293/100000000</f>
        <v>0</v>
      </c>
    </row>
    <row r="294" spans="1:9">
      <c r="A294" s="9">
        <v>43072</v>
      </c>
      <c r="B294" s="49"/>
      <c r="C294" s="10">
        <f t="shared" si="132"/>
        <v>0</v>
      </c>
      <c r="D294" s="49"/>
      <c r="E294" s="10">
        <f t="shared" si="133"/>
        <v>0</v>
      </c>
      <c r="F294" s="49"/>
      <c r="G294" s="10">
        <f t="shared" si="134"/>
        <v>0</v>
      </c>
      <c r="H294" s="49"/>
      <c r="I294" s="10">
        <f t="shared" si="135"/>
        <v>0</v>
      </c>
    </row>
    <row r="295" spans="1:9">
      <c r="A295" s="9">
        <v>43073</v>
      </c>
      <c r="B295" s="49">
        <v>-417588806</v>
      </c>
      <c r="C295" s="10">
        <f t="shared" si="132"/>
        <v>-4.1758880600000001</v>
      </c>
      <c r="D295" s="49">
        <v>115349286</v>
      </c>
      <c r="E295" s="10">
        <f t="shared" si="133"/>
        <v>1.1534928600000001</v>
      </c>
      <c r="F295" s="49">
        <v>-943266951</v>
      </c>
      <c r="G295" s="10">
        <f t="shared" si="134"/>
        <v>-9.4326695100000002</v>
      </c>
      <c r="H295" s="49">
        <v>-1416163087</v>
      </c>
      <c r="I295" s="10">
        <f t="shared" si="135"/>
        <v>-14.16163087</v>
      </c>
    </row>
    <row r="296" spans="1:9">
      <c r="A296" s="9">
        <v>43074</v>
      </c>
      <c r="B296" s="49">
        <v>-848141608</v>
      </c>
      <c r="C296" s="10">
        <f t="shared" si="132"/>
        <v>-8.4814160800000007</v>
      </c>
      <c r="D296" s="49">
        <v>-1277115750</v>
      </c>
      <c r="E296" s="10">
        <f t="shared" si="133"/>
        <v>-12.771157499999999</v>
      </c>
      <c r="F296" s="49">
        <v>-1356887237</v>
      </c>
      <c r="G296" s="10">
        <f t="shared" si="134"/>
        <v>-13.568872369999999</v>
      </c>
      <c r="H296" s="49">
        <v>-568247428</v>
      </c>
      <c r="I296" s="10">
        <f t="shared" si="135"/>
        <v>-5.6824742800000001</v>
      </c>
    </row>
    <row r="297" spans="1:9">
      <c r="A297" s="9">
        <v>43075</v>
      </c>
      <c r="B297" s="49">
        <v>-601491477</v>
      </c>
      <c r="C297" s="10">
        <f t="shared" ref="C297" si="136">B297/100000000</f>
        <v>-6.0149147699999999</v>
      </c>
      <c r="D297" s="49">
        <v>-2635390306</v>
      </c>
      <c r="E297" s="10">
        <f t="shared" ref="E297" si="137">D297/100000000</f>
        <v>-26.35390306</v>
      </c>
      <c r="F297" s="49">
        <v>-490168784</v>
      </c>
      <c r="G297" s="10">
        <f t="shared" ref="G297" si="138">F297/100000000</f>
        <v>-4.9016878400000001</v>
      </c>
      <c r="H297" s="49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9">
        <v>-582220801</v>
      </c>
      <c r="C298" s="10">
        <f t="shared" ref="C298" si="140">B298/100000000</f>
        <v>-5.8222080099999998</v>
      </c>
      <c r="D298" s="49">
        <v>-693315501</v>
      </c>
      <c r="E298" s="10">
        <f t="shared" ref="E298" si="141">D298/100000000</f>
        <v>-6.9331550100000001</v>
      </c>
      <c r="F298" s="49">
        <v>-859505675</v>
      </c>
      <c r="G298" s="10">
        <f t="shared" ref="G298" si="142">F298/100000000</f>
        <v>-8.5950567499999995</v>
      </c>
      <c r="H298" s="49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9">
        <v>-739784241</v>
      </c>
      <c r="C299" s="10">
        <f t="shared" ref="C299" si="144">B299/100000000</f>
        <v>-7.39784241</v>
      </c>
      <c r="D299" s="49">
        <v>961611479</v>
      </c>
      <c r="E299" s="10">
        <f t="shared" ref="E299" si="145">D299/100000000</f>
        <v>9.6161147899999992</v>
      </c>
      <c r="F299" s="49">
        <v>14663055</v>
      </c>
      <c r="G299" s="10">
        <f t="shared" ref="G299" si="146">F299/100000000</f>
        <v>0.14663055</v>
      </c>
      <c r="H299" s="49">
        <v>-2368583080</v>
      </c>
      <c r="I299" s="10">
        <f t="shared" ref="I299" si="147">H299/100000000</f>
        <v>-23.685830800000002</v>
      </c>
    </row>
    <row r="300" spans="1:9">
      <c r="A300" s="9">
        <v>43078</v>
      </c>
      <c r="B300" s="49"/>
      <c r="C300" s="10">
        <f t="shared" ref="C300:C302" si="148">B300/100000000</f>
        <v>0</v>
      </c>
      <c r="D300" s="49"/>
      <c r="E300" s="10">
        <f t="shared" ref="E300:E302" si="149">D300/100000000</f>
        <v>0</v>
      </c>
      <c r="F300" s="49"/>
      <c r="G300" s="10">
        <f t="shared" ref="G300:G302" si="150">F300/100000000</f>
        <v>0</v>
      </c>
      <c r="H300" s="49"/>
      <c r="I300" s="10">
        <f t="shared" ref="I300:I302" si="151">H300/100000000</f>
        <v>0</v>
      </c>
    </row>
    <row r="301" spans="1:9">
      <c r="A301" s="9">
        <v>43079</v>
      </c>
      <c r="B301" s="49"/>
      <c r="C301" s="10">
        <f t="shared" si="148"/>
        <v>0</v>
      </c>
      <c r="D301" s="49"/>
      <c r="E301" s="10">
        <f t="shared" si="149"/>
        <v>0</v>
      </c>
      <c r="F301" s="49"/>
      <c r="G301" s="10">
        <f t="shared" si="150"/>
        <v>0</v>
      </c>
      <c r="H301" s="49"/>
      <c r="I301" s="10">
        <f t="shared" si="151"/>
        <v>0</v>
      </c>
    </row>
    <row r="302" spans="1:9">
      <c r="A302" s="9">
        <v>43080</v>
      </c>
      <c r="B302" s="49">
        <v>-185263394</v>
      </c>
      <c r="C302" s="10">
        <f t="shared" si="148"/>
        <v>-1.85263394</v>
      </c>
      <c r="D302" s="49">
        <v>2182243576</v>
      </c>
      <c r="E302" s="10">
        <f t="shared" si="149"/>
        <v>21.822435760000001</v>
      </c>
      <c r="F302" s="49">
        <v>587081918</v>
      </c>
      <c r="G302" s="10">
        <f t="shared" si="150"/>
        <v>5.8708191799999998</v>
      </c>
      <c r="H302" s="49">
        <v>-3775174033</v>
      </c>
      <c r="I302" s="10">
        <f t="shared" si="151"/>
        <v>-37.751740329999997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02"/>
  <sheetViews>
    <sheetView workbookViewId="0">
      <pane ySplit="3" topLeftCell="A287" activePane="bottomLeft" state="frozen"/>
      <selection pane="bottomLeft" activeCell="B302" sqref="B302:C302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>
        <v>93.27</v>
      </c>
    </row>
    <row r="290" spans="1:4">
      <c r="A290" s="9">
        <v>43068</v>
      </c>
      <c r="B290" s="45">
        <v>29.99</v>
      </c>
      <c r="C290" s="53">
        <v>-1.0999999999999999E-2</v>
      </c>
      <c r="D290" s="25">
        <v>93.164000000000001</v>
      </c>
    </row>
    <row r="291" spans="1:4">
      <c r="A291" s="9">
        <v>43069</v>
      </c>
      <c r="B291" s="45">
        <v>30.01</v>
      </c>
      <c r="C291" s="53">
        <v>0.02</v>
      </c>
      <c r="D291" s="25">
        <v>93.046999999999997</v>
      </c>
    </row>
    <row r="292" spans="1:4">
      <c r="A292" s="9">
        <v>43070</v>
      </c>
      <c r="B292" s="45">
        <v>30.027999999999999</v>
      </c>
      <c r="C292" s="53">
        <v>1.7999999999999999E-2</v>
      </c>
      <c r="D292" s="25"/>
    </row>
    <row r="293" spans="1:4">
      <c r="A293" s="9">
        <v>43071</v>
      </c>
      <c r="B293" s="45"/>
      <c r="C293" s="53"/>
      <c r="D293" s="25"/>
    </row>
    <row r="294" spans="1:4">
      <c r="A294" s="9">
        <v>43072</v>
      </c>
      <c r="B294" s="45"/>
      <c r="C294" s="53"/>
      <c r="D294" s="25"/>
    </row>
    <row r="295" spans="1:4">
      <c r="A295" s="9">
        <v>43073</v>
      </c>
      <c r="B295" s="45"/>
      <c r="C295" s="53"/>
      <c r="D295" s="25">
        <v>93.188000000000002</v>
      </c>
    </row>
    <row r="296" spans="1:4">
      <c r="A296" s="9">
        <v>43074</v>
      </c>
      <c r="B296" s="45">
        <v>29.992999999999999</v>
      </c>
      <c r="C296" s="53">
        <v>-4.2999999999999997E-2</v>
      </c>
      <c r="D296" s="25">
        <v>93.379000000000005</v>
      </c>
    </row>
    <row r="297" spans="1:4">
      <c r="A297" s="9">
        <v>43075</v>
      </c>
      <c r="B297" s="45">
        <v>30.01</v>
      </c>
      <c r="C297" s="53">
        <v>1.7000000000000001E-2</v>
      </c>
      <c r="D297" s="25">
        <v>93.61</v>
      </c>
    </row>
    <row r="298" spans="1:4">
      <c r="A298" s="9">
        <v>43076</v>
      </c>
      <c r="B298" s="45">
        <v>30.024999999999999</v>
      </c>
      <c r="C298" s="53">
        <v>1.4999999999999999E-2</v>
      </c>
      <c r="D298" s="25">
        <v>93.795000000000002</v>
      </c>
    </row>
    <row r="299" spans="1:4">
      <c r="A299" s="9">
        <v>43077</v>
      </c>
      <c r="B299" s="45">
        <v>30.015000000000001</v>
      </c>
      <c r="C299" s="53">
        <v>-0.01</v>
      </c>
      <c r="D299" s="25">
        <v>93.900999999999996</v>
      </c>
    </row>
    <row r="300" spans="1:4">
      <c r="A300" s="9">
        <v>43078</v>
      </c>
      <c r="B300" s="45"/>
      <c r="C300" s="53"/>
      <c r="D300" s="25"/>
    </row>
    <row r="301" spans="1:4">
      <c r="A301" s="9">
        <v>43079</v>
      </c>
      <c r="B301" s="45"/>
      <c r="C301" s="53"/>
      <c r="D301" s="25"/>
    </row>
    <row r="302" spans="1:4">
      <c r="A302" s="9">
        <v>43080</v>
      </c>
      <c r="B302" s="45">
        <v>30.018000000000001</v>
      </c>
      <c r="C302" s="53">
        <v>3.0000000000000001E-3</v>
      </c>
      <c r="D302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304"/>
  <sheetViews>
    <sheetView zoomScale="85" zoomScaleNormal="85" workbookViewId="0">
      <pane ySplit="3" topLeftCell="A282" activePane="bottomLeft" state="frozen"/>
      <selection pane="bottomLeft" activeCell="M303" sqref="M30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3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1: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/>
      <c r="C304" s="10"/>
      <c r="D304" s="10"/>
      <c r="E304" s="10"/>
      <c r="F304" s="10"/>
      <c r="G304" s="10"/>
      <c r="H304" s="10"/>
      <c r="I304" s="10"/>
      <c r="J304" s="10">
        <f t="shared" ref="J304" si="117">I304-$I$277</f>
        <v>-38786.5</v>
      </c>
      <c r="K304" s="10">
        <f t="shared" ref="K304" si="118">I304-I303</f>
        <v>-38441.75</v>
      </c>
      <c r="L304" s="10"/>
      <c r="M304" s="10"/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02"/>
  <sheetViews>
    <sheetView zoomScale="85" zoomScaleNormal="85" workbookViewId="0">
      <pane ySplit="3" topLeftCell="A288" activePane="bottomLeft" state="frozen"/>
      <selection pane="bottomLeft" activeCell="H313" sqref="H313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4">
        <f t="shared" ref="F290" si="127">B290/10000</f>
        <v>-11.502599999999999</v>
      </c>
      <c r="G290" s="24">
        <f t="shared" ref="G290" si="128">C290/10000</f>
        <v>-7.5269000000000004</v>
      </c>
      <c r="H290" s="24">
        <f t="shared" ref="H290" si="129">D290/10000</f>
        <v>46.601500000000001</v>
      </c>
      <c r="I290" s="24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4">
        <f t="shared" ref="F291" si="131">B291/10000</f>
        <v>-8.7545999999999999</v>
      </c>
      <c r="G291" s="24">
        <f t="shared" ref="G291" si="132">C291/10000</f>
        <v>-10.458299999999999</v>
      </c>
      <c r="H291" s="24">
        <f t="shared" ref="H291" si="133">D291/10000</f>
        <v>29.467199999999998</v>
      </c>
      <c r="I291" s="24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4">
        <f t="shared" ref="F292" si="135">B292/10000</f>
        <v>-4.0301999999999998</v>
      </c>
      <c r="G292" s="24">
        <f t="shared" ref="G292" si="136">C292/10000</f>
        <v>-5.5991</v>
      </c>
      <c r="H292" s="24">
        <f t="shared" ref="H292" si="137">D292/10000</f>
        <v>31.1966</v>
      </c>
      <c r="I292" s="24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4"/>
      <c r="G293" s="24"/>
      <c r="H293" s="24"/>
      <c r="I293" s="24"/>
    </row>
    <row r="294" spans="1:9">
      <c r="A294" s="9">
        <v>43072</v>
      </c>
      <c r="B294" s="10"/>
      <c r="C294" s="10"/>
      <c r="D294" s="10"/>
      <c r="E294" s="10"/>
      <c r="F294" s="24"/>
      <c r="G294" s="24"/>
      <c r="H294" s="24"/>
      <c r="I294" s="24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4">
        <f t="shared" ref="F295:F296" si="139">B295/10000</f>
        <v>-4.8539000000000003</v>
      </c>
      <c r="G295" s="24">
        <f t="shared" ref="G295:G296" si="140">C295/10000</f>
        <v>-8.8552999999999997</v>
      </c>
      <c r="H295" s="24">
        <f t="shared" ref="H295:H296" si="141">D295/10000</f>
        <v>34.094799999999999</v>
      </c>
      <c r="I295" s="24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4">
        <f t="shared" si="139"/>
        <v>-8.0089000000000006</v>
      </c>
      <c r="G296" s="24">
        <f t="shared" si="140"/>
        <v>-12.623100000000001</v>
      </c>
      <c r="H296" s="24">
        <f t="shared" si="141"/>
        <v>28.651199999999999</v>
      </c>
      <c r="I296" s="24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4">
        <f t="shared" ref="F297" si="143">B297/10000</f>
        <v>-3.8473000000000002</v>
      </c>
      <c r="G297" s="24">
        <f t="shared" ref="G297" si="144">C297/10000</f>
        <v>-33.608899999999998</v>
      </c>
      <c r="H297" s="24">
        <f t="shared" ref="H297" si="145">D297/10000</f>
        <v>18.3935</v>
      </c>
      <c r="I297" s="24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4">
        <f t="shared" ref="F298" si="147">B298/10000</f>
        <v>-1.4141999999999999</v>
      </c>
      <c r="G298" s="24">
        <f t="shared" ref="G298" si="148">C298/10000</f>
        <v>-42.177</v>
      </c>
      <c r="H298" s="24">
        <f t="shared" ref="H298" si="149">D298/10000</f>
        <v>16.9893</v>
      </c>
      <c r="I298" s="24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4">
        <f t="shared" ref="F299" si="151">B299/10000</f>
        <v>1.89E-2</v>
      </c>
      <c r="G299" s="24">
        <f t="shared" ref="G299" si="152">C299/10000</f>
        <v>-36.178699999999999</v>
      </c>
      <c r="H299" s="24">
        <f t="shared" ref="H299" si="153">D299/10000</f>
        <v>18.330500000000001</v>
      </c>
      <c r="I299" s="24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4"/>
      <c r="G300" s="24"/>
      <c r="H300" s="24"/>
      <c r="I300" s="24"/>
    </row>
    <row r="301" spans="1:9">
      <c r="A301" s="9">
        <v>43079</v>
      </c>
      <c r="B301" s="10"/>
      <c r="C301" s="10"/>
      <c r="D301" s="10"/>
      <c r="E301" s="10"/>
      <c r="F301" s="24"/>
      <c r="G301" s="24"/>
      <c r="H301" s="24"/>
      <c r="I301" s="24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4">
        <f t="shared" ref="F300:F302" si="155">B302/10000</f>
        <v>3.4178000000000002</v>
      </c>
      <c r="G302" s="24">
        <f t="shared" ref="G300:G302" si="156">C302/10000</f>
        <v>-29.407299999999999</v>
      </c>
      <c r="H302" s="24">
        <f t="shared" ref="H300:H302" si="157">D302/10000</f>
        <v>23.196200000000001</v>
      </c>
      <c r="I302" s="24">
        <f t="shared" ref="I300:I302" si="158">E302/10000</f>
        <v>80.748800000000003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04"/>
  <sheetViews>
    <sheetView zoomScale="85" zoomScaleNormal="85" workbookViewId="0">
      <pane xSplit="1" ySplit="4" topLeftCell="B294" activePane="bottomRight" state="frozen"/>
      <selection pane="topRight" activeCell="B1" sqref="B1"/>
      <selection pane="bottomLeft" activeCell="A5" sqref="A5"/>
      <selection pane="bottomRight" activeCell="J304" sqref="J304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90">
        <f t="shared" ref="F292" si="87">B292-SUM(C292:E292)</f>
        <v>36272</v>
      </c>
      <c r="G292" s="86"/>
      <c r="H292" s="88">
        <v>14287</v>
      </c>
      <c r="I292" s="10">
        <v>0</v>
      </c>
      <c r="J292" s="10">
        <v>417</v>
      </c>
      <c r="K292" s="21">
        <f t="shared" ref="K292" si="88">B292-SUM(H292:J292)</f>
        <v>31984</v>
      </c>
      <c r="L292" s="22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90">
        <f t="shared" ref="F293" si="90">B293-SUM(C293:E293)</f>
        <v>42251</v>
      </c>
      <c r="G293" s="86"/>
      <c r="H293" s="88">
        <v>18160</v>
      </c>
      <c r="I293" s="10">
        <v>0</v>
      </c>
      <c r="J293" s="10">
        <v>3887</v>
      </c>
      <c r="K293" s="21">
        <f t="shared" ref="K293" si="91">B293-SUM(H293:J293)</f>
        <v>28169</v>
      </c>
      <c r="L293" s="22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90">
        <f t="shared" ref="F294" si="93">B294-SUM(C294:E294)</f>
        <v>37954</v>
      </c>
      <c r="G294" s="86"/>
      <c r="H294" s="88">
        <v>18376</v>
      </c>
      <c r="I294" s="10">
        <v>420</v>
      </c>
      <c r="J294" s="10">
        <v>2575</v>
      </c>
      <c r="K294" s="21">
        <f t="shared" ref="K294" si="94">B294-SUM(H294:J294)</f>
        <v>25337</v>
      </c>
      <c r="L294" s="22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90"/>
      <c r="G295" s="86"/>
      <c r="H295" s="88"/>
      <c r="I295" s="10"/>
      <c r="J295" s="10"/>
      <c r="K295" s="21"/>
      <c r="L295" s="22"/>
    </row>
    <row r="296" spans="1:12">
      <c r="A296" s="9">
        <v>43072</v>
      </c>
      <c r="B296" s="10"/>
      <c r="C296" s="10"/>
      <c r="D296" s="10"/>
      <c r="E296" s="10"/>
      <c r="F296" s="90"/>
      <c r="G296" s="86"/>
      <c r="H296" s="88"/>
      <c r="I296" s="10"/>
      <c r="J296" s="10"/>
      <c r="K296" s="21"/>
      <c r="L296" s="22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90">
        <f t="shared" ref="F297:F298" si="96">B297-SUM(C297:E297)</f>
        <v>37999</v>
      </c>
      <c r="G297" s="86"/>
      <c r="H297" s="88">
        <v>17976</v>
      </c>
      <c r="I297" s="10">
        <v>420</v>
      </c>
      <c r="J297" s="10">
        <v>1730</v>
      </c>
      <c r="K297" s="21">
        <f t="shared" ref="K297:K298" si="97">B297-SUM(H297:J297)</f>
        <v>27635</v>
      </c>
      <c r="L297" s="22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90">
        <f t="shared" si="96"/>
        <v>40311</v>
      </c>
      <c r="G298" s="86"/>
      <c r="H298" s="88">
        <v>19353</v>
      </c>
      <c r="I298" s="10">
        <v>420</v>
      </c>
      <c r="J298" s="10">
        <v>2260</v>
      </c>
      <c r="K298" s="21">
        <f t="shared" si="97"/>
        <v>27818</v>
      </c>
      <c r="L298" s="22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90">
        <f t="shared" ref="F299" si="99">B299-SUM(C299:E299)</f>
        <v>46768</v>
      </c>
      <c r="G299" s="86"/>
      <c r="H299" s="88">
        <v>22265</v>
      </c>
      <c r="I299" s="10">
        <v>420</v>
      </c>
      <c r="J299" s="10">
        <v>4658</v>
      </c>
      <c r="K299" s="21">
        <f t="shared" ref="K299" si="100">B299-SUM(H299:J299)</f>
        <v>26404</v>
      </c>
      <c r="L299" s="22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90">
        <f t="shared" ref="F300" si="102">B300-SUM(C300:E300)</f>
        <v>44765</v>
      </c>
      <c r="G300" s="86"/>
      <c r="H300" s="88">
        <v>22708</v>
      </c>
      <c r="I300" s="10">
        <v>420</v>
      </c>
      <c r="J300" s="10">
        <v>4210</v>
      </c>
      <c r="K300" s="21">
        <f t="shared" ref="K300" si="103">B300-SUM(H300:J300)</f>
        <v>25307</v>
      </c>
      <c r="L300" s="22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90">
        <f t="shared" ref="F301" si="105">B301-SUM(C301:E301)</f>
        <v>42915</v>
      </c>
      <c r="G301" s="86"/>
      <c r="H301" s="88">
        <v>21922</v>
      </c>
      <c r="I301" s="10">
        <v>420</v>
      </c>
      <c r="J301" s="10">
        <v>4311</v>
      </c>
      <c r="K301" s="21">
        <f t="shared" ref="K301" si="106">B301-SUM(H301:J301)</f>
        <v>23868</v>
      </c>
      <c r="L301" s="22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90"/>
      <c r="G302" s="86"/>
      <c r="H302" s="88"/>
      <c r="I302" s="10"/>
      <c r="J302" s="10"/>
      <c r="K302" s="21"/>
      <c r="L302" s="22"/>
    </row>
    <row r="303" spans="1:12">
      <c r="A303" s="9">
        <v>43079</v>
      </c>
      <c r="B303" s="10"/>
      <c r="C303" s="10"/>
      <c r="D303" s="10"/>
      <c r="E303" s="10"/>
      <c r="F303" s="90"/>
      <c r="G303" s="86"/>
      <c r="H303" s="88"/>
      <c r="I303" s="10"/>
      <c r="J303" s="10"/>
      <c r="K303" s="21"/>
      <c r="L303" s="22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90">
        <f t="shared" ref="F302:F304" si="108">B304-SUM(C304:E304)</f>
        <v>42533</v>
      </c>
      <c r="G304" s="86"/>
      <c r="H304" s="88">
        <v>20188</v>
      </c>
      <c r="I304" s="10">
        <v>420</v>
      </c>
      <c r="J304" s="10">
        <v>3861</v>
      </c>
      <c r="K304" s="21">
        <f t="shared" ref="K302:K304" si="109">B304-SUM(H304:J304)</f>
        <v>25045</v>
      </c>
      <c r="L304" s="22">
        <f t="shared" ref="L302:L304" si="110">(F304-K304)/B304</f>
        <v>0.35319303631296201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02"/>
  <sheetViews>
    <sheetView zoomScale="85" zoomScaleNormal="85" workbookViewId="0">
      <pane xSplit="1" ySplit="3" topLeftCell="B282" activePane="bottomRight" state="frozen"/>
      <selection pane="topRight" activeCell="B1" sqref="B1"/>
      <selection pane="bottomLeft" activeCell="A4" sqref="A4"/>
      <selection pane="bottomRight" activeCell="B302" sqref="B302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5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5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5">
        <f t="shared" ref="C292" si="32">B292/100</f>
        <v>1.3731</v>
      </c>
    </row>
    <row r="293" spans="1:3">
      <c r="A293" s="9">
        <v>43071</v>
      </c>
      <c r="B293" s="10"/>
      <c r="C293" s="25"/>
    </row>
    <row r="294" spans="1:3">
      <c r="A294" s="9">
        <v>43072</v>
      </c>
      <c r="B294" s="10"/>
      <c r="C294" s="25"/>
    </row>
    <row r="295" spans="1:3">
      <c r="A295" s="9">
        <v>43073</v>
      </c>
      <c r="B295" s="10">
        <v>137.76</v>
      </c>
      <c r="C295" s="25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5">
        <f t="shared" si="33"/>
        <v>1.3144999999999998</v>
      </c>
    </row>
    <row r="297" spans="1:3">
      <c r="A297" s="9">
        <v>43075</v>
      </c>
      <c r="B297" s="10">
        <v>131.82</v>
      </c>
      <c r="C297" s="25">
        <f t="shared" ref="C297" si="34">B297/100</f>
        <v>1.3182</v>
      </c>
    </row>
    <row r="298" spans="1:3">
      <c r="A298" s="9">
        <v>43076</v>
      </c>
      <c r="B298" s="10">
        <v>126.17</v>
      </c>
      <c r="C298" s="25">
        <f t="shared" ref="C298" si="35">B298/100</f>
        <v>1.2617</v>
      </c>
    </row>
    <row r="299" spans="1:3">
      <c r="A299" s="9">
        <v>43077</v>
      </c>
      <c r="B299" s="10">
        <v>125.88</v>
      </c>
      <c r="C299" s="25">
        <f t="shared" ref="C299" si="36">B299/100</f>
        <v>1.2587999999999999</v>
      </c>
    </row>
    <row r="300" spans="1:3">
      <c r="A300" s="9">
        <v>43078</v>
      </c>
      <c r="B300" s="10"/>
      <c r="C300" s="25"/>
    </row>
    <row r="301" spans="1:3">
      <c r="A301" s="9">
        <v>43079</v>
      </c>
      <c r="B301" s="10"/>
      <c r="C301" s="25"/>
    </row>
    <row r="302" spans="1:3">
      <c r="A302" s="9">
        <v>43080</v>
      </c>
      <c r="B302" s="10">
        <v>133.01</v>
      </c>
      <c r="C302" s="25">
        <f t="shared" ref="C300:C302" si="37">B302/100</f>
        <v>1.3300999999999998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2017-12-11T12:45:33Z</dcterms:modified>
</cp:coreProperties>
</file>