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5" i="15" l="1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<sst xmlns="http://schemas.openxmlformats.org/spreadsheetml/2006/main" count="465" uniqueCount="374">
  <si>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</si>
  <si>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</si>
  <si>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</si>
  <si>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</si>
  <si>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</si>
  <si>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</si>
  <si>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</si>
  <si>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</si>
  <si>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</si>
  <si>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</si>
  <si>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</si>
  <si>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</si>
  <si>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</si>
  <si>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</si>
  <si>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</si>
  <si>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</si>
  <si>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</si>
  <si>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</si>
  <si>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</si>
  <si>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</si>
  <si>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</si>
  <si>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</si>
  <si>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</si>
  <si>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</si>
  <si>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</si>
  <si>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</si>
  <si>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</si>
  <si>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</si>
  <si>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</si>
  <si>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</si>
  <si>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</si>
  <si>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</si>
  <si>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</si>
  <si>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</si>
  <si>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</si>
  <si>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</si>
  <si>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</si>
  <si>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</si>
  <si>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</si>
  <si>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</si>
  <si>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</si>
  <si>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</si>
  <si>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</si>
  <si>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</si>
  <si>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</si>
  <si>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</si>
  <si>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</si>
  <si>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</si>
  <si>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</si>
  <si>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</si>
  <si>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</si>
  <si>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</si>
  <si>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</si>
  <si>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</si>
  <si>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</si>
  <si>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</si>
  <si>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</si>
  <si>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</si>
  <si>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</si>
  <si>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</si>
  <si>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</si>
  <si>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</si>
  <si>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</si>
  <si>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</si>
  <si>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</si>
  <si>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</si>
  <si>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</si>
  <si>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</si>
  <si>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</si>
  <si>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</si>
  <si>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</si>
  <si>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</si>
  <si>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</si>
  <si>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</si>
  <si>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</si>
  <si>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</si>
  <si>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</si>
  <si>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</si>
  <si>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</si>
  <si>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</si>
  <si>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</si>
  <si>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</si>
  <si>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</si>
  <si>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</si>
  <si>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</si>
  <si>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</si>
  <si>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</si>
  <si>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</si>
  <si>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</si>
  <si>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</si>
  <si>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</si>
  <si>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</si>
  <si>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</si>
  <si>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</si>
  <si>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</si>
  <si>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</si>
  <si>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</si>
  <si>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</si>
  <si>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</si>
  <si>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</si>
  <si>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</si>
  <si>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</si>
  <si>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</si>
  <si>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</si>
  <si>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</si>
  <si>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</si>
  <si>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</si>
  <si>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</si>
  <si>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</si>
  <si>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</si>
  <si>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</si>
  <si>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</si>
  <si>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</si>
  <si>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</si>
  <si>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</si>
  <si>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</si>
  <si>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</si>
  <si>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</si>
  <si>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</si>
  <si>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</si>
  <si>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</si>
  <si>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</si>
  <si>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</si>
  <si>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</si>
  <si>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</si>
  <si>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</si>
  <si>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</si>
  <si>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</si>
  <si>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</si>
  <si>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</si>
  <si>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</si>
  <si>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</si>
  <si>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</si>
  <si>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</si>
  <si>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</si>
  <si>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</si>
  <si>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</si>
  <si>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</si>
  <si>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</si>
  <si>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</si>
  <si>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</si>
  <si>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</si>
  <si>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</si>
  <si>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</si>
  <si>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</si>
  <si>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</si>
  <si>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</si>
  <si>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</si>
  <si>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</si>
  <si>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</si>
  <si>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</si>
  <si>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</si>
  <si>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</si>
  <si>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</si>
  <si>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</si>
  <si>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</si>
  <si>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</si>
  <si>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</si>
  <si>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</si>
  <si>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</si>
  <si>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</si>
  <si>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</si>
  <si>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</si>
  <si>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</si>
  <si>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</si>
  <si>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</si>
  <si>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</si>
  <si>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</si>
  <si>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</si>
  <si>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</si>
  <si>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</si>
  <si>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</si>
  <si>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</si>
  <si>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</si>
  <si>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</si>
  <si>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</si>
  <si>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</si>
  <si>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</si>
  <si>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</si>
  <si>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</si>
  <si>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</si>
  <si>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</si>
  <si>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</si>
  <si>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</si>
  <si>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</si>
  <si>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</si>
  <si>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</si>
  <si>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</si>
  <si>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</si>
  <si>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</si>
  <si>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</si>
  <si>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</si>
  <si>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</si>
  <si>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</si>
  <si>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</si>
  <si>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</si>
  <si>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</si>
  <si>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</si>
  <si>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</si>
  <si>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</si>
  <si>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</si>
  <si>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</si>
  <si>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</si>
  <si>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</si>
  <si>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</si>
  <si>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</si>
  <si>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</si>
  <si>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</si>
  <si>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</si>
  <si>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</si>
  <si>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</si>
  <si>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</si>
  <si>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</si>
  <si>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</si>
  <si>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</si>
  <si>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</si>
  <si>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</si>
  <si>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</si>
  <si>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</si>
  <si>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</si>
  <si>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</si>
  <si>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</si>
  <si>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</si>
  <si>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</si>
  <si>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</si>
  <si>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</si>
  <si>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</si>
  <si>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</si>
  <si>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</si>
  <si>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</si>
  <si>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</si>
  <si>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</si>
  <si>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</si>
  <si>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</si>
  <si>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</si>
  <si>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</si>
  <si>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</si>
  <si>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</si>
  <si>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</si>
  <si>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</si>
  <si>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</si>
  <si>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</si>
  <si>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</si>
  <si>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</si>
  <si>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</si>
  <si>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</si>
  <si>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</si>
  <si>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</si>
  <si>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</si>
  <si>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</si>
  <si>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</si>
  <si>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</si>
  <si>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</si>
  <si>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</si>
  <si>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</si>
  <si>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</si>
  <si>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</si>
  <si>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</si>
  <si>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</si>
  <si>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</si>
  <si>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</si>
  <si>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</si>
  <si>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</si>
  <si>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</si>
  <si>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</si>
  <si>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</si>
  <si>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</si>
  <si>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</si>
  <si>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</si>
  <si>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</si>
  <si>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</si>
  <si>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</si>
  <si>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</si>
  <si>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</si>
  <si>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</si>
  <si>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</si>
  <si>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</si>
  <si>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</si>
  <si>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</si>
  <si>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</si>
  <si>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</si>
  <si>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</si>
  <si>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</si>
  <si>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</si>
  <si>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</si>
  <si>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</si>
  <si>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</si>
  <si>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</si>
  <si>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</si>
  <si>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</si>
  <si>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</si>
  <si>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</si>
  <si>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</si>
  <si>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</si>
  <si>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</si>
  <si>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</si>
  <si>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</si>
  <si>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</si>
  <si>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</si>
  <si>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</si>
  <si>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</si>
  <si>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</si>
  <si>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</si>
  <si>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</si>
  <si>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</si>
  <si>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</si>
  <si>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</si>
  <si>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</si>
  <si>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</si>
  <si>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</si>
  <si>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</si>
  <si>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</si>
  <si>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</si>
  <si>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</si>
  <si>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</si>
  <si>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</si>
  <si>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</si>
  <si>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</si>
  <si>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</si>
  <si>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</si>
  <si>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</si>
  <si>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</si>
  <si>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</si>
  <si>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</si>
  <si>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</si>
  <si>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</si>
  <si>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</si>
  <si>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</si>
  <si>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</si>
  <si>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</si>
  <si>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</si>
  <si>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</si>
  <si>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</si>
  <si>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</si>
  <si>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</si>
  <si>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</si>
  <si>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</si>
  <si>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</si>
  <si>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</si>
  <si>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</si>
  <si>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</si>
  <si>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</si>
  <si>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</si>
  <si>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</si>
  <si>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</si>
  <si>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</si>
  <si>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</si>
  <si>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</si>
  <si>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</si>
  <si>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</si>
  <si>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</si>
  <si>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</si>
  <si>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</si>
  <si>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</si>
  <si>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</si>
  <si>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</si>
  <si>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</si>
  <si>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</si>
  <si>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</si>
  <si>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</si>
  <si>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</si>
  <si>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</si>
  <si>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</si>
  <si>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</si>
  <si>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</si>
  <si>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</si>
  <si>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</si>
  <si>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</si>
  <si>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</si>
  <si>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</si>
  <si>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</si>
  <si>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</si>
  <si>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</si>
  <si>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http://www.taifex.com.tw/chinese/3/7_8.asp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</si>
</sst>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657522689"/>
  <ax:ocxPr ax:name="CurrentDate" ax:value="4317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D16" sqref="D16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43171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11002.1</v>
      </c>
      <c r="D7" s="34">
        <f>VLOOKUP($B$6,資料整合一覽!$B$3:$AF$500,3,FALSE)</f>
        <v>137.28</v>
      </c>
      <c r="E7" s="35">
        <f>VLOOKUP($B$6,資料整合一覽!$B$3:$AF$500,4,FALSE)</f>
        <v>1.26E-2</v>
      </c>
      <c r="F7" s="33" t="str">
        <f>VLOOKUP($B$6,資料整合一覽!$B$3:$AF$500,5,FALSE)</f>
        <v>1401.03億</v>
      </c>
      <c r="G7" s="36">
        <f>VLOOKUP($B$6,資料整合一覽!$B$3:$AF$500,6,FALSE)</f>
        <v>14.0782077</v>
      </c>
      <c r="H7" s="34">
        <f>VLOOKUP($B$6,資料整合一覽!$B$3:$AF$500,7,FALSE)</f>
        <v>6.6133670000000006E-2</v>
      </c>
      <c r="I7" s="34">
        <f>VLOOKUP($B$6,資料整合一覽!$B$3:$AF$500,8,FALSE)</f>
        <v>2.5064055000000001</v>
      </c>
      <c r="J7" s="34">
        <f>VLOOKUP($B$6,資料整合一覽!$B$3:$AF$500,9,FALSE)</f>
        <v>123.71173652</v>
      </c>
      <c r="K7" s="37">
        <f>VLOOKUP($B$6,資料整合一覽!$B$3:$AF$500,10,FALSE)</f>
        <v>29.28</v>
      </c>
      <c r="L7" s="38">
        <f>VLOOKUP($B$6,資料整合一覽!$B$3:$AF$500,11,FALSE)</f>
        <v>-0.02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-3468.75</v>
      </c>
      <c r="D11" s="27">
        <f>VLOOKUP($B$6,資料整合一覽!$B$3:$AF$500,14,FALSE)</f>
        <v>52813</v>
      </c>
      <c r="E11" s="64">
        <f>VLOOKUP($B$6,資料整合一覽!$B$3:$AF$500,17,FALSE)</f>
        <v>10.0943</v>
      </c>
      <c r="F11" s="64">
        <f>VLOOKUP($B$6,資料整合一覽!$B$3:$AF$500,18,FALSE)</f>
        <v>-23.313600000000001</v>
      </c>
      <c r="G11" s="64">
        <f>VLOOKUP($B$6,資料整合一覽!$B$3:$AF$500,19,FALSE)</f>
        <v>11.345800000000001</v>
      </c>
      <c r="H11" s="64">
        <f>VLOOKUP($B$6,資料整合一覽!$B$3:$AF$500,20,FALSE)</f>
        <v>16.809699999999999</v>
      </c>
      <c r="I11" s="39">
        <f>VLOOKUP($B$6,資料整合一覽!$B$3:$AF$500,21,FALSE)</f>
        <v>1.6403999999999999</v>
      </c>
      <c r="J11" s="41">
        <f>VLOOKUP($B$6,資料整合一覽!$B$3:$AF$500,22,FALSE)</f>
        <v>-0.14801217765042979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4528.25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0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0</v>
      </c>
      <c r="AE392" s="33">
        <f>VLOOKUP($B392,三大美股走勢!$A$4:$J$495,7,FALSE)</f>
        <v>0</v>
      </c>
      <c r="AF392" s="33">
        <f>VLOOKUP($B392,三大美股走勢!$A$4:$J$495,10,FALSE)</f>
        <v>0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>
        <f>VLOOKUP($B393,三大美股走勢!$A$4:$J$495,4,FALSE)</f>
        <v>0</v>
      </c>
      <c r="AE393" s="33">
        <f>VLOOKUP($B393,三大美股走勢!$A$4:$J$495,7,FALSE)</f>
        <v>0</v>
      </c>
      <c r="AF393" s="33">
        <f>VLOOKUP($B393,三大美股走勢!$A$4:$J$495,10,FALSE)</f>
        <v>0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93"/>
  <sheetViews>
    <sheetView zoomScaleNormal="100" workbookViewId="0">
      <pane ySplit="3" topLeftCell="A391" activePane="bottomLeft" state="frozen"/>
      <selection pane="bottomLeft" activeCell="G398" sqref="G398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93"/>
  <sheetViews>
    <sheetView workbookViewId="0">
      <pane ySplit="3" topLeftCell="A388" activePane="bottomLeft" state="frozen"/>
      <selection pane="bottomLeft" activeCell="K398" sqref="K398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1:C393" si="296">B393/100000000</f>
        <v>14.0782077</v>
      </c>
      <c r="D393" s="102">
        <v>6613367</v>
      </c>
      <c r="E393" s="95">
        <f t="shared" ref="E391:E393" si="297">D393/100000000</f>
        <v>6.6133670000000006E-2</v>
      </c>
      <c r="F393" s="102">
        <v>250640550</v>
      </c>
      <c r="G393" s="98">
        <f t="shared" ref="G391:G393" si="298">F393/100000000</f>
        <v>2.5064055000000001</v>
      </c>
      <c r="H393" s="102">
        <v>12371173652</v>
      </c>
      <c r="I393" s="98">
        <f t="shared" ref="I391:I393" si="299">H393/100000000</f>
        <v>123.71173652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94"/>
  <sheetViews>
    <sheetView zoomScale="85" zoomScaleNormal="85" workbookViewId="0">
      <pane ySplit="3" topLeftCell="A387" activePane="bottomLeft" state="frozen"/>
      <selection pane="bottomLeft" activeCell="K395" sqref="K39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2: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2:I394" si="266">G394+H394/4</f>
        <v>52813</v>
      </c>
      <c r="J394" s="10">
        <f t="shared" ref="J392:J394" si="267">I394-$I$375</f>
        <v>4528.25</v>
      </c>
      <c r="K394" s="10">
        <f>I394-I391</f>
        <v>2888.5</v>
      </c>
      <c r="L394" s="10">
        <v>39</v>
      </c>
      <c r="M394" s="10">
        <v>-1499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93"/>
  <sheetViews>
    <sheetView zoomScale="80" zoomScaleNormal="80" workbookViewId="0">
      <pane ySplit="3" topLeftCell="A384" activePane="bottomLeft" state="frozen"/>
      <selection pane="bottomLeft" activeCell="K398" sqref="K39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373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1:D393" si="522">B393-C393</f>
        <v>5324</v>
      </c>
      <c r="E393" s="10">
        <v>62117</v>
      </c>
      <c r="F393" s="10">
        <v>51047</v>
      </c>
      <c r="G393" s="26">
        <f t="shared" ref="G391:G393" si="523">E393-F393</f>
        <v>11070</v>
      </c>
      <c r="H393" s="10">
        <v>50526</v>
      </c>
      <c r="I393" s="10">
        <v>47308</v>
      </c>
      <c r="J393" s="25">
        <f t="shared" ref="J391:J393" si="524">H393-I393</f>
        <v>3218</v>
      </c>
      <c r="K393" s="10">
        <v>68392</v>
      </c>
      <c r="L393" s="10">
        <v>57807</v>
      </c>
      <c r="M393" s="26">
        <f t="shared" ref="M391:M393" si="525">K393-L393</f>
        <v>10585</v>
      </c>
      <c r="N393" s="25">
        <f t="shared" ref="N391:N393" si="526">J393-D393</f>
        <v>-2106</v>
      </c>
      <c r="O393" s="26">
        <f t="shared" ref="O391:O393" si="527">M393-G393</f>
        <v>-485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93"/>
  <sheetViews>
    <sheetView zoomScale="85" zoomScaleNormal="85" workbookViewId="0">
      <pane ySplit="3" topLeftCell="A380" activePane="bottomLeft" state="frozen"/>
      <selection pane="bottomLeft" activeCell="G401" sqref="G401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1:F393" si="359">B393/10000</f>
        <v>10.0943</v>
      </c>
      <c r="G393" s="22">
        <f t="shared" ref="G391:G393" si="360">C393/10000</f>
        <v>-23.313600000000001</v>
      </c>
      <c r="H393" s="22">
        <f t="shared" ref="H391:H393" si="361">D393/10000</f>
        <v>11.345800000000001</v>
      </c>
      <c r="I393" s="22">
        <f t="shared" ref="I391:I393" si="362">E393/10000</f>
        <v>16.809699999999999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93"/>
  <sheetViews>
    <sheetView zoomScaleNormal="100" workbookViewId="0">
      <pane xSplit="1" ySplit="3" topLeftCell="B381" activePane="bottomRight" state="frozen"/>
      <selection pane="topRight" activeCell="B1" sqref="B1"/>
      <selection pane="bottomLeft" activeCell="A4" sqref="A4"/>
      <selection pane="bottomRight" activeCell="F392" sqref="F392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1:C393" si="86">B393/100</f>
        <v>1.6403999999999999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93"/>
  <sheetViews>
    <sheetView workbookViewId="0">
      <pane ySplit="3" topLeftCell="A380" activePane="bottomLeft" state="frozen"/>
      <selection pane="bottomLeft" activeCell="F395" sqref="F395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5"/>
  <sheetViews>
    <sheetView zoomScale="85" zoomScaleNormal="85" workbookViewId="0">
      <pane xSplit="1" ySplit="4" topLeftCell="B378" activePane="bottomRight" state="frozen"/>
      <selection pane="topRight" activeCell="B1" sqref="B1"/>
      <selection pane="bottomLeft" activeCell="A5" sqref="A5"/>
      <selection pane="bottomRight" activeCell="J396" sqref="J396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3: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3:K395" si="256">B395-SUM(H395:J395)</f>
        <v>36210</v>
      </c>
      <c r="L395" s="20">
        <f t="shared" ref="L393:L395" si="257">(F395-K395)/B395</f>
        <v>-0.14801217765042979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94"/>
  <sheetViews>
    <sheetView zoomScaleNormal="100" workbookViewId="0">
      <pane ySplit="3" topLeftCell="A380" activePane="bottomLeft" state="frozen"/>
      <selection pane="bottomLeft" activeCell="G394" sqref="G394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/>
      <c r="C393" s="27"/>
      <c r="D393" s="91"/>
      <c r="E393" s="89"/>
      <c r="F393" s="27"/>
      <c r="G393" s="91"/>
      <c r="H393" s="89"/>
      <c r="I393" s="27"/>
      <c r="J393" s="91"/>
    </row>
    <row r="394" spans="1:10">
      <c r="A394" s="92">
        <v>43172</v>
      </c>
      <c r="B394" s="89"/>
      <c r="C394" s="27"/>
      <c r="D394" s="91"/>
      <c r="E394" s="89"/>
      <c r="F394" s="27"/>
      <c r="G394" s="91"/>
      <c r="H394" s="89"/>
      <c r="I394" s="27"/>
      <c r="J394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2018-03-12T12:46:57Z</dcterms:modified>
</cp:coreProperties>
</file>