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7" i="15" l="1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7" i="14"/>
  <c r="K367" i="14"/>
  <c r="J368" i="14"/>
  <c r="K368" i="14"/>
  <c r="J369" i="14"/>
  <c r="K369" i="14"/>
  <c r="J370" i="14"/>
  <c r="K370" i="14"/>
  <c r="J371" i="14"/>
  <c r="K371" i="14"/>
  <c r="J372" i="14"/>
  <c r="K372" i="14"/>
  <c r="J373" i="14"/>
  <c r="K373" i="14"/>
  <c r="J374" i="14"/>
  <c r="K374" i="14"/>
  <c r="I364" i="14"/>
  <c r="I365" i="14"/>
  <c r="J366" i="14"/>
  <c r="I367" i="14"/>
  <c r="I368" i="14"/>
  <c r="I369" i="14"/>
  <c r="I370" i="14"/>
  <c r="I371" i="14"/>
  <c r="I372" i="14"/>
  <c r="I373" i="14"/>
  <c r="I374" i="14"/>
  <c r="I375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L376" i="15" l="1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<sst xmlns="http://schemas.openxmlformats.org/spreadsheetml/2006/main" count="443" uniqueCount="352">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</sst>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517275649"/>
  <ax:ocxPr ax:name="CurrentDate" ax:value="4315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E18" sqref="E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43152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10714.44</v>
      </c>
      <c r="D7" s="34">
        <f>VLOOKUP($B$6,資料整合一覽!$B$3:$AF$500,3,FALSE)</f>
        <v>293.35000000000002</v>
      </c>
      <c r="E7" s="35">
        <f>VLOOKUP($B$6,資料整合一覽!$B$3:$AF$500,4,FALSE)</f>
        <v>2.81E-2</v>
      </c>
      <c r="F7" s="33" t="str">
        <f>VLOOKUP($B$6,資料整合一覽!$B$3:$AF$500,5,FALSE)</f>
        <v>1453.14億</v>
      </c>
      <c r="G7" s="36">
        <f>VLOOKUP($B$6,資料整合一覽!$B$3:$AF$500,6,FALSE)</f>
        <v>0.82978079999999999</v>
      </c>
      <c r="H7" s="34">
        <f>VLOOKUP($B$6,資料整合一覽!$B$3:$AF$500,7,FALSE)</f>
        <v>16.280684229999999</v>
      </c>
      <c r="I7" s="34">
        <f>VLOOKUP($B$6,資料整合一覽!$B$3:$AF$500,8,FALSE)</f>
        <v>4.0689159799999999</v>
      </c>
      <c r="J7" s="34">
        <f>VLOOKUP($B$6,資料整合一覽!$B$3:$AF$500,9,FALSE)</f>
        <v>92.136241119999994</v>
      </c>
      <c r="K7" s="37">
        <f>VLOOKUP($B$6,資料整合一覽!$B$3:$AF$500,10,FALSE)</f>
        <v>29.245000000000001</v>
      </c>
      <c r="L7" s="38">
        <f>VLOOKUP($B$6,資料整合一覽!$B$3:$AF$500,11,FALSE)</f>
        <v>-9.7000000000000003E-2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-3867.5</v>
      </c>
      <c r="D11" s="27">
        <f>VLOOKUP($B$6,資料整合一覽!$B$3:$AF$500,14,FALSE)</f>
        <v>48284.75</v>
      </c>
      <c r="E11" s="64">
        <f>VLOOKUP($B$6,資料整合一覽!$B$3:$AF$500,17,FALSE)</f>
        <v>4.3067000000000002</v>
      </c>
      <c r="F11" s="64">
        <f>VLOOKUP($B$6,資料整合一覽!$B$3:$AF$500,18,FALSE)</f>
        <v>-49.09</v>
      </c>
      <c r="G11" s="64">
        <f>VLOOKUP($B$6,資料整合一覽!$B$3:$AF$500,19,FALSE)</f>
        <v>5.57</v>
      </c>
      <c r="H11" s="64">
        <f>VLOOKUP($B$6,資料整合一覽!$B$3:$AF$500,20,FALSE)</f>
        <v>52.284399999999998</v>
      </c>
      <c r="I11" s="39">
        <f>VLOOKUP($B$6,資料整合一覽!$B$3:$AF$500,21,FALSE)</f>
        <v>1.4878</v>
      </c>
      <c r="J11" s="41">
        <f>VLOOKUP($B$6,資料整合一覽!$B$3:$AF$500,22,FALSE)</f>
        <v>-3.7329778116369866E-2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0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55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-53348.5</v>
      </c>
      <c r="Q365" s="27">
        <f>VLOOKUP($B365,外資期貨未平倉口數!$A$4:$M$499,11,FALSE)</f>
        <v>-42641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-53348.5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-53348.5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-53348.5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-53348.5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-53348.5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-53348.5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-53348.5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0</v>
      </c>
      <c r="AE373" s="33">
        <f>VLOOKUP($B373,三大美股走勢!$A$4:$J$495,7,FALSE)</f>
        <v>0</v>
      </c>
      <c r="AF373" s="33">
        <f>VLOOKUP($B373,三大美股走勢!$A$4:$J$495,10,FALSE)</f>
        <v>0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>
        <f>VLOOKUP($B374,外資期貨未平倉口數!$A$4:$M$499,4,FALSE)</f>
        <v>0</v>
      </c>
      <c r="O374" s="27">
        <f>VLOOKUP($B374,外資期貨未平倉口數!$A$4:$M$499,9,FALSE)</f>
        <v>0</v>
      </c>
      <c r="P374" s="27">
        <f>VLOOKUP($B374,外資期貨未平倉口數!$A$4:$M$499,10,FALSE)</f>
        <v>-48284.75</v>
      </c>
      <c r="Q374" s="27">
        <f>VLOOKUP($B374,外資期貨未平倉口數!$A$4:$M$499,11,FALSE)</f>
        <v>-48284.75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74"/>
  <sheetViews>
    <sheetView zoomScaleNormal="100" workbookViewId="0">
      <pane ySplit="3" topLeftCell="A355" activePane="bottomLeft" state="frozen"/>
      <selection pane="bottomLeft" activeCell="N370" sqref="N370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74"/>
  <sheetViews>
    <sheetView workbookViewId="0">
      <pane ySplit="3" topLeftCell="A360" activePane="bottomLeft" state="frozen"/>
      <selection pane="bottomLeft" activeCell="K375" sqref="K375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76"/>
  <sheetViews>
    <sheetView zoomScale="85" zoomScaleNormal="85" workbookViewId="0">
      <pane ySplit="3" topLeftCell="A351" activePane="bottomLeft" state="frozen"/>
      <selection pane="bottomLeft" activeCell="C376" sqref="B376:C37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>
        <f t="shared" si="228"/>
        <v>0</v>
      </c>
      <c r="E364" s="10"/>
      <c r="F364" s="10"/>
      <c r="G364" s="10"/>
      <c r="H364" s="10"/>
      <c r="I364" s="10">
        <f t="shared" si="229"/>
        <v>0</v>
      </c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>
        <f t="shared" si="228"/>
        <v>0</v>
      </c>
      <c r="E365" s="10"/>
      <c r="F365" s="10"/>
      <c r="G365" s="10"/>
      <c r="H365" s="10"/>
      <c r="I365" s="10">
        <f t="shared" si="229"/>
        <v>0</v>
      </c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>
        <f t="shared" si="228"/>
        <v>0</v>
      </c>
      <c r="E367" s="10"/>
      <c r="F367" s="10"/>
      <c r="G367" s="10"/>
      <c r="H367" s="10"/>
      <c r="I367" s="10">
        <f t="shared" si="229"/>
        <v>0</v>
      </c>
      <c r="J367" s="10">
        <f t="shared" ref="J364:J375" si="232">I367-$I$340</f>
        <v>-53348.5</v>
      </c>
      <c r="K367" s="10">
        <f t="shared" ref="K364:K375" si="233">I367-I366</f>
        <v>-42641</v>
      </c>
      <c r="L367" s="10"/>
      <c r="M367" s="10"/>
    </row>
    <row r="368" spans="1:13">
      <c r="A368" s="9">
        <v>43145</v>
      </c>
      <c r="B368" s="10"/>
      <c r="C368" s="10"/>
      <c r="D368" s="10">
        <f t="shared" si="228"/>
        <v>0</v>
      </c>
      <c r="E368" s="10"/>
      <c r="F368" s="10"/>
      <c r="G368" s="10"/>
      <c r="H368" s="10"/>
      <c r="I368" s="10">
        <f t="shared" si="229"/>
        <v>0</v>
      </c>
      <c r="J368" s="10">
        <f t="shared" si="232"/>
        <v>-53348.5</v>
      </c>
      <c r="K368" s="10">
        <f t="shared" si="233"/>
        <v>0</v>
      </c>
      <c r="L368" s="10"/>
      <c r="M368" s="10"/>
    </row>
    <row r="369" spans="1:13">
      <c r="A369" s="9">
        <v>43146</v>
      </c>
      <c r="B369" s="10"/>
      <c r="C369" s="10"/>
      <c r="D369" s="10">
        <f t="shared" si="228"/>
        <v>0</v>
      </c>
      <c r="E369" s="10"/>
      <c r="F369" s="10"/>
      <c r="G369" s="10"/>
      <c r="H369" s="10"/>
      <c r="I369" s="10">
        <f t="shared" si="229"/>
        <v>0</v>
      </c>
      <c r="J369" s="10">
        <f t="shared" si="232"/>
        <v>-53348.5</v>
      </c>
      <c r="K369" s="10">
        <f t="shared" si="233"/>
        <v>0</v>
      </c>
      <c r="L369" s="10"/>
      <c r="M369" s="10"/>
    </row>
    <row r="370" spans="1:13">
      <c r="A370" s="9">
        <v>43147</v>
      </c>
      <c r="B370" s="10"/>
      <c r="C370" s="10"/>
      <c r="D370" s="10">
        <f t="shared" si="228"/>
        <v>0</v>
      </c>
      <c r="E370" s="10"/>
      <c r="F370" s="10"/>
      <c r="G370" s="10"/>
      <c r="H370" s="10"/>
      <c r="I370" s="10">
        <f t="shared" si="229"/>
        <v>0</v>
      </c>
      <c r="J370" s="10">
        <f t="shared" si="232"/>
        <v>-53348.5</v>
      </c>
      <c r="K370" s="10">
        <f t="shared" si="233"/>
        <v>0</v>
      </c>
      <c r="L370" s="10"/>
      <c r="M370" s="10"/>
    </row>
    <row r="371" spans="1:13">
      <c r="A371" s="9">
        <v>43148</v>
      </c>
      <c r="B371" s="10"/>
      <c r="C371" s="10"/>
      <c r="D371" s="10">
        <f t="shared" si="228"/>
        <v>0</v>
      </c>
      <c r="E371" s="10"/>
      <c r="F371" s="10"/>
      <c r="G371" s="10"/>
      <c r="H371" s="10"/>
      <c r="I371" s="10">
        <f t="shared" si="229"/>
        <v>0</v>
      </c>
      <c r="J371" s="10">
        <f t="shared" si="232"/>
        <v>-53348.5</v>
      </c>
      <c r="K371" s="10">
        <f t="shared" si="233"/>
        <v>0</v>
      </c>
      <c r="L371" s="10"/>
      <c r="M371" s="10"/>
    </row>
    <row r="372" spans="1:13">
      <c r="A372" s="9">
        <v>43149</v>
      </c>
      <c r="B372" s="10"/>
      <c r="C372" s="10"/>
      <c r="D372" s="10">
        <f t="shared" si="228"/>
        <v>0</v>
      </c>
      <c r="E372" s="10"/>
      <c r="F372" s="10"/>
      <c r="G372" s="10"/>
      <c r="H372" s="10"/>
      <c r="I372" s="10">
        <f t="shared" si="229"/>
        <v>0</v>
      </c>
      <c r="J372" s="10">
        <f t="shared" si="232"/>
        <v>-53348.5</v>
      </c>
      <c r="K372" s="10">
        <f t="shared" si="233"/>
        <v>0</v>
      </c>
      <c r="L372" s="10"/>
      <c r="M372" s="10"/>
    </row>
    <row r="373" spans="1:13">
      <c r="A373" s="9">
        <v>43150</v>
      </c>
      <c r="B373" s="10"/>
      <c r="C373" s="10"/>
      <c r="D373" s="10">
        <f t="shared" si="228"/>
        <v>0</v>
      </c>
      <c r="E373" s="10"/>
      <c r="F373" s="10"/>
      <c r="G373" s="10"/>
      <c r="H373" s="10"/>
      <c r="I373" s="10">
        <f t="shared" si="229"/>
        <v>0</v>
      </c>
      <c r="J373" s="10">
        <f t="shared" si="232"/>
        <v>-53348.5</v>
      </c>
      <c r="K373" s="10">
        <f t="shared" si="233"/>
        <v>0</v>
      </c>
      <c r="L373" s="10"/>
      <c r="M373" s="10"/>
    </row>
    <row r="374" spans="1:13">
      <c r="A374" s="9">
        <v>43151</v>
      </c>
      <c r="B374" s="10"/>
      <c r="C374" s="10"/>
      <c r="D374" s="10">
        <f t="shared" si="228"/>
        <v>0</v>
      </c>
      <c r="E374" s="10"/>
      <c r="F374" s="10"/>
      <c r="G374" s="10"/>
      <c r="H374" s="10"/>
      <c r="I374" s="10">
        <f t="shared" si="229"/>
        <v>0</v>
      </c>
      <c r="J374" s="10">
        <f t="shared" si="232"/>
        <v>-53348.5</v>
      </c>
      <c r="K374" s="10">
        <f t="shared" si="233"/>
        <v>0</v>
      </c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/>
      <c r="C376" s="10"/>
      <c r="D376" s="10">
        <f t="shared" ref="D376" si="234">B376+C376/4</f>
        <v>0</v>
      </c>
      <c r="E376" s="10"/>
      <c r="F376" s="10"/>
      <c r="G376" s="10"/>
      <c r="H376" s="10"/>
      <c r="I376" s="10">
        <f t="shared" ref="I376" si="235">G376+H376/4</f>
        <v>0</v>
      </c>
      <c r="J376" s="10">
        <f>I376-$I$375</f>
        <v>-48284.75</v>
      </c>
      <c r="K376" s="10">
        <f t="shared" ref="K376" si="236">I376-I375</f>
        <v>-48284.75</v>
      </c>
      <c r="L376" s="10"/>
      <c r="M376" s="10"/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74"/>
  <sheetViews>
    <sheetView topLeftCell="C1" zoomScale="80" zoomScaleNormal="80" workbookViewId="0">
      <pane ySplit="3" topLeftCell="A364" activePane="bottomLeft" state="frozen"/>
      <selection pane="bottomLeft" activeCell="Q365" sqref="Q36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3:M365" si="453">K365-L365</f>
        <v>6254</v>
      </c>
      <c r="N365" s="25">
        <f t="shared" ref="N363:N365" si="454">J365-D365</f>
        <v>-7500</v>
      </c>
      <c r="O365" s="26">
        <f t="shared" ref="O363: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63:D374" si="456">B374-C374</f>
        <v>978</v>
      </c>
      <c r="E374" s="10">
        <v>62081</v>
      </c>
      <c r="F374" s="10">
        <v>51639</v>
      </c>
      <c r="G374" s="26">
        <f t="shared" ref="G363:G374" si="457">E374-F374</f>
        <v>10442</v>
      </c>
      <c r="H374" s="10">
        <v>46308</v>
      </c>
      <c r="I374" s="10">
        <v>46804</v>
      </c>
      <c r="J374" s="25">
        <f t="shared" ref="J363:J374" si="458">H374-I374</f>
        <v>-496</v>
      </c>
      <c r="K374" s="10">
        <v>63184</v>
      </c>
      <c r="L374" s="10">
        <v>56030</v>
      </c>
      <c r="M374" s="26">
        <f t="shared" ref="M363:M374" si="459">K374-L374</f>
        <v>7154</v>
      </c>
      <c r="N374" s="25">
        <f t="shared" ref="N363:N374" si="460">J374-D374</f>
        <v>-1474</v>
      </c>
      <c r="O374" s="26">
        <f t="shared" ref="O363:O374" si="461">M374-G374</f>
        <v>-3288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74"/>
  <sheetViews>
    <sheetView zoomScale="85" zoomScaleNormal="85" workbookViewId="0">
      <pane ySplit="3" topLeftCell="A352" activePane="bottomLeft" state="frozen"/>
      <selection pane="bottomLeft" activeCell="B3" sqref="B3:E3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3:F365" si="311">B365/10000</f>
        <v>-13.2569</v>
      </c>
      <c r="G365" s="22">
        <f t="shared" ref="G363:G365" si="312">C365/10000</f>
        <v>-93.055199999999999</v>
      </c>
      <c r="H365" s="22">
        <f t="shared" ref="H363:H365" si="313">D365/10000</f>
        <v>6.5308999999999999</v>
      </c>
      <c r="I365" s="22">
        <f t="shared" ref="I363: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63:F374" si="315">B374/10000</f>
        <v>4.3067000000000002</v>
      </c>
      <c r="G374" s="22">
        <f t="shared" ref="G363:G374" si="316">C374/10000</f>
        <v>-49.09</v>
      </c>
      <c r="H374" s="22">
        <f t="shared" ref="H363:H374" si="317">D374/10000</f>
        <v>5.57</v>
      </c>
      <c r="I374" s="22">
        <f t="shared" ref="I363:I374" si="318">E374/10000</f>
        <v>52.284399999999998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74"/>
  <sheetViews>
    <sheetView zoomScaleNormal="100" workbookViewId="0">
      <pane xSplit="1" ySplit="3" topLeftCell="B365" activePane="bottomRight" state="frozen"/>
      <selection pane="topRight" activeCell="B1" sqref="B1"/>
      <selection pane="bottomLeft" activeCell="A4" sqref="A4"/>
      <selection pane="bottomRight" activeCell="C363" sqref="C363:C364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63:C374" si="75">B374/100</f>
        <v>1.4878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74"/>
  <sheetViews>
    <sheetView workbookViewId="0">
      <pane ySplit="3" topLeftCell="A368" activePane="bottomLeft" state="frozen"/>
      <selection pane="bottomLeft" activeCell="F369" sqref="F369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76"/>
  <sheetViews>
    <sheetView zoomScale="85" zoomScaleNormal="85" workbookViewId="0">
      <pane xSplit="1" ySplit="4" topLeftCell="B354" activePane="bottomRight" state="frozen"/>
      <selection pane="topRight" activeCell="B1" sqref="B1"/>
      <selection pane="bottomLeft" activeCell="A5" sqref="A5"/>
      <selection pane="bottomRight" activeCell="B3" sqref="B3:L3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5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5:K376" si="223">B367-SUM(H367:J367)</f>
        <v>17643</v>
      </c>
      <c r="L367" s="20">
        <f t="shared" ref="L365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74"/>
  <sheetViews>
    <sheetView zoomScaleNormal="100" workbookViewId="0">
      <pane ySplit="3" topLeftCell="A356" activePane="bottomLeft" state="frozen"/>
      <selection pane="bottomLeft" activeCell="H373" sqref="H373:J373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/>
      <c r="C374" s="27"/>
      <c r="D374" s="91"/>
      <c r="E374" s="89"/>
      <c r="F374" s="27"/>
      <c r="G374" s="91"/>
      <c r="H374" s="89"/>
      <c r="I374" s="27"/>
      <c r="J374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2018-02-21T12:32:35Z</dcterms:modified>
</cp:coreProperties>
</file>