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7" i="18" l="1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<sst xmlns="http://schemas.openxmlformats.org/spreadsheetml/2006/main" count="262" uniqueCount="183">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</sst>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63273985"/>
  <ax:ocxPr ax:name="CurrentDate" ax:value="43074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D14" sqref="D14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8" width="12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43074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10566.85</v>
      </c>
      <c r="D7" s="37">
        <f>VLOOKUP($B$6,資料整合一覽!$B$3:$AF$500,3,FALSE)</f>
        <v>-84.26</v>
      </c>
      <c r="E7" s="38">
        <f>VLOOKUP($B$6,資料整合一覽!$B$3:$AF$500,4,FALSE)</f>
        <v>-7.9000000000000008E-3</v>
      </c>
      <c r="F7" s="36" t="str">
        <f>VLOOKUP($B$6,資料整合一覽!$B$3:$AF$500,5,FALSE)</f>
        <v>1446.21億</v>
      </c>
      <c r="G7" s="39">
        <f>VLOOKUP($B$6,資料整合一覽!$B$3:$AF$500,6,FALSE)</f>
        <v>-8.4814160800000007</v>
      </c>
      <c r="H7" s="37">
        <f>VLOOKUP($B$6,資料整合一覽!$B$3:$AF$500,7,FALSE)</f>
        <v>-12.771157499999999</v>
      </c>
      <c r="I7" s="37">
        <f>VLOOKUP($B$6,資料整合一覽!$B$3:$AF$500,8,FALSE)</f>
        <v>-13.568872369999999</v>
      </c>
      <c r="J7" s="37">
        <f>VLOOKUP($B$6,資料整合一覽!$B$3:$AF$500,9,FALSE)</f>
        <v>-5.6824742800000001</v>
      </c>
      <c r="K7" s="40">
        <f>VLOOKUP($B$6,資料整合一覽!$B$3:$AF$500,10,FALSE)</f>
        <v>29.992999999999999</v>
      </c>
      <c r="L7" s="41">
        <f>VLOOKUP($B$6,資料整合一覽!$B$3:$AF$500,11,FALSE)</f>
        <v>-4.2999999999999997E-2</v>
      </c>
      <c r="M7" s="42">
        <f>VLOOKUP($B$6,資料整合一覽!$B$3:$AF$500,12,FALSE)</f>
        <v>93.379000000000005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-5285.25</v>
      </c>
      <c r="D11" s="29">
        <f>VLOOKUP($B$6,資料整合一覽!$B$3:$AF$500,14,FALSE)</f>
        <v>40616</v>
      </c>
      <c r="E11" s="67">
        <f>VLOOKUP($B$6,資料整合一覽!$B$3:$AF$500,17,FALSE)</f>
        <v>-8.0089000000000006</v>
      </c>
      <c r="F11" s="67">
        <f>VLOOKUP($B$6,資料整合一覽!$B$3:$AF$500,18,FALSE)</f>
        <v>-12.623100000000001</v>
      </c>
      <c r="G11" s="67">
        <f>VLOOKUP($B$6,資料整合一覽!$B$3:$AF$500,19,FALSE)</f>
        <v>28.651199999999999</v>
      </c>
      <c r="H11" s="67">
        <f>VLOOKUP($B$6,資料整合一覽!$B$3:$AF$500,20,FALSE)</f>
        <v>71.193799999999996</v>
      </c>
      <c r="I11" s="42">
        <f>VLOOKUP($B$6,資料整合一覽!$B$3:$AF$500,21,FALSE)</f>
        <v>1.3144999999999998</v>
      </c>
      <c r="J11" s="44">
        <f>VLOOKUP($B$6,資料整合一覽!$B$3:$AF$500,22,FALSE)</f>
        <v>0.2506068082887003</v>
      </c>
      <c r="K11" s="38">
        <f>VLOOKUP($B$6,資料整合一覽!$B$3:$AF$500,29,FALSE)</f>
        <v>-4.4999999999999997E-3</v>
      </c>
      <c r="L11" s="38">
        <f>VLOOKUP($B$6,資料整合一覽!$B$3:$AF$500,30,FALSE)</f>
        <v>-1.9E-3</v>
      </c>
      <c r="M11" s="38">
        <f>VLOOKUP($B$6,資料整合一覽!$B$3:$AF$500,31,FALSE)</f>
        <v>5.0000000000000001E-4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7"/>
  <sheetViews>
    <sheetView zoomScale="80" zoomScaleNormal="80" workbookViewId="0">
      <pane ySplit="3" topLeftCell="A292" activePane="bottomLeft" state="frozen"/>
      <selection pane="bottomLeft" activeCell="L297" sqref="L297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97"/>
  <sheetViews>
    <sheetView zoomScaleNormal="100" workbookViewId="0">
      <pane ySplit="3" topLeftCell="A282" activePane="bottomLeft" state="frozen"/>
      <selection pane="bottomLeft" activeCell="L297" sqref="L297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/>
      <c r="C297" s="29"/>
      <c r="D297" s="94"/>
      <c r="E297" s="92"/>
      <c r="F297" s="29"/>
      <c r="G297" s="94"/>
      <c r="H297" s="92"/>
      <c r="I297" s="29"/>
      <c r="J297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0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0</v>
      </c>
      <c r="AE296" s="36">
        <f>VLOOKUP($B296,三大美股走勢!$A$4:$J$495,7,FALSE)</f>
        <v>0</v>
      </c>
      <c r="AF296" s="36">
        <f>VLOOKUP($B296,三大美股走勢!$A$4:$J$495,10,FALSE)</f>
        <v>0</v>
      </c>
    </row>
    <row r="297" spans="2:32">
      <c r="B297" s="35">
        <v>43076</v>
      </c>
      <c r="C297" s="36" t="e">
        <f>VLOOKUP($B297,大盤與近月台指!$A$4:$I$499,2,FALSE)</f>
        <v>#N/A</v>
      </c>
      <c r="D297" s="37" t="e">
        <f>VLOOKUP($B297,大盤與近月台指!$A$4:$I$499,3,FALSE)</f>
        <v>#N/A</v>
      </c>
      <c r="E297" s="38" t="e">
        <f>VLOOKUP($B297,大盤與近月台指!$A$4:$I$499,4,FALSE)</f>
        <v>#N/A</v>
      </c>
      <c r="F297" s="36" t="e">
        <f>VLOOKUP($B297,大盤與近月台指!$A$4:$I$499,5,FALSE)</f>
        <v>#N/A</v>
      </c>
      <c r="G297" s="52" t="e">
        <f>VLOOKUP($B297,三大法人買賣超!$A$4:$I$500,3,FALSE)</f>
        <v>#N/A</v>
      </c>
      <c r="H297" s="37" t="e">
        <f>VLOOKUP($B297,三大法人買賣超!$A$4:$I$500,5,FALSE)</f>
        <v>#N/A</v>
      </c>
      <c r="I297" s="29" t="e">
        <f>VLOOKUP($B297,三大法人買賣超!$A$4:$I$500,7,FALSE)</f>
        <v>#N/A</v>
      </c>
      <c r="J297" s="29" t="e">
        <f>VLOOKUP($B297,三大法人買賣超!$A$4:$I$500,9,FALSE)</f>
        <v>#N/A</v>
      </c>
      <c r="K297" s="40">
        <f>新台幣匯率美元指數!B298</f>
        <v>0</v>
      </c>
      <c r="L297" s="41">
        <f>新台幣匯率美元指數!C298</f>
        <v>0</v>
      </c>
      <c r="M297" s="42">
        <f>新台幣匯率美元指數!D298</f>
        <v>0</v>
      </c>
      <c r="N297" s="29" t="e">
        <f>VLOOKUP($B297,期貨未平倉口數!$A$4:$M$499,4,FALSE)</f>
        <v>#N/A</v>
      </c>
      <c r="O297" s="29" t="e">
        <f>VLOOKUP($B297,期貨未平倉口數!$A$4:$M$499,9,FALSE)</f>
        <v>#N/A</v>
      </c>
      <c r="P297" s="29" t="e">
        <f>VLOOKUP($B297,期貨未平倉口數!$A$4:$M$499,10,FALSE)</f>
        <v>#N/A</v>
      </c>
      <c r="Q297" s="29" t="e">
        <f>VLOOKUP($B297,期貨未平倉口數!$A$4:$M$499,11,FALSE)</f>
        <v>#N/A</v>
      </c>
      <c r="R297" s="67" t="e">
        <f>VLOOKUP($B297,選擇權未平倉餘額!$A$4:$I$500,6,FALSE)</f>
        <v>#N/A</v>
      </c>
      <c r="S297" s="67" t="e">
        <f>VLOOKUP($B297,選擇權未平倉餘額!$A$4:$I$500,7,FALSE)</f>
        <v>#N/A</v>
      </c>
      <c r="T297" s="67" t="e">
        <f>VLOOKUP($B297,選擇權未平倉餘額!$A$4:$I$500,8,FALSE)</f>
        <v>#N/A</v>
      </c>
      <c r="U297" s="67" t="e">
        <f>VLOOKUP($B297,選擇權未平倉餘額!$A$4:$I$500,9,FALSE)</f>
        <v>#N/A</v>
      </c>
      <c r="V297" s="42" t="e">
        <f>VLOOKUP($B297,臺指選擇權P_C_Ratios!$A$4:$C$500,3,FALSE)</f>
        <v>#N/A</v>
      </c>
      <c r="W297" s="44" t="e">
        <f>VLOOKUP($B297,散戶多空比!$A$6:$L$500,12,FALSE)</f>
        <v>#N/A</v>
      </c>
      <c r="X297" s="43" t="e">
        <f>VLOOKUP($B297,期貨大額交易人未沖銷部位!$A$4:$O$499,4,FALSE)</f>
        <v>#N/A</v>
      </c>
      <c r="Y297" s="43" t="e">
        <f>VLOOKUP($B297,期貨大額交易人未沖銷部位!$A$4:$O$499,7,FALSE)</f>
        <v>#N/A</v>
      </c>
      <c r="Z297" s="43" t="e">
        <f>VLOOKUP($B297,期貨大額交易人未沖銷部位!$A$4:$O$499,10,FALSE)</f>
        <v>#N/A</v>
      </c>
      <c r="AA297" s="43" t="e">
        <f>VLOOKUP($B297,期貨大額交易人未沖銷部位!$A$4:$O$499,13,FALSE)</f>
        <v>#N/A</v>
      </c>
      <c r="AB297" s="43" t="e">
        <f>VLOOKUP($B297,期貨大額交易人未沖銷部位!$A$4:$O$499,14,FALSE)</f>
        <v>#N/A</v>
      </c>
      <c r="AC297" s="43" t="e">
        <f>VLOOKUP($B297,期貨大額交易人未沖銷部位!$A$4:$O$499,15,FALSE)</f>
        <v>#N/A</v>
      </c>
      <c r="AD297" s="36" t="e">
        <f>VLOOKUP($B297,三大美股走勢!$A$4:$J$495,4,FALSE)</f>
        <v>#N/A</v>
      </c>
      <c r="AE297" s="36" t="e">
        <f>VLOOKUP($B297,三大美股走勢!$A$4:$J$495,7,FALSE)</f>
        <v>#N/A</v>
      </c>
      <c r="AF297" s="36" t="e">
        <f>VLOOKUP($B297,三大美股走勢!$A$4:$J$495,10,FALSE)</f>
        <v>#N/A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7"/>
  <sheetViews>
    <sheetView workbookViewId="0">
      <pane ySplit="3" topLeftCell="A291" activePane="bottomLeft" state="frozen"/>
      <selection pane="bottomLeft" activeCell="J303" sqref="J303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7"/>
  <sheetViews>
    <sheetView workbookViewId="0">
      <pane ySplit="3" topLeftCell="A288" activePane="bottomLeft" state="frozen"/>
      <selection pane="bottomLeft" activeCell="H297" sqref="H297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7"/>
  <sheetViews>
    <sheetView workbookViewId="0">
      <pane ySplit="3" topLeftCell="A287" activePane="bottomLeft" state="frozen"/>
      <selection pane="bottomLeft" activeCell="D297" sqref="D29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8"/>
  <sheetViews>
    <sheetView zoomScale="85" zoomScaleNormal="85" workbookViewId="0">
      <pane ySplit="3" topLeftCell="A282" activePane="bottomLeft" state="frozen"/>
      <selection pane="bottomLeft" activeCell="M298" sqref="M29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7"/>
  <sheetViews>
    <sheetView zoomScale="85" zoomScaleNormal="85" workbookViewId="0">
      <pane ySplit="3" topLeftCell="A280" activePane="bottomLeft" state="frozen"/>
      <selection pane="bottomLeft" activeCell="H304" sqref="H30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/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/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299"/>
  <sheetViews>
    <sheetView zoomScale="85" zoomScaleNormal="85" workbookViewId="0">
      <pane xSplit="1" ySplit="4" topLeftCell="B274" activePane="bottomRight" state="frozen"/>
      <selection pane="topRight" activeCell="B1" sqref="B1"/>
      <selection pane="bottomLeft" activeCell="A5" sqref="A5"/>
      <selection pane="bottomRight" activeCell="O292" sqref="O292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7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297" sqref="B297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2017-12-06T16:00:44Z</dcterms:modified>
</cp:coreProperties>
</file>