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4" i="15" l="1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<sst xmlns="http://schemas.openxmlformats.org/spreadsheetml/2006/main" count="451" uniqueCount="360">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</sst>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363659265"/>
  <ax:ocxPr ax:name="CurrentDate" ax:value="4316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F16" sqref="F16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43160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10785.79</v>
      </c>
      <c r="D7" s="34">
        <f>VLOOKUP($B$6,資料整合一覽!$B$3:$AF$500,3,FALSE)</f>
        <v>-29.68</v>
      </c>
      <c r="E7" s="35">
        <f>VLOOKUP($B$6,資料整合一覽!$B$3:$AF$500,4,FALSE)</f>
        <v>-2.7000000000000001E-3</v>
      </c>
      <c r="F7" s="33" t="str">
        <f>VLOOKUP($B$6,資料整合一覽!$B$3:$AF$500,5,FALSE)</f>
        <v>1288.03億</v>
      </c>
      <c r="G7" s="36">
        <f>VLOOKUP($B$6,資料整合一覽!$B$3:$AF$500,6,FALSE)</f>
        <v>1.9950517000000001</v>
      </c>
      <c r="H7" s="34">
        <f>VLOOKUP($B$6,資料整合一覽!$B$3:$AF$500,7,FALSE)</f>
        <v>-14.93888565</v>
      </c>
      <c r="I7" s="34">
        <f>VLOOKUP($B$6,資料整合一覽!$B$3:$AF$500,8,FALSE)</f>
        <v>-2.2623828399999999</v>
      </c>
      <c r="J7" s="34">
        <f>VLOOKUP($B$6,資料整合一覽!$B$3:$AF$500,9,FALSE)</f>
        <v>-28.799382609999999</v>
      </c>
      <c r="K7" s="37">
        <f>VLOOKUP($B$6,資料整合一覽!$B$3:$AF$500,10,FALSE)</f>
        <v>29.318000000000001</v>
      </c>
      <c r="L7" s="38">
        <f>VLOOKUP($B$6,資料整合一覽!$B$3:$AF$500,11,FALSE)</f>
        <v>8.7999999999999995E-2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-4982.25</v>
      </c>
      <c r="D11" s="27">
        <f>VLOOKUP($B$6,資料整合一覽!$B$3:$AF$500,14,FALSE)</f>
        <v>45172.75</v>
      </c>
      <c r="E11" s="64">
        <f>VLOOKUP($B$6,資料整合一覽!$B$3:$AF$500,17,FALSE)</f>
        <v>5.7135999999999996</v>
      </c>
      <c r="F11" s="64">
        <f>VLOOKUP($B$6,資料整合一覽!$B$3:$AF$500,18,FALSE)</f>
        <v>-43.022799999999997</v>
      </c>
      <c r="G11" s="64">
        <f>VLOOKUP($B$6,資料整合一覽!$B$3:$AF$500,19,FALSE)</f>
        <v>1.7287999999999999</v>
      </c>
      <c r="H11" s="64">
        <f>VLOOKUP($B$6,資料整合一覽!$B$3:$AF$500,20,FALSE)</f>
        <v>42.702599999999997</v>
      </c>
      <c r="I11" s="39">
        <f>VLOOKUP($B$6,資料整合一覽!$B$3:$AF$500,21,FALSE)</f>
        <v>1.4680000000000002</v>
      </c>
      <c r="J11" s="41">
        <f>VLOOKUP($B$6,資料整合一覽!$B$3:$AF$500,22,FALSE)</f>
        <v>4.5841300191204588E-2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-3112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55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0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0</v>
      </c>
      <c r="AE381" s="33">
        <f>VLOOKUP($B381,三大美股走勢!$A$4:$J$495,7,FALSE)</f>
        <v>0</v>
      </c>
      <c r="AF381" s="33">
        <f>VLOOKUP($B381,三大美股走勢!$A$4:$J$495,10,FALSE)</f>
        <v>0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82"/>
  <sheetViews>
    <sheetView zoomScaleNormal="100" workbookViewId="0">
      <pane ySplit="3" topLeftCell="A371" activePane="bottomLeft" state="frozen"/>
      <selection pane="bottomLeft" activeCell="K389" sqref="K389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352</v>
      </c>
      <c r="F376" s="72">
        <v>10793</v>
      </c>
      <c r="G376" s="21">
        <v>11</v>
      </c>
      <c r="H376" s="44">
        <v>1E-3</v>
      </c>
      <c r="I376" s="42" t="s">
        <v>353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354</v>
      </c>
      <c r="F379" s="72">
        <v>10829</v>
      </c>
      <c r="G379" s="21">
        <v>9</v>
      </c>
      <c r="H379" s="44">
        <v>8.0000000000000004E-4</v>
      </c>
      <c r="I379" s="42" t="s">
        <v>355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356</v>
      </c>
      <c r="F380" s="72">
        <v>10770</v>
      </c>
      <c r="G380" s="21">
        <v>-19</v>
      </c>
      <c r="H380" s="44">
        <v>-1.8E-3</v>
      </c>
      <c r="I380" s="42" t="s">
        <v>357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358</v>
      </c>
      <c r="F382" s="72">
        <v>10753</v>
      </c>
      <c r="G382" s="21">
        <v>19</v>
      </c>
      <c r="H382" s="44">
        <v>1.8E-3</v>
      </c>
      <c r="I382" s="42" t="s">
        <v>359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82"/>
  <sheetViews>
    <sheetView workbookViewId="0">
      <pane ySplit="3" topLeftCell="A376" activePane="bottomLeft" state="frozen"/>
      <selection pane="bottomLeft" activeCell="K383" sqref="K383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83"/>
  <sheetViews>
    <sheetView zoomScale="85" zoomScaleNormal="85" workbookViewId="0">
      <pane ySplit="3" topLeftCell="A375" activePane="bottomLeft" state="frozen"/>
      <selection pane="bottomLeft" activeCell="K384" sqref="K384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2: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2:I383" si="245">G383+H383/4</f>
        <v>45172.75</v>
      </c>
      <c r="J383" s="10">
        <f t="shared" ref="J382:J383" si="246">I383-$I$375</f>
        <v>-3112</v>
      </c>
      <c r="K383" s="10">
        <f>I383-I381</f>
        <v>199.25</v>
      </c>
      <c r="L383" s="10">
        <v>431</v>
      </c>
      <c r="M383" s="10">
        <v>-2015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82"/>
  <sheetViews>
    <sheetView zoomScale="80" zoomScaleNormal="80" workbookViewId="0">
      <pane ySplit="3" topLeftCell="A380" activePane="bottomLeft" state="frozen"/>
      <selection pane="bottomLeft" activeCell="J392" sqref="J392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1:D382" si="480">B382-C382</f>
        <v>303</v>
      </c>
      <c r="E382" s="10">
        <v>57459</v>
      </c>
      <c r="F382" s="10">
        <v>50059</v>
      </c>
      <c r="G382" s="26">
        <f t="shared" ref="G381:G382" si="481">E382-F382</f>
        <v>7400</v>
      </c>
      <c r="H382" s="10">
        <v>45402</v>
      </c>
      <c r="I382" s="10">
        <v>46321</v>
      </c>
      <c r="J382" s="25">
        <f t="shared" ref="J381:J382" si="482">H382-I382</f>
        <v>-919</v>
      </c>
      <c r="K382" s="10">
        <v>61578</v>
      </c>
      <c r="L382" s="10">
        <v>54650</v>
      </c>
      <c r="M382" s="26">
        <f t="shared" ref="M381:M382" si="483">K382-L382</f>
        <v>6928</v>
      </c>
      <c r="N382" s="25">
        <f t="shared" ref="N381:N382" si="484">J382-D382</f>
        <v>-1222</v>
      </c>
      <c r="O382" s="26">
        <f t="shared" ref="O381:O382" si="485">M382-G382</f>
        <v>-472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82"/>
  <sheetViews>
    <sheetView zoomScale="85" zoomScaleNormal="85" workbookViewId="0">
      <pane ySplit="3" topLeftCell="A372" activePane="bottomLeft" state="frozen"/>
      <selection pane="bottomLeft" activeCell="E382" sqref="E382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1:F382" si="331">B382/10000</f>
        <v>5.7135999999999996</v>
      </c>
      <c r="G382" s="22">
        <f t="shared" ref="G381:G382" si="332">C382/10000</f>
        <v>-43.022799999999997</v>
      </c>
      <c r="H382" s="22">
        <f t="shared" ref="H381:H382" si="333">D382/10000</f>
        <v>1.7287999999999999</v>
      </c>
      <c r="I382" s="22">
        <f t="shared" ref="I381:I382" si="334">E382/10000</f>
        <v>42.702599999999997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82"/>
  <sheetViews>
    <sheetView zoomScaleNormal="100" workbookViewId="0">
      <pane xSplit="1" ySplit="3" topLeftCell="B377" activePane="bottomRight" state="frozen"/>
      <selection pane="topRight" activeCell="B1" sqref="B1"/>
      <selection pane="bottomLeft" activeCell="A4" sqref="A4"/>
      <selection pane="bottomRight" activeCell="B382" sqref="B382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1:C382" si="79">B382/100</f>
        <v>1.4680000000000002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82"/>
  <sheetViews>
    <sheetView workbookViewId="0">
      <pane ySplit="3" topLeftCell="A376" activePane="bottomLeft" state="frozen"/>
      <selection pane="bottomLeft" activeCell="F380" sqref="F380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84"/>
  <sheetViews>
    <sheetView zoomScale="85" zoomScaleNormal="85" workbookViewId="0">
      <pane xSplit="1" ySplit="4" topLeftCell="B374" activePane="bottomRight" state="frozen"/>
      <selection pane="topRight" activeCell="B1" sqref="B1"/>
      <selection pane="bottomLeft" activeCell="A5" sqref="A5"/>
      <selection pane="bottomRight" activeCell="L389" sqref="L389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3: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3:K384" si="235">B384-SUM(H384:J384)</f>
        <v>27197</v>
      </c>
      <c r="L384" s="20">
        <f t="shared" ref="L383:L384" si="236">(F384-K384)/B384</f>
        <v>4.5841300191204588E-2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82"/>
  <sheetViews>
    <sheetView zoomScaleNormal="100" workbookViewId="0">
      <pane ySplit="3" topLeftCell="A372" activePane="bottomLeft" state="frozen"/>
      <selection pane="bottomLeft" activeCell="F387" sqref="F387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/>
      <c r="C382" s="27"/>
      <c r="D382" s="91"/>
      <c r="E382" s="89"/>
      <c r="F382" s="27"/>
      <c r="G382" s="91"/>
      <c r="H382" s="89"/>
      <c r="I382" s="27"/>
      <c r="J382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2018-03-01T11:50:17Z</dcterms:modified>
</cp:coreProperties>
</file>