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7" i="18" l="1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<sst xmlns="http://schemas.openxmlformats.org/spreadsheetml/2006/main" count="312" uniqueCount="230">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</sst>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80231937"/>
  <ax:ocxPr ax:name="CurrentDate" ax:value="4310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5" sqref="D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43105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10879.8</v>
      </c>
      <c r="D7" s="34">
        <f>VLOOKUP($B$6,資料整合一覽!$B$3:$AF$500,3,FALSE)</f>
        <v>31.17</v>
      </c>
      <c r="E7" s="35">
        <f>VLOOKUP($B$6,資料整合一覽!$B$3:$AF$500,4,FALSE)</f>
        <v>2.8999999999999998E-3</v>
      </c>
      <c r="F7" s="33" t="str">
        <f>VLOOKUP($B$6,資料整合一覽!$B$3:$AF$500,5,FALSE)</f>
        <v>1411.61億</v>
      </c>
      <c r="G7" s="36">
        <f>VLOOKUP($B$6,資料整合一覽!$B$3:$AF$500,6,FALSE)</f>
        <v>9.4746193000000005</v>
      </c>
      <c r="H7" s="34">
        <f>VLOOKUP($B$6,資料整合一覽!$B$3:$AF$500,7,FALSE)</f>
        <v>6.88283515</v>
      </c>
      <c r="I7" s="34">
        <f>VLOOKUP($B$6,資料整合一覽!$B$3:$AF$500,8,FALSE)</f>
        <v>-3.3491968600000002</v>
      </c>
      <c r="J7" s="34">
        <f>VLOOKUP($B$6,資料整合一覽!$B$3:$AF$500,9,FALSE)</f>
        <v>34.802673890000001</v>
      </c>
      <c r="K7" s="37">
        <f>VLOOKUP($B$6,資料整合一覽!$B$3:$AF$500,10,FALSE)</f>
        <v>29.523</v>
      </c>
      <c r="L7" s="38">
        <f>VLOOKUP($B$6,資料整合一覽!$B$3:$AF$500,11,FALSE)</f>
        <v>-6.7000000000000004E-2</v>
      </c>
      <c r="M7" s="39">
        <f>VLOOKUP($B$6,資料整合一覽!$B$3:$AF$500,12,FALSE)</f>
        <v>91.948999999999998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-432</v>
      </c>
      <c r="D11" s="27">
        <f>VLOOKUP($B$6,資料整合一覽!$B$3:$AF$500,14,FALSE)</f>
        <v>52876.75</v>
      </c>
      <c r="E11" s="64">
        <f>VLOOKUP($B$6,資料整合一覽!$B$3:$AF$500,17,FALSE)</f>
        <v>28.931699999999999</v>
      </c>
      <c r="F11" s="64">
        <f>VLOOKUP($B$6,資料整合一覽!$B$3:$AF$500,18,FALSE)</f>
        <v>-2.7521</v>
      </c>
      <c r="G11" s="64">
        <f>VLOOKUP($B$6,資料整合一覽!$B$3:$AF$500,19,FALSE)</f>
        <v>35.519199999999998</v>
      </c>
      <c r="H11" s="64">
        <f>VLOOKUP($B$6,資料整合一覽!$B$3:$AF$500,20,FALSE)</f>
        <v>19.220099999999999</v>
      </c>
      <c r="I11" s="39">
        <f>VLOOKUP($B$6,資料整合一覽!$B$3:$AF$500,21,FALSE)</f>
        <v>1.8472999999999999</v>
      </c>
      <c r="J11" s="41">
        <f>VLOOKUP($B$6,資料整合一覽!$B$3:$AF$500,22,FALSE)</f>
        <v>-0.18299234618781277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27"/>
  <sheetViews>
    <sheetView zoomScale="80" zoomScaleNormal="80" workbookViewId="0">
      <pane ySplit="3" topLeftCell="A308" activePane="bottomLeft" state="frozen"/>
      <selection pane="bottomLeft" activeCell="L327" sqref="L32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28"/>
  <sheetViews>
    <sheetView zoomScaleNormal="100" workbookViewId="0">
      <pane ySplit="3" topLeftCell="A310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  <row r="325" spans="1:10">
      <c r="A325" s="92">
        <v>43103</v>
      </c>
      <c r="B325" s="89"/>
      <c r="C325" s="27"/>
      <c r="D325" s="91"/>
      <c r="E325" s="89"/>
      <c r="F325" s="27"/>
      <c r="G325" s="91"/>
      <c r="H325" s="89"/>
      <c r="I325" s="27"/>
      <c r="J325" s="91"/>
    </row>
    <row r="326" spans="1:10">
      <c r="A326" s="92">
        <v>43104</v>
      </c>
      <c r="B326" s="89"/>
      <c r="C326" s="27"/>
      <c r="D326" s="91"/>
      <c r="E326" s="89"/>
      <c r="F326" s="27"/>
      <c r="G326" s="91"/>
      <c r="H326" s="89"/>
      <c r="I326" s="27"/>
      <c r="J326" s="91"/>
    </row>
    <row r="327" spans="1:10">
      <c r="A327" s="92">
        <v>43105</v>
      </c>
      <c r="B327" s="89"/>
      <c r="C327" s="27"/>
      <c r="D327" s="91"/>
      <c r="E327" s="89"/>
      <c r="F327" s="27"/>
      <c r="G327" s="91"/>
      <c r="H327" s="89"/>
      <c r="I327" s="27"/>
      <c r="J327" s="91"/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0</v>
      </c>
      <c r="AE324" s="33">
        <f>VLOOKUP($B324,三大美股走勢!$A$4:$J$495,7,FALSE)</f>
        <v>0</v>
      </c>
      <c r="AF324" s="33">
        <f>VLOOKUP($B324,三大美股走勢!$A$4:$J$495,10,FALSE)</f>
        <v>0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0</v>
      </c>
      <c r="AE325" s="33">
        <f>VLOOKUP($B325,三大美股走勢!$A$4:$J$495,7,FALSE)</f>
        <v>0</v>
      </c>
      <c r="AF325" s="33">
        <f>VLOOKUP($B325,三大美股走勢!$A$4:$J$495,10,FALSE)</f>
        <v>0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VLOOKUP($B326,期貨未平倉口數!$A$4:$M$499,4,FALSE)</f>
        <v>-432</v>
      </c>
      <c r="O326" s="27">
        <f>VLOOKUP($B326,期貨未平倉口數!$A$4:$M$499,9,FALSE)</f>
        <v>52876.75</v>
      </c>
      <c r="P326" s="27">
        <f>VLOOKUP($B326,期貨未平倉口數!$A$4:$M$499,10,FALSE)</f>
        <v>6831.5</v>
      </c>
      <c r="Q326" s="27">
        <f>VLOOKUP($B326,期貨未平倉口數!$A$4:$M$499,11,FALSE)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0</v>
      </c>
      <c r="AE326" s="33">
        <f>VLOOKUP($B326,三大美股走勢!$A$4:$J$495,7,FALSE)</f>
        <v>0</v>
      </c>
      <c r="AF326" s="33">
        <f>VLOOKUP($B326,三大美股走勢!$A$4:$J$495,10,FALSE)</f>
        <v>0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27"/>
  <sheetViews>
    <sheetView workbookViewId="0">
      <pane ySplit="3" topLeftCell="A312" activePane="bottomLeft" state="frozen"/>
      <selection pane="bottomLeft" activeCell="D334" sqref="D334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  <row r="327" spans="1:9">
      <c r="A327" s="92">
        <v>43105</v>
      </c>
      <c r="B327" s="97">
        <v>947461930</v>
      </c>
      <c r="C327" s="99">
        <f t="shared" ref="C327" si="212">B327/100000000</f>
        <v>9.4746193000000005</v>
      </c>
      <c r="D327" s="98">
        <v>688283515</v>
      </c>
      <c r="E327" s="96">
        <f t="shared" ref="E327" si="213">D327/100000000</f>
        <v>6.88283515</v>
      </c>
      <c r="F327" s="97">
        <v>-334919686</v>
      </c>
      <c r="G327" s="99">
        <f t="shared" ref="G327" si="214">F327/100000000</f>
        <v>-3.3491968600000002</v>
      </c>
      <c r="H327" s="97">
        <v>3480267389</v>
      </c>
      <c r="I327" s="99">
        <f t="shared" ref="I327" si="215">H327/100000000</f>
        <v>34.802673890000001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28"/>
  <sheetViews>
    <sheetView zoomScale="85" zoomScaleNormal="85" workbookViewId="0">
      <pane ySplit="3" topLeftCell="A312" activePane="bottomLeft" state="frozen"/>
      <selection pane="bottomLeft" activeCell="M328" sqref="M32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72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73">G328+H328/4</f>
        <v>52876.75</v>
      </c>
      <c r="J328" s="10">
        <f t="shared" ref="J328" si="174">I328-$I$312</f>
        <v>6831.5</v>
      </c>
      <c r="K328" s="10">
        <f>I328-I327</f>
        <v>-152.25</v>
      </c>
      <c r="L328" s="10">
        <v>711</v>
      </c>
      <c r="M328" s="10">
        <v>-1784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27"/>
  <sheetViews>
    <sheetView workbookViewId="0">
      <pane ySplit="3" topLeftCell="A315" activePane="bottomLeft" state="frozen"/>
      <selection pane="bottomLeft" activeCell="G332" sqref="G33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222</v>
      </c>
      <c r="F324" s="72">
        <v>10713</v>
      </c>
      <c r="G324" s="21">
        <v>5</v>
      </c>
      <c r="H324" s="44">
        <v>5.0000000000000001E-4</v>
      </c>
      <c r="I324" s="42" t="s">
        <v>223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224</v>
      </c>
      <c r="F325" s="72">
        <v>10814</v>
      </c>
      <c r="G325" s="21">
        <v>26</v>
      </c>
      <c r="H325" s="44">
        <v>2.3999999999999998E-3</v>
      </c>
      <c r="I325" s="42" t="s">
        <v>225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226</v>
      </c>
      <c r="F326" s="72">
        <v>10857</v>
      </c>
      <c r="G326" s="21">
        <v>20</v>
      </c>
      <c r="H326" s="44">
        <v>1.8E-3</v>
      </c>
      <c r="I326" s="42" t="s">
        <v>227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228</v>
      </c>
      <c r="F327" s="72">
        <v>10882</v>
      </c>
      <c r="G327" s="21">
        <v>24</v>
      </c>
      <c r="H327" s="44">
        <v>2.2000000000000001E-3</v>
      </c>
      <c r="I327" s="42" t="s">
        <v>229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27"/>
  <sheetViews>
    <sheetView workbookViewId="0">
      <pane ySplit="3" topLeftCell="A315" activePane="bottomLeft" state="frozen"/>
      <selection pane="bottomLeft" activeCell="F323" sqref="F323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27"/>
  <sheetViews>
    <sheetView zoomScale="85" zoomScaleNormal="85" workbookViewId="0">
      <pane ySplit="3" topLeftCell="A316" activePane="bottomLeft" state="frozen"/>
      <selection pane="bottomLeft" activeCell="H332" sqref="H332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9"/>
  <sheetViews>
    <sheetView zoomScale="85" zoomScaleNormal="85" workbookViewId="0">
      <pane xSplit="1" ySplit="4" topLeftCell="B310" activePane="bottomRight" state="frozen"/>
      <selection pane="topRight" activeCell="B1" sqref="B1"/>
      <selection pane="bottomLeft" activeCell="A5" sqref="A5"/>
      <selection pane="bottomRight" activeCell="J330" sqref="J33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27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B327" sqref="B327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2018-01-06T14:42:20Z</dcterms:modified>
</cp:coreProperties>
</file>