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1" i="15" l="1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<sst xmlns="http://schemas.openxmlformats.org/spreadsheetml/2006/main" count="447" uniqueCount="356">
  <si>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</si>
  <si>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</si>
  <si>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</si>
  <si>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</si>
  <si>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</si>
  <si>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</si>
  <si>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</si>
  <si>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</si>
  <si>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</si>
  <si>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</si>
  <si>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</si>
  <si>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</si>
  <si>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</si>
  <si>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</si>
  <si>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</si>
  <si>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</si>
  <si>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</si>
  <si>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</si>
  <si>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</si>
  <si>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</si>
  <si>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</si>
  <si>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</si>
  <si>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</si>
  <si>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</si>
  <si>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</si>
  <si>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</si>
  <si>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</si>
  <si>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</si>
  <si>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</si>
  <si>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</si>
  <si>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</si>
  <si>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</si>
  <si>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</si>
  <si>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</si>
  <si>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</si>
  <si>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</si>
  <si>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</si>
  <si>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</si>
  <si>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</si>
  <si>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</si>
  <si>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</si>
  <si>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</si>
  <si>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</si>
  <si>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</si>
  <si>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</si>
  <si>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</si>
  <si>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</si>
  <si>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</si>
  <si>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</si>
  <si>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</si>
  <si>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</si>
  <si>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</si>
  <si>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</si>
  <si>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</si>
  <si>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</si>
  <si>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</si>
  <si>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</si>
  <si>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</si>
  <si>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</si>
  <si>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</si>
  <si>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</si>
  <si>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</si>
  <si>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</si>
  <si>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</si>
  <si>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</si>
  <si>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</si>
  <si>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</si>
  <si>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</si>
  <si>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</si>
  <si>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</si>
  <si>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</si>
  <si>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</si>
  <si>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</si>
  <si>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</si>
  <si>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</si>
  <si>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</si>
  <si>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</si>
  <si>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</si>
  <si>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</si>
  <si>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</si>
  <si>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</si>
  <si>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</si>
  <si>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</si>
  <si>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</si>
  <si>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</si>
  <si>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</si>
  <si>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</si>
  <si>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</si>
  <si>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</si>
  <si>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</si>
  <si>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</si>
  <si>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</si>
  <si>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</si>
  <si>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</si>
  <si>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</si>
  <si>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</si>
  <si>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</si>
  <si>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</si>
  <si>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</si>
  <si>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</si>
  <si>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</si>
  <si>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</si>
  <si>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</si>
  <si>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</si>
  <si>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</si>
  <si>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</si>
  <si>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</si>
  <si>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</si>
  <si>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</si>
  <si>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</si>
  <si>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</si>
  <si>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</si>
  <si>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</si>
  <si>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</si>
  <si>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</si>
  <si>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</si>
  <si>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</si>
  <si>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</si>
  <si>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</si>
  <si>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</si>
  <si>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</si>
  <si>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</si>
  <si>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</si>
  <si>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</si>
  <si>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</si>
  <si>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</si>
  <si>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</si>
  <si>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</si>
  <si>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</si>
  <si>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</si>
  <si>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</si>
  <si>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</si>
  <si>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</si>
  <si>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</si>
  <si>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</si>
  <si>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</si>
  <si>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</si>
  <si>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</si>
  <si>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</si>
  <si>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</si>
  <si>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</si>
  <si>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</si>
  <si>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</si>
  <si>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</si>
  <si>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</si>
  <si>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</si>
  <si>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</si>
  <si>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</si>
  <si>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</si>
  <si>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</si>
  <si>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</si>
  <si>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</si>
  <si>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</si>
  <si>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</si>
  <si>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</si>
  <si>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</si>
  <si>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</si>
  <si>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</si>
  <si>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</si>
  <si>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</si>
  <si>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</si>
  <si>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</si>
  <si>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</si>
  <si>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</si>
  <si>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</si>
  <si>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</si>
  <si>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</si>
  <si>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</si>
  <si>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</si>
  <si>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</si>
  <si>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</si>
  <si>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</si>
  <si>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</si>
  <si>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</si>
  <si>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</si>
  <si>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</si>
  <si>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</si>
  <si>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</si>
  <si>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</si>
  <si>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</si>
  <si>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</si>
  <si>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</si>
  <si>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</si>
  <si>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</si>
  <si>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</si>
  <si>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</si>
  <si>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</si>
  <si>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</si>
  <si>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</si>
  <si>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</si>
  <si>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</si>
  <si>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</si>
  <si>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</si>
  <si>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</si>
  <si>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</si>
  <si>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</si>
  <si>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</si>
  <si>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</si>
  <si>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</si>
  <si>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</si>
  <si>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</si>
  <si>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</si>
  <si>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</si>
  <si>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</si>
  <si>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</si>
  <si>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</si>
  <si>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</si>
  <si>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</si>
  <si>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</si>
  <si>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</si>
  <si>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</si>
  <si>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</si>
  <si>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</si>
  <si>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</si>
  <si>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</si>
  <si>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</si>
  <si>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</si>
  <si>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</si>
  <si>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</si>
  <si>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</si>
  <si>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</si>
  <si>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</si>
  <si>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</si>
  <si>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</si>
  <si>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</si>
  <si>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</si>
  <si>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</si>
  <si>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</si>
  <si>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</si>
  <si>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</si>
  <si>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</si>
  <si>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</si>
  <si>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</si>
  <si>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</si>
  <si>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</si>
  <si>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</si>
  <si>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</si>
  <si>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</si>
  <si>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</si>
  <si>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</si>
  <si>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</si>
  <si>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</si>
  <si>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</si>
  <si>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</si>
  <si>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</si>
  <si>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</si>
  <si>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</si>
  <si>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</si>
  <si>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</si>
  <si>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</si>
  <si>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</si>
  <si>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</si>
  <si>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</si>
  <si>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</si>
  <si>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</si>
  <si>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</si>
  <si>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</si>
  <si>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</si>
  <si>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</si>
  <si>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</si>
  <si>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</si>
  <si>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</si>
  <si>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</si>
  <si>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</si>
  <si>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</si>
  <si>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</si>
  <si>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</si>
  <si>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</si>
  <si>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</si>
  <si>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</si>
  <si>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</si>
  <si>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</si>
  <si>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</si>
  <si>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</si>
  <si>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</si>
  <si>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</si>
  <si>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</si>
  <si>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</si>
  <si>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</si>
  <si>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</si>
  <si>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</si>
  <si>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</si>
  <si>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</si>
  <si>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</si>
  <si>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</si>
  <si>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</si>
  <si>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</si>
  <si>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</si>
  <si>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</si>
  <si>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</si>
  <si>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</si>
  <si>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</si>
  <si>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</si>
  <si>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</si>
  <si>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</si>
  <si>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</si>
  <si>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</si>
  <si>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</si>
  <si>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</si>
  <si>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</si>
  <si>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</si>
  <si>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</si>
  <si>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</si>
  <si>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</si>
  <si>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</si>
  <si>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</si>
  <si>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</si>
  <si>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</si>
  <si>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</si>
  <si>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</si>
  <si>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</si>
  <si>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</si>
  <si>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</si>
  <si>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</si>
  <si>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</si>
  <si>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</si>
  <si>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</si>
  <si>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</si>
  <si>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</si>
  <si>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</si>
  <si>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</si>
  <si>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</si>
  <si>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</si>
  <si>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</si>
  <si>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</si>
  <si>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</si>
  <si>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</si>
  <si>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</si>
  <si>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</si>
  <si>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</si>
  <si>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</si>
  <si>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</si>
  <si>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</si>
  <si>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</si>
  <si>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</si>
  <si>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</si>
  <si>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</si>
  <si>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</si>
  <si>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</si>
  <si>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</si>
  <si>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</si>
  <si>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</si>
  <si>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</si>
  <si>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</si>
  <si>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</si>
  <si>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</si>
  <si>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</si>
  <si>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</si>
  <si>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</si>
  <si>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</si>
  <si>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</si>
  <si>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</si>
  <si>
    <t>1236.78億</t>
  </si>
  <si>
    <t>10679口</t>
  </si>
  <si>
    <t>1202.84億</t>
  </si>
  <si>
    <t>5066口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</si>
</sst>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399966209"/>
  <ax:ocxPr ax:name="CurrentDate" ax:value="43157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G17" sqref="G17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43157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10836.7</v>
      </c>
      <c r="D7" s="34">
        <f>VLOOKUP($B$6,資料整合一覽!$B$3:$AF$500,3,FALSE)</f>
        <v>42.15</v>
      </c>
      <c r="E7" s="35">
        <f>VLOOKUP($B$6,資料整合一覽!$B$3:$AF$500,4,FALSE)</f>
        <v>3.8999999999999998E-3</v>
      </c>
      <c r="F7" s="33" t="str">
        <f>VLOOKUP($B$6,資料整合一覽!$B$3:$AF$500,5,FALSE)</f>
        <v>1202.84億</v>
      </c>
      <c r="G7" s="36">
        <f>VLOOKUP($B$6,資料整合一覽!$B$3:$AF$500,6,FALSE)</f>
        <v>3.5920888600000001</v>
      </c>
      <c r="H7" s="34">
        <f>VLOOKUP($B$6,資料整合一覽!$B$3:$AF$500,7,FALSE)</f>
        <v>-3.6040154900000001</v>
      </c>
      <c r="I7" s="34">
        <f>VLOOKUP($B$6,資料整合一覽!$B$3:$AF$500,8,FALSE)</f>
        <v>7.2871867899999998</v>
      </c>
      <c r="J7" s="34">
        <f>VLOOKUP($B$6,資料整合一覽!$B$3:$AF$500,9,FALSE)</f>
        <v>2.6515080499999999</v>
      </c>
      <c r="K7" s="37">
        <f>VLOOKUP($B$6,資料整合一覽!$B$3:$AF$500,10,FALSE)</f>
        <v>29.234999999999999</v>
      </c>
      <c r="L7" s="38">
        <f>VLOOKUP($B$6,資料整合一覽!$B$3:$AF$500,11,FALSE)</f>
        <v>-7.0999999999999994E-2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-3347</v>
      </c>
      <c r="D11" s="27">
        <f>VLOOKUP($B$6,資料整合一覽!$B$3:$AF$500,14,FALSE)</f>
        <v>43624.75</v>
      </c>
      <c r="E11" s="64">
        <f>VLOOKUP($B$6,資料整合一覽!$B$3:$AF$500,17,FALSE)</f>
        <v>6.8005000000000004</v>
      </c>
      <c r="F11" s="64">
        <f>VLOOKUP($B$6,資料整合一覽!$B$3:$AF$500,18,FALSE)</f>
        <v>4.5846999999999998</v>
      </c>
      <c r="G11" s="64">
        <f>VLOOKUP($B$6,資料整合一覽!$B$3:$AF$500,19,FALSE)</f>
        <v>-35.300400000000003</v>
      </c>
      <c r="H11" s="64">
        <f>VLOOKUP($B$6,資料整合一覽!$B$3:$AF$500,20,FALSE)</f>
        <v>36.873399999999997</v>
      </c>
      <c r="I11" s="39">
        <f>VLOOKUP($B$6,資料整合一覽!$B$3:$AF$500,21,FALSE)</f>
        <v>1.3537000000000001</v>
      </c>
      <c r="J11" s="41">
        <f>VLOOKUP($B$6,資料整合一覽!$B$3:$AF$500,22,FALSE)</f>
        <v>7.7935624875819592E-2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-4660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55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0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0</v>
      </c>
      <c r="AE378" s="33">
        <f>VLOOKUP($B378,三大美股走勢!$A$4:$J$495,7,FALSE)</f>
        <v>0</v>
      </c>
      <c r="AF378" s="33">
        <f>VLOOKUP($B378,三大美股走勢!$A$4:$J$495,10,FALSE)</f>
        <v>0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79"/>
  <sheetViews>
    <sheetView zoomScaleNormal="100" workbookViewId="0">
      <pane ySplit="3" topLeftCell="A371" activePane="bottomLeft" state="frozen"/>
      <selection pane="bottomLeft" activeCell="G379" sqref="G379:I379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352</v>
      </c>
      <c r="F376" s="72">
        <v>10793</v>
      </c>
      <c r="G376" s="21">
        <v>11</v>
      </c>
      <c r="H376" s="44">
        <v>1E-3</v>
      </c>
      <c r="I376" s="42" t="s">
        <v>353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354</v>
      </c>
      <c r="F379" s="72">
        <v>10829</v>
      </c>
      <c r="G379" s="21">
        <v>9</v>
      </c>
      <c r="H379" s="44">
        <v>8.0000000000000004E-4</v>
      </c>
      <c r="I379" s="42" t="s">
        <v>355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79"/>
  <sheetViews>
    <sheetView workbookViewId="0">
      <pane ySplit="3" topLeftCell="A368" activePane="bottomLeft" state="frozen"/>
      <selection pane="bottomLeft" activeCell="H379" sqref="H379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7:C379" si="264">B379/100000000</f>
        <v>3.5920888600000001</v>
      </c>
      <c r="D379" s="102">
        <v>-360401549</v>
      </c>
      <c r="E379" s="95">
        <f t="shared" ref="E377:E379" si="265">D379/100000000</f>
        <v>-3.6040154900000001</v>
      </c>
      <c r="F379" s="102">
        <v>728718679</v>
      </c>
      <c r="G379" s="98">
        <f t="shared" ref="G377:G379" si="266">F379/100000000</f>
        <v>7.2871867899999998</v>
      </c>
      <c r="H379" s="102">
        <v>265150805</v>
      </c>
      <c r="I379" s="98">
        <f t="shared" ref="I377:I379" si="267">H379/100000000</f>
        <v>2.6515080499999999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80"/>
  <sheetViews>
    <sheetView zoomScale="85" zoomScaleNormal="85" workbookViewId="0">
      <pane ySplit="3" topLeftCell="A375" activePane="bottomLeft" state="frozen"/>
      <selection pane="bottomLeft" activeCell="A363" sqref="A363:A374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78: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78:I380" si="239">G380+H380/4</f>
        <v>43624.75</v>
      </c>
      <c r="J380" s="10">
        <f t="shared" ref="J378:J380" si="240">I380-$I$375</f>
        <v>-4660</v>
      </c>
      <c r="K380" s="10">
        <f>I380-I377</f>
        <v>-4500.75</v>
      </c>
      <c r="L380" s="10">
        <v>118</v>
      </c>
      <c r="M380" s="10">
        <v>-1999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79"/>
  <sheetViews>
    <sheetView zoomScale="80" zoomScaleNormal="80" workbookViewId="0">
      <pane ySplit="3" topLeftCell="A376" activePane="bottomLeft" state="frozen"/>
      <selection pane="bottomLeft" activeCell="L385" sqref="L385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7:D379" si="468">B379-C379</f>
        <v>870</v>
      </c>
      <c r="E379" s="10">
        <v>58778</v>
      </c>
      <c r="F379" s="10">
        <v>52120</v>
      </c>
      <c r="G379" s="26">
        <f t="shared" ref="G377:G379" si="469">E379-F379</f>
        <v>6658</v>
      </c>
      <c r="H379" s="10">
        <v>46472</v>
      </c>
      <c r="I379" s="10">
        <v>47214</v>
      </c>
      <c r="J379" s="25">
        <f t="shared" ref="J377:J379" si="470">H379-I379</f>
        <v>-742</v>
      </c>
      <c r="K379" s="10">
        <v>61773</v>
      </c>
      <c r="L379" s="10">
        <v>56304</v>
      </c>
      <c r="M379" s="26">
        <f t="shared" ref="M377:M379" si="471">K379-L379</f>
        <v>5469</v>
      </c>
      <c r="N379" s="25">
        <f t="shared" ref="N377:N379" si="472">J379-D379</f>
        <v>-1612</v>
      </c>
      <c r="O379" s="26">
        <f t="shared" ref="O377:O379" si="473">M379-G379</f>
        <v>-1189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79"/>
  <sheetViews>
    <sheetView zoomScale="85" zoomScaleNormal="85" workbookViewId="0">
      <pane ySplit="3" topLeftCell="A372" activePane="bottomLeft" state="frozen"/>
      <selection pane="bottomLeft" activeCell="F388" sqref="F388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7:F379" si="323">B379/10000</f>
        <v>6.8005000000000004</v>
      </c>
      <c r="G379" s="22">
        <f t="shared" ref="G377:G379" si="324">C379/10000</f>
        <v>4.5846999999999998</v>
      </c>
      <c r="H379" s="22">
        <f t="shared" ref="H377:H379" si="325">D379/10000</f>
        <v>-35.300400000000003</v>
      </c>
      <c r="I379" s="22">
        <f t="shared" ref="I377:I379" si="326">E379/10000</f>
        <v>36.873399999999997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79"/>
  <sheetViews>
    <sheetView zoomScaleNormal="100" workbookViewId="0">
      <pane xSplit="1" ySplit="3" topLeftCell="B377" activePane="bottomRight" state="frozen"/>
      <selection pane="topRight" activeCell="B1" sqref="B1"/>
      <selection pane="bottomLeft" activeCell="A4" sqref="A4"/>
      <selection pane="bottomRight" activeCell="E377" sqref="E377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7:C379" si="77">B379/100</f>
        <v>1.3537000000000001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79"/>
  <sheetViews>
    <sheetView workbookViewId="0">
      <pane ySplit="3" topLeftCell="A368" activePane="bottomLeft" state="frozen"/>
      <selection pane="bottomLeft" activeCell="G382" sqref="G382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81"/>
  <sheetViews>
    <sheetView zoomScale="85" zoomScaleNormal="85" workbookViewId="0">
      <pane xSplit="1" ySplit="4" topLeftCell="B370" activePane="bottomRight" state="frozen"/>
      <selection pane="topRight" activeCell="B1" sqref="B1"/>
      <selection pane="bottomLeft" activeCell="A5" sqref="A5"/>
      <selection pane="bottomRight" activeCell="K389" sqref="K389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79: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79:K381" si="229">B381-SUM(H381:J381)</f>
        <v>25386</v>
      </c>
      <c r="L381" s="20">
        <f t="shared" ref="L379:L381" si="230">(F381-K381)/B381</f>
        <v>7.7935624875819592E-2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79"/>
  <sheetViews>
    <sheetView zoomScaleNormal="100" workbookViewId="0">
      <pane ySplit="3" topLeftCell="A372" activePane="bottomLeft" state="frozen"/>
      <selection pane="bottomLeft" activeCell="F384" sqref="F384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/>
      <c r="C379" s="27"/>
      <c r="D379" s="91"/>
      <c r="E379" s="89"/>
      <c r="F379" s="27"/>
      <c r="G379" s="91"/>
      <c r="H379" s="89"/>
      <c r="I379" s="27"/>
      <c r="J379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2018-02-26T11:17:01Z</dcterms:modified>
</cp:coreProperties>
</file>