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5" i="15" l="1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<sst xmlns="http://schemas.openxmlformats.org/spreadsheetml/2006/main" count="453" uniqueCount="362">
  <si>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</si>
  <si>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</si>
  <si>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</si>
  <si>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</si>
  <si>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</si>
  <si>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</si>
  <si>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</si>
  <si>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</si>
  <si>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</si>
  <si>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</si>
  <si>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</si>
  <si>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</si>
  <si>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</si>
  <si>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</si>
  <si>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</si>
  <si>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</si>
  <si>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</si>
  <si>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</si>
  <si>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</si>
  <si>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</si>
  <si>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</si>
  <si>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</si>
  <si>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</si>
  <si>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</si>
  <si>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</si>
  <si>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</si>
  <si>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</si>
  <si>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</si>
  <si>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</si>
  <si>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</si>
  <si>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</si>
  <si>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</si>
  <si>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</si>
  <si>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</si>
  <si>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</si>
  <si>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</si>
  <si>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</si>
  <si>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</si>
  <si>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</si>
  <si>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</si>
  <si>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</si>
  <si>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</si>
  <si>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</si>
  <si>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</si>
  <si>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</si>
  <si>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</si>
  <si>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</si>
  <si>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</si>
  <si>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</si>
  <si>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</si>
  <si>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</si>
  <si>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</si>
  <si>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</si>
  <si>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</si>
  <si>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</si>
  <si>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</si>
  <si>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</si>
  <si>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</si>
  <si>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</si>
  <si>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</si>
  <si>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</si>
  <si>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</si>
  <si>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</si>
  <si>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</si>
  <si>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</si>
  <si>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</si>
  <si>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</si>
  <si>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</si>
  <si>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</si>
  <si>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</si>
  <si>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</si>
  <si>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</si>
  <si>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</si>
  <si>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</si>
  <si>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</si>
  <si>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</si>
  <si>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</si>
  <si>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</si>
  <si>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</si>
  <si>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</si>
  <si>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</si>
  <si>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</si>
  <si>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</si>
  <si>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</si>
  <si>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</si>
  <si>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</si>
  <si>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</si>
  <si>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</si>
  <si>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</si>
  <si>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</si>
  <si>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</si>
  <si>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</si>
  <si>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</si>
  <si>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</si>
  <si>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</si>
  <si>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</si>
  <si>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</si>
  <si>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</si>
  <si>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</si>
  <si>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</si>
  <si>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</si>
  <si>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</si>
  <si>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</si>
  <si>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</si>
  <si>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</si>
  <si>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</si>
  <si>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</si>
  <si>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</si>
  <si>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</si>
  <si>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</si>
  <si>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</si>
  <si>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</si>
  <si>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</si>
  <si>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</si>
  <si>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</si>
  <si>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</si>
  <si>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</si>
  <si>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</si>
  <si>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</si>
  <si>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</si>
  <si>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</si>
  <si>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</si>
  <si>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</si>
  <si>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</si>
  <si>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</si>
  <si>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</si>
  <si>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</si>
  <si>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</si>
  <si>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</si>
  <si>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</si>
  <si>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</si>
  <si>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</si>
  <si>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</si>
  <si>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</si>
  <si>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</si>
  <si>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</si>
  <si>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</si>
  <si>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</si>
  <si>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</si>
  <si>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</si>
  <si>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</si>
  <si>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</si>
  <si>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</si>
  <si>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</si>
  <si>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</si>
  <si>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</si>
  <si>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</si>
  <si>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</si>
  <si>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</si>
  <si>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</si>
  <si>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</si>
  <si>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</si>
  <si>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</si>
  <si>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</si>
  <si>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</si>
  <si>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</si>
  <si>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</si>
  <si>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</si>
  <si>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</si>
  <si>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</si>
  <si>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</si>
  <si>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</si>
  <si>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</si>
  <si>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</si>
  <si>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</si>
  <si>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</si>
  <si>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</si>
  <si>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</si>
  <si>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</si>
  <si>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</si>
  <si>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</si>
  <si>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</si>
  <si>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</si>
  <si>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</si>
  <si>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</si>
  <si>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</si>
  <si>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</si>
  <si>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</si>
  <si>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</si>
  <si>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</si>
  <si>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</si>
  <si>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</si>
  <si>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</si>
  <si>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</si>
  <si>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</si>
  <si>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</si>
  <si>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</si>
  <si>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</si>
  <si>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</si>
  <si>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</si>
  <si>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</si>
  <si>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</si>
  <si>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</si>
  <si>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</si>
  <si>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</si>
  <si>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</si>
  <si>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</si>
  <si>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</si>
  <si>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</si>
  <si>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</si>
  <si>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</si>
  <si>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</si>
  <si>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</si>
  <si>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</si>
  <si>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</si>
  <si>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</si>
  <si>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</si>
  <si>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</si>
  <si>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</si>
  <si>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</si>
  <si>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</si>
  <si>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</si>
  <si>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</si>
  <si>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</si>
  <si>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</si>
  <si>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</si>
  <si>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</si>
  <si>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</si>
  <si>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</si>
  <si>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</si>
  <si>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</si>
  <si>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</si>
  <si>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</si>
  <si>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</si>
  <si>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</si>
  <si>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</si>
  <si>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</si>
  <si>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</si>
  <si>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</si>
  <si>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</si>
  <si>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</si>
  <si>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</si>
  <si>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</si>
  <si>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</si>
  <si>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</si>
  <si>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</si>
  <si>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</si>
  <si>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</si>
  <si>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</si>
  <si>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</si>
  <si>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</si>
  <si>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</si>
  <si>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</si>
  <si>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</si>
  <si>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</si>
  <si>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</si>
  <si>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</si>
  <si>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</si>
  <si>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</si>
  <si>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</si>
  <si>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</si>
  <si>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</si>
  <si>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</si>
  <si>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</si>
  <si>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</si>
  <si>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</si>
  <si>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</si>
  <si>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</si>
  <si>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</si>
  <si>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</si>
  <si>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</si>
  <si>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</si>
  <si>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</si>
  <si>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</si>
  <si>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</si>
  <si>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</si>
  <si>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</si>
  <si>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</si>
  <si>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</si>
  <si>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</si>
  <si>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</si>
  <si>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</si>
  <si>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</si>
  <si>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</si>
  <si>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</si>
  <si>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</si>
  <si>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</si>
  <si>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</si>
  <si>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</si>
  <si>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</si>
  <si>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</si>
  <si>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</si>
  <si>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</si>
  <si>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</si>
  <si>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</si>
  <si>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</si>
  <si>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</si>
  <si>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</si>
  <si>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</si>
  <si>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</si>
  <si>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</si>
  <si>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</si>
  <si>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</si>
  <si>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</si>
  <si>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</si>
  <si>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</si>
  <si>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</si>
  <si>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</si>
  <si>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</si>
  <si>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</si>
  <si>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</si>
  <si>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</si>
  <si>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</si>
  <si>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</si>
  <si>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</si>
  <si>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</si>
  <si>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</si>
  <si>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</si>
  <si>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</si>
  <si>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</si>
  <si>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</si>
  <si>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</si>
  <si>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</si>
  <si>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</si>
  <si>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</si>
  <si>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</si>
  <si>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</si>
  <si>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</si>
  <si>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</si>
  <si>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</si>
  <si>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</si>
  <si>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</si>
  <si>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</si>
  <si>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</si>
  <si>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</si>
  <si>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</si>
  <si>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</si>
  <si>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</si>
  <si>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</si>
  <si>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</si>
  <si>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</si>
  <si>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</si>
  <si>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</si>
  <si>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</si>
  <si>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</si>
  <si>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</si>
  <si>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</si>
  <si>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</si>
  <si>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</si>
  <si>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</si>
  <si>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</si>
  <si>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</si>
  <si>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</si>
  <si>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</si>
  <si>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</si>
  <si>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</si>
  <si>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</si>
  <si>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</si>
  <si>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</si>
  <si>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</si>
  <si>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</si>
  <si>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http://www.taifex.com.tw/chinese/3/7_8.asp</t>
    <phoneticPr fontId="3" type="noConversion"/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</si>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</sst>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486014977"/>
  <ax:ocxPr ax:name="CurrentDate" ax:value="4316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topLeftCell="A2" zoomScale="105" zoomScaleNormal="105" workbookViewId="0">
      <selection activeCell="G19" sqref="G19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43161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10698.17</v>
      </c>
      <c r="D7" s="34">
        <f>VLOOKUP($B$6,資料整合一覽!$B$3:$AF$500,3,FALSE)</f>
        <v>-87.62</v>
      </c>
      <c r="E7" s="35">
        <f>VLOOKUP($B$6,資料整合一覽!$B$3:$AF$500,4,FALSE)</f>
        <v>-8.0999999999999996E-3</v>
      </c>
      <c r="F7" s="33" t="str">
        <f>VLOOKUP($B$6,資料整合一覽!$B$3:$AF$500,5,FALSE)</f>
        <v>1096.51億</v>
      </c>
      <c r="G7" s="36">
        <f>VLOOKUP($B$6,資料整合一覽!$B$3:$AF$500,6,FALSE)</f>
        <v>2.3012592199999999</v>
      </c>
      <c r="H7" s="34">
        <f>VLOOKUP($B$6,資料整合一覽!$B$3:$AF$500,7,FALSE)</f>
        <v>-4.5102864699999996</v>
      </c>
      <c r="I7" s="34">
        <f>VLOOKUP($B$6,資料整合一覽!$B$3:$AF$500,8,FALSE)</f>
        <v>0.69037419</v>
      </c>
      <c r="J7" s="34">
        <f>VLOOKUP($B$6,資料整合一覽!$B$3:$AF$500,9,FALSE)</f>
        <v>-155.76291320999999</v>
      </c>
      <c r="K7" s="37">
        <f>VLOOKUP($B$6,資料整合一覽!$B$3:$AF$500,10,FALSE)</f>
        <v>29.29</v>
      </c>
      <c r="L7" s="38">
        <f>VLOOKUP($B$6,資料整合一覽!$B$3:$AF$500,11,FALSE)</f>
        <v>-2.8000000000000001E-2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-5211.25</v>
      </c>
      <c r="D11" s="27">
        <f>VLOOKUP($B$6,資料整合一覽!$B$3:$AF$500,14,FALSE)</f>
        <v>45575.5</v>
      </c>
      <c r="E11" s="64">
        <f>VLOOKUP($B$6,資料整合一覽!$B$3:$AF$500,17,FALSE)</f>
        <v>2.9274</v>
      </c>
      <c r="F11" s="64">
        <f>VLOOKUP($B$6,資料整合一覽!$B$3:$AF$500,18,FALSE)</f>
        <v>-48.790999999999997</v>
      </c>
      <c r="G11" s="64">
        <f>VLOOKUP($B$6,資料整合一覽!$B$3:$AF$500,19,FALSE)</f>
        <v>0.1651</v>
      </c>
      <c r="H11" s="64">
        <f>VLOOKUP($B$6,資料整合一覽!$B$3:$AF$500,20,FALSE)</f>
        <v>51.029200000000003</v>
      </c>
      <c r="I11" s="39">
        <f>VLOOKUP($B$6,資料整合一覽!$B$3:$AF$500,21,FALSE)</f>
        <v>1.3326</v>
      </c>
      <c r="J11" s="41">
        <f>VLOOKUP($B$6,資料整合一覽!$B$3:$AF$500,22,FALSE)</f>
        <v>4.9949878976064156E-2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-2709.25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55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0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0</v>
      </c>
      <c r="AE382" s="33">
        <f>VLOOKUP($B382,三大美股走勢!$A$4:$J$495,7,FALSE)</f>
        <v>0</v>
      </c>
      <c r="AF382" s="33">
        <f>VLOOKUP($B382,三大美股走勢!$A$4:$J$495,10,FALSE)</f>
        <v>0</v>
      </c>
    </row>
    <row r="383" spans="2:32">
      <c r="B383" s="32">
        <v>43162</v>
      </c>
      <c r="C383" s="33" t="e">
        <f>VLOOKUP($B383,大盤與近月台指!$A$4:$I$499,2,FALSE)</f>
        <v>#N/A</v>
      </c>
      <c r="D383" s="34" t="e">
        <f>VLOOKUP($B383,大盤與近月台指!$A$4:$I$499,3,FALSE)</f>
        <v>#N/A</v>
      </c>
      <c r="E383" s="35" t="e">
        <f>VLOOKUP($B383,大盤與近月台指!$A$4:$I$499,4,FALSE)</f>
        <v>#N/A</v>
      </c>
      <c r="F383" s="33" t="e">
        <f>VLOOKUP($B383,大盤與近月台指!$A$4:$I$499,5,FALSE)</f>
        <v>#N/A</v>
      </c>
      <c r="G383" s="49" t="e">
        <f>VLOOKUP($B383,三大法人買賣超!$A$4:$I$500,3,FALSE)</f>
        <v>#N/A</v>
      </c>
      <c r="H383" s="34" t="e">
        <f>VLOOKUP($B383,三大法人買賣超!$A$4:$I$500,5,FALSE)</f>
        <v>#N/A</v>
      </c>
      <c r="I383" s="27" t="e">
        <f>VLOOKUP($B383,三大法人買賣超!$A$4:$I$500,7,FALSE)</f>
        <v>#N/A</v>
      </c>
      <c r="J383" s="27" t="e">
        <f>VLOOKUP($B383,三大法人買賣超!$A$4:$I$500,9,FALSE)</f>
        <v>#N/A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 t="e">
        <f>VLOOKUP($B383,外資期貨未平倉口數!$A$4:$M$499,4,FALSE)</f>
        <v>#N/A</v>
      </c>
      <c r="O383" s="27" t="e">
        <f>VLOOKUP($B383,外資期貨未平倉口數!$A$4:$M$499,9,FALSE)</f>
        <v>#N/A</v>
      </c>
      <c r="P383" s="27" t="e">
        <f>VLOOKUP($B383,外資期貨未平倉口數!$A$4:$M$499,10,FALSE)</f>
        <v>#N/A</v>
      </c>
      <c r="Q383" s="27" t="e">
        <f>VLOOKUP($B383,外資期貨未平倉口數!$A$4:$M$499,11,FALSE)</f>
        <v>#N/A</v>
      </c>
      <c r="R383" s="64" t="e">
        <f>VLOOKUP($B383,選擇權未平倉餘額!$A$4:$I$500,6,FALSE)</f>
        <v>#N/A</v>
      </c>
      <c r="S383" s="64" t="e">
        <f>VLOOKUP($B383,選擇權未平倉餘額!$A$4:$I$500,7,FALSE)</f>
        <v>#N/A</v>
      </c>
      <c r="T383" s="64" t="e">
        <f>VLOOKUP($B383,選擇權未平倉餘額!$A$4:$I$500,8,FALSE)</f>
        <v>#N/A</v>
      </c>
      <c r="U383" s="64" t="e">
        <f>VLOOKUP($B383,選擇權未平倉餘額!$A$4:$I$500,9,FALSE)</f>
        <v>#N/A</v>
      </c>
      <c r="V383" s="39" t="e">
        <f>VLOOKUP($B383,臺指選擇權P_C_Ratios!$A$4:$C$500,3,FALSE)</f>
        <v>#N/A</v>
      </c>
      <c r="W383" s="41" t="e">
        <f>VLOOKUP($B383,散戶多空比!$A$6:$L$500,12,FALSE)</f>
        <v>#N/A</v>
      </c>
      <c r="X383" s="40" t="e">
        <f>VLOOKUP($B383,期貨大額交易人未沖銷部位!$A$4:$O$499,4,FALSE)</f>
        <v>#N/A</v>
      </c>
      <c r="Y383" s="40" t="e">
        <f>VLOOKUP($B383,期貨大額交易人未沖銷部位!$A$4:$O$499,7,FALSE)</f>
        <v>#N/A</v>
      </c>
      <c r="Z383" s="40" t="e">
        <f>VLOOKUP($B383,期貨大額交易人未沖銷部位!$A$4:$O$499,10,FALSE)</f>
        <v>#N/A</v>
      </c>
      <c r="AA383" s="40" t="e">
        <f>VLOOKUP($B383,期貨大額交易人未沖銷部位!$A$4:$O$499,13,FALSE)</f>
        <v>#N/A</v>
      </c>
      <c r="AB383" s="40" t="e">
        <f>VLOOKUP($B383,期貨大額交易人未沖銷部位!$A$4:$O$499,14,FALSE)</f>
        <v>#N/A</v>
      </c>
      <c r="AC383" s="40" t="e">
        <f>VLOOKUP($B383,期貨大額交易人未沖銷部位!$A$4:$O$499,15,FALSE)</f>
        <v>#N/A</v>
      </c>
      <c r="AD383" s="33" t="e">
        <f>VLOOKUP($B383,三大美股走勢!$A$4:$J$495,4,FALSE)</f>
        <v>#N/A</v>
      </c>
      <c r="AE383" s="33" t="e">
        <f>VLOOKUP($B383,三大美股走勢!$A$4:$J$495,7,FALSE)</f>
        <v>#N/A</v>
      </c>
      <c r="AF383" s="33" t="e">
        <f>VLOOKUP($B383,三大美股走勢!$A$4:$J$495,10,FALSE)</f>
        <v>#N/A</v>
      </c>
    </row>
    <row r="384" spans="2:32">
      <c r="B384" s="32">
        <v>43163</v>
      </c>
      <c r="C384" s="33" t="e">
        <f>VLOOKUP($B384,大盤與近月台指!$A$4:$I$499,2,FALSE)</f>
        <v>#N/A</v>
      </c>
      <c r="D384" s="34" t="e">
        <f>VLOOKUP($B384,大盤與近月台指!$A$4:$I$499,3,FALSE)</f>
        <v>#N/A</v>
      </c>
      <c r="E384" s="35" t="e">
        <f>VLOOKUP($B384,大盤與近月台指!$A$4:$I$499,4,FALSE)</f>
        <v>#N/A</v>
      </c>
      <c r="F384" s="33" t="e">
        <f>VLOOKUP($B384,大盤與近月台指!$A$4:$I$499,5,FALSE)</f>
        <v>#N/A</v>
      </c>
      <c r="G384" s="49" t="e">
        <f>VLOOKUP($B384,三大法人買賣超!$A$4:$I$500,3,FALSE)</f>
        <v>#N/A</v>
      </c>
      <c r="H384" s="34" t="e">
        <f>VLOOKUP($B384,三大法人買賣超!$A$4:$I$500,5,FALSE)</f>
        <v>#N/A</v>
      </c>
      <c r="I384" s="27" t="e">
        <f>VLOOKUP($B384,三大法人買賣超!$A$4:$I$500,7,FALSE)</f>
        <v>#N/A</v>
      </c>
      <c r="J384" s="27" t="e">
        <f>VLOOKUP($B384,三大法人買賣超!$A$4:$I$500,9,FALSE)</f>
        <v>#N/A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 t="e">
        <f>VLOOKUP($B384,外資期貨未平倉口數!$A$4:$M$499,4,FALSE)</f>
        <v>#N/A</v>
      </c>
      <c r="O384" s="27" t="e">
        <f>VLOOKUP($B384,外資期貨未平倉口數!$A$4:$M$499,9,FALSE)</f>
        <v>#N/A</v>
      </c>
      <c r="P384" s="27" t="e">
        <f>VLOOKUP($B384,外資期貨未平倉口數!$A$4:$M$499,10,FALSE)</f>
        <v>#N/A</v>
      </c>
      <c r="Q384" s="27" t="e">
        <f>VLOOKUP($B384,外資期貨未平倉口數!$A$4:$M$499,11,FALSE)</f>
        <v>#N/A</v>
      </c>
      <c r="R384" s="64" t="e">
        <f>VLOOKUP($B384,選擇權未平倉餘額!$A$4:$I$500,6,FALSE)</f>
        <v>#N/A</v>
      </c>
      <c r="S384" s="64" t="e">
        <f>VLOOKUP($B384,選擇權未平倉餘額!$A$4:$I$500,7,FALSE)</f>
        <v>#N/A</v>
      </c>
      <c r="T384" s="64" t="e">
        <f>VLOOKUP($B384,選擇權未平倉餘額!$A$4:$I$500,8,FALSE)</f>
        <v>#N/A</v>
      </c>
      <c r="U384" s="64" t="e">
        <f>VLOOKUP($B384,選擇權未平倉餘額!$A$4:$I$500,9,FALSE)</f>
        <v>#N/A</v>
      </c>
      <c r="V384" s="39" t="e">
        <f>VLOOKUP($B384,臺指選擇權P_C_Ratios!$A$4:$C$500,3,FALSE)</f>
        <v>#N/A</v>
      </c>
      <c r="W384" s="41" t="e">
        <f>VLOOKUP($B384,散戶多空比!$A$6:$L$500,12,FALSE)</f>
        <v>#N/A</v>
      </c>
      <c r="X384" s="40" t="e">
        <f>VLOOKUP($B384,期貨大額交易人未沖銷部位!$A$4:$O$499,4,FALSE)</f>
        <v>#N/A</v>
      </c>
      <c r="Y384" s="40" t="e">
        <f>VLOOKUP($B384,期貨大額交易人未沖銷部位!$A$4:$O$499,7,FALSE)</f>
        <v>#N/A</v>
      </c>
      <c r="Z384" s="40" t="e">
        <f>VLOOKUP($B384,期貨大額交易人未沖銷部位!$A$4:$O$499,10,FALSE)</f>
        <v>#N/A</v>
      </c>
      <c r="AA384" s="40" t="e">
        <f>VLOOKUP($B384,期貨大額交易人未沖銷部位!$A$4:$O$499,13,FALSE)</f>
        <v>#N/A</v>
      </c>
      <c r="AB384" s="40" t="e">
        <f>VLOOKUP($B384,期貨大額交易人未沖銷部位!$A$4:$O$499,14,FALSE)</f>
        <v>#N/A</v>
      </c>
      <c r="AC384" s="40" t="e">
        <f>VLOOKUP($B384,期貨大額交易人未沖銷部位!$A$4:$O$499,15,FALSE)</f>
        <v>#N/A</v>
      </c>
      <c r="AD384" s="33" t="e">
        <f>VLOOKUP($B384,三大美股走勢!$A$4:$J$495,4,FALSE)</f>
        <v>#N/A</v>
      </c>
      <c r="AE384" s="33" t="e">
        <f>VLOOKUP($B384,三大美股走勢!$A$4:$J$495,7,FALSE)</f>
        <v>#N/A</v>
      </c>
      <c r="AF384" s="33" t="e">
        <f>VLOOKUP($B384,三大美股走勢!$A$4:$J$495,10,FALSE)</f>
        <v>#N/A</v>
      </c>
    </row>
    <row r="385" spans="2:32">
      <c r="B385" s="32">
        <v>43164</v>
      </c>
      <c r="C385" s="33" t="e">
        <f>VLOOKUP($B385,大盤與近月台指!$A$4:$I$499,2,FALSE)</f>
        <v>#N/A</v>
      </c>
      <c r="D385" s="34" t="e">
        <f>VLOOKUP($B385,大盤與近月台指!$A$4:$I$499,3,FALSE)</f>
        <v>#N/A</v>
      </c>
      <c r="E385" s="35" t="e">
        <f>VLOOKUP($B385,大盤與近月台指!$A$4:$I$499,4,FALSE)</f>
        <v>#N/A</v>
      </c>
      <c r="F385" s="33" t="e">
        <f>VLOOKUP($B385,大盤與近月台指!$A$4:$I$499,5,FALSE)</f>
        <v>#N/A</v>
      </c>
      <c r="G385" s="49" t="e">
        <f>VLOOKUP($B385,三大法人買賣超!$A$4:$I$500,3,FALSE)</f>
        <v>#N/A</v>
      </c>
      <c r="H385" s="34" t="e">
        <f>VLOOKUP($B385,三大法人買賣超!$A$4:$I$500,5,FALSE)</f>
        <v>#N/A</v>
      </c>
      <c r="I385" s="27" t="e">
        <f>VLOOKUP($B385,三大法人買賣超!$A$4:$I$500,7,FALSE)</f>
        <v>#N/A</v>
      </c>
      <c r="J385" s="27" t="e">
        <f>VLOOKUP($B385,三大法人買賣超!$A$4:$I$500,9,FALSE)</f>
        <v>#N/A</v>
      </c>
      <c r="K385" s="37">
        <f>新台幣匯率美元指數!B386</f>
        <v>0</v>
      </c>
      <c r="L385" s="38">
        <f>新台幣匯率美元指數!C386</f>
        <v>0</v>
      </c>
      <c r="M385" s="39">
        <f>新台幣匯率美元指數!D386</f>
        <v>0</v>
      </c>
      <c r="N385" s="27" t="e">
        <f>VLOOKUP($B385,外資期貨未平倉口數!$A$4:$M$499,4,FALSE)</f>
        <v>#N/A</v>
      </c>
      <c r="O385" s="27" t="e">
        <f>VLOOKUP($B385,外資期貨未平倉口數!$A$4:$M$499,9,FALSE)</f>
        <v>#N/A</v>
      </c>
      <c r="P385" s="27" t="e">
        <f>VLOOKUP($B385,外資期貨未平倉口數!$A$4:$M$499,10,FALSE)</f>
        <v>#N/A</v>
      </c>
      <c r="Q385" s="27" t="e">
        <f>VLOOKUP($B385,外資期貨未平倉口數!$A$4:$M$499,11,FALSE)</f>
        <v>#N/A</v>
      </c>
      <c r="R385" s="64" t="e">
        <f>VLOOKUP($B385,選擇權未平倉餘額!$A$4:$I$500,6,FALSE)</f>
        <v>#N/A</v>
      </c>
      <c r="S385" s="64" t="e">
        <f>VLOOKUP($B385,選擇權未平倉餘額!$A$4:$I$500,7,FALSE)</f>
        <v>#N/A</v>
      </c>
      <c r="T385" s="64" t="e">
        <f>VLOOKUP($B385,選擇權未平倉餘額!$A$4:$I$500,8,FALSE)</f>
        <v>#N/A</v>
      </c>
      <c r="U385" s="64" t="e">
        <f>VLOOKUP($B385,選擇權未平倉餘額!$A$4:$I$500,9,FALSE)</f>
        <v>#N/A</v>
      </c>
      <c r="V385" s="39" t="e">
        <f>VLOOKUP($B385,臺指選擇權P_C_Ratios!$A$4:$C$500,3,FALSE)</f>
        <v>#N/A</v>
      </c>
      <c r="W385" s="41" t="e">
        <f>VLOOKUP($B385,散戶多空比!$A$6:$L$500,12,FALSE)</f>
        <v>#N/A</v>
      </c>
      <c r="X385" s="40" t="e">
        <f>VLOOKUP($B385,期貨大額交易人未沖銷部位!$A$4:$O$499,4,FALSE)</f>
        <v>#N/A</v>
      </c>
      <c r="Y385" s="40" t="e">
        <f>VLOOKUP($B385,期貨大額交易人未沖銷部位!$A$4:$O$499,7,FALSE)</f>
        <v>#N/A</v>
      </c>
      <c r="Z385" s="40" t="e">
        <f>VLOOKUP($B385,期貨大額交易人未沖銷部位!$A$4:$O$499,10,FALSE)</f>
        <v>#N/A</v>
      </c>
      <c r="AA385" s="40" t="e">
        <f>VLOOKUP($B385,期貨大額交易人未沖銷部位!$A$4:$O$499,13,FALSE)</f>
        <v>#N/A</v>
      </c>
      <c r="AB385" s="40" t="e">
        <f>VLOOKUP($B385,期貨大額交易人未沖銷部位!$A$4:$O$499,14,FALSE)</f>
        <v>#N/A</v>
      </c>
      <c r="AC385" s="40" t="e">
        <f>VLOOKUP($B385,期貨大額交易人未沖銷部位!$A$4:$O$499,15,FALSE)</f>
        <v>#N/A</v>
      </c>
      <c r="AD385" s="33" t="e">
        <f>VLOOKUP($B385,三大美股走勢!$A$4:$J$495,4,FALSE)</f>
        <v>#N/A</v>
      </c>
      <c r="AE385" s="33" t="e">
        <f>VLOOKUP($B385,三大美股走勢!$A$4:$J$495,7,FALSE)</f>
        <v>#N/A</v>
      </c>
      <c r="AF385" s="33" t="e">
        <f>VLOOKUP($B385,三大美股走勢!$A$4:$J$495,10,FALSE)</f>
        <v>#N/A</v>
      </c>
    </row>
    <row r="386" spans="2:32">
      <c r="B386" s="32">
        <v>43165</v>
      </c>
      <c r="C386" s="33" t="e">
        <f>VLOOKUP($B386,大盤與近月台指!$A$4:$I$499,2,FALSE)</f>
        <v>#N/A</v>
      </c>
      <c r="D386" s="34" t="e">
        <f>VLOOKUP($B386,大盤與近月台指!$A$4:$I$499,3,FALSE)</f>
        <v>#N/A</v>
      </c>
      <c r="E386" s="35" t="e">
        <f>VLOOKUP($B386,大盤與近月台指!$A$4:$I$499,4,FALSE)</f>
        <v>#N/A</v>
      </c>
      <c r="F386" s="33" t="e">
        <f>VLOOKUP($B386,大盤與近月台指!$A$4:$I$499,5,FALSE)</f>
        <v>#N/A</v>
      </c>
      <c r="G386" s="49" t="e">
        <f>VLOOKUP($B386,三大法人買賣超!$A$4:$I$500,3,FALSE)</f>
        <v>#N/A</v>
      </c>
      <c r="H386" s="34" t="e">
        <f>VLOOKUP($B386,三大法人買賣超!$A$4:$I$500,5,FALSE)</f>
        <v>#N/A</v>
      </c>
      <c r="I386" s="27" t="e">
        <f>VLOOKUP($B386,三大法人買賣超!$A$4:$I$500,7,FALSE)</f>
        <v>#N/A</v>
      </c>
      <c r="J386" s="27" t="e">
        <f>VLOOKUP($B386,三大法人買賣超!$A$4:$I$500,9,FALSE)</f>
        <v>#N/A</v>
      </c>
      <c r="K386" s="37">
        <f>新台幣匯率美元指數!B387</f>
        <v>0</v>
      </c>
      <c r="L386" s="38">
        <f>新台幣匯率美元指數!C387</f>
        <v>0</v>
      </c>
      <c r="M386" s="39">
        <f>新台幣匯率美元指數!D387</f>
        <v>0</v>
      </c>
      <c r="N386" s="27" t="e">
        <f>VLOOKUP($B386,外資期貨未平倉口數!$A$4:$M$499,4,FALSE)</f>
        <v>#N/A</v>
      </c>
      <c r="O386" s="27" t="e">
        <f>VLOOKUP($B386,外資期貨未平倉口數!$A$4:$M$499,9,FALSE)</f>
        <v>#N/A</v>
      </c>
      <c r="P386" s="27" t="e">
        <f>VLOOKUP($B386,外資期貨未平倉口數!$A$4:$M$499,10,FALSE)</f>
        <v>#N/A</v>
      </c>
      <c r="Q386" s="27" t="e">
        <f>VLOOKUP($B386,外資期貨未平倉口數!$A$4:$M$499,11,FALSE)</f>
        <v>#N/A</v>
      </c>
      <c r="R386" s="64" t="e">
        <f>VLOOKUP($B386,選擇權未平倉餘額!$A$4:$I$500,6,FALSE)</f>
        <v>#N/A</v>
      </c>
      <c r="S386" s="64" t="e">
        <f>VLOOKUP($B386,選擇權未平倉餘額!$A$4:$I$500,7,FALSE)</f>
        <v>#N/A</v>
      </c>
      <c r="T386" s="64" t="e">
        <f>VLOOKUP($B386,選擇權未平倉餘額!$A$4:$I$500,8,FALSE)</f>
        <v>#N/A</v>
      </c>
      <c r="U386" s="64" t="e">
        <f>VLOOKUP($B386,選擇權未平倉餘額!$A$4:$I$500,9,FALSE)</f>
        <v>#N/A</v>
      </c>
      <c r="V386" s="39" t="e">
        <f>VLOOKUP($B386,臺指選擇權P_C_Ratios!$A$4:$C$500,3,FALSE)</f>
        <v>#N/A</v>
      </c>
      <c r="W386" s="41" t="e">
        <f>VLOOKUP($B386,散戶多空比!$A$6:$L$500,12,FALSE)</f>
        <v>#N/A</v>
      </c>
      <c r="X386" s="40" t="e">
        <f>VLOOKUP($B386,期貨大額交易人未沖銷部位!$A$4:$O$499,4,FALSE)</f>
        <v>#N/A</v>
      </c>
      <c r="Y386" s="40" t="e">
        <f>VLOOKUP($B386,期貨大額交易人未沖銷部位!$A$4:$O$499,7,FALSE)</f>
        <v>#N/A</v>
      </c>
      <c r="Z386" s="40" t="e">
        <f>VLOOKUP($B386,期貨大額交易人未沖銷部位!$A$4:$O$499,10,FALSE)</f>
        <v>#N/A</v>
      </c>
      <c r="AA386" s="40" t="e">
        <f>VLOOKUP($B386,期貨大額交易人未沖銷部位!$A$4:$O$499,13,FALSE)</f>
        <v>#N/A</v>
      </c>
      <c r="AB386" s="40" t="e">
        <f>VLOOKUP($B386,期貨大額交易人未沖銷部位!$A$4:$O$499,14,FALSE)</f>
        <v>#N/A</v>
      </c>
      <c r="AC386" s="40" t="e">
        <f>VLOOKUP($B386,期貨大額交易人未沖銷部位!$A$4:$O$499,15,FALSE)</f>
        <v>#N/A</v>
      </c>
      <c r="AD386" s="33" t="e">
        <f>VLOOKUP($B386,三大美股走勢!$A$4:$J$495,4,FALSE)</f>
        <v>#N/A</v>
      </c>
      <c r="AE386" s="33" t="e">
        <f>VLOOKUP($B386,三大美股走勢!$A$4:$J$495,7,FALSE)</f>
        <v>#N/A</v>
      </c>
      <c r="AF386" s="33" t="e">
        <f>VLOOKUP($B386,三大美股走勢!$A$4:$J$495,10,FALSE)</f>
        <v>#N/A</v>
      </c>
    </row>
    <row r="387" spans="2:32">
      <c r="B387" s="32">
        <v>43166</v>
      </c>
      <c r="C387" s="33" t="e">
        <f>VLOOKUP($B387,大盤與近月台指!$A$4:$I$499,2,FALSE)</f>
        <v>#N/A</v>
      </c>
      <c r="D387" s="34" t="e">
        <f>VLOOKUP($B387,大盤與近月台指!$A$4:$I$499,3,FALSE)</f>
        <v>#N/A</v>
      </c>
      <c r="E387" s="35" t="e">
        <f>VLOOKUP($B387,大盤與近月台指!$A$4:$I$499,4,FALSE)</f>
        <v>#N/A</v>
      </c>
      <c r="F387" s="33" t="e">
        <f>VLOOKUP($B387,大盤與近月台指!$A$4:$I$499,5,FALSE)</f>
        <v>#N/A</v>
      </c>
      <c r="G387" s="49" t="e">
        <f>VLOOKUP($B387,三大法人買賣超!$A$4:$I$500,3,FALSE)</f>
        <v>#N/A</v>
      </c>
      <c r="H387" s="34" t="e">
        <f>VLOOKUP($B387,三大法人買賣超!$A$4:$I$500,5,FALSE)</f>
        <v>#N/A</v>
      </c>
      <c r="I387" s="27" t="e">
        <f>VLOOKUP($B387,三大法人買賣超!$A$4:$I$500,7,FALSE)</f>
        <v>#N/A</v>
      </c>
      <c r="J387" s="27" t="e">
        <f>VLOOKUP($B387,三大法人買賣超!$A$4:$I$500,9,FALSE)</f>
        <v>#N/A</v>
      </c>
      <c r="K387" s="37">
        <f>新台幣匯率美元指數!B388</f>
        <v>0</v>
      </c>
      <c r="L387" s="38">
        <f>新台幣匯率美元指數!C388</f>
        <v>0</v>
      </c>
      <c r="M387" s="39">
        <f>新台幣匯率美元指數!D388</f>
        <v>0</v>
      </c>
      <c r="N387" s="27" t="e">
        <f>VLOOKUP($B387,外資期貨未平倉口數!$A$4:$M$499,4,FALSE)</f>
        <v>#N/A</v>
      </c>
      <c r="O387" s="27" t="e">
        <f>VLOOKUP($B387,外資期貨未平倉口數!$A$4:$M$499,9,FALSE)</f>
        <v>#N/A</v>
      </c>
      <c r="P387" s="27" t="e">
        <f>VLOOKUP($B387,外資期貨未平倉口數!$A$4:$M$499,10,FALSE)</f>
        <v>#N/A</v>
      </c>
      <c r="Q387" s="27" t="e">
        <f>VLOOKUP($B387,外資期貨未平倉口數!$A$4:$M$499,11,FALSE)</f>
        <v>#N/A</v>
      </c>
      <c r="R387" s="64" t="e">
        <f>VLOOKUP($B387,選擇權未平倉餘額!$A$4:$I$500,6,FALSE)</f>
        <v>#N/A</v>
      </c>
      <c r="S387" s="64" t="e">
        <f>VLOOKUP($B387,選擇權未平倉餘額!$A$4:$I$500,7,FALSE)</f>
        <v>#N/A</v>
      </c>
      <c r="T387" s="64" t="e">
        <f>VLOOKUP($B387,選擇權未平倉餘額!$A$4:$I$500,8,FALSE)</f>
        <v>#N/A</v>
      </c>
      <c r="U387" s="64" t="e">
        <f>VLOOKUP($B387,選擇權未平倉餘額!$A$4:$I$500,9,FALSE)</f>
        <v>#N/A</v>
      </c>
      <c r="V387" s="39" t="e">
        <f>VLOOKUP($B387,臺指選擇權P_C_Ratios!$A$4:$C$500,3,FALSE)</f>
        <v>#N/A</v>
      </c>
      <c r="W387" s="41" t="e">
        <f>VLOOKUP($B387,散戶多空比!$A$6:$L$500,12,FALSE)</f>
        <v>#N/A</v>
      </c>
      <c r="X387" s="40" t="e">
        <f>VLOOKUP($B387,期貨大額交易人未沖銷部位!$A$4:$O$499,4,FALSE)</f>
        <v>#N/A</v>
      </c>
      <c r="Y387" s="40" t="e">
        <f>VLOOKUP($B387,期貨大額交易人未沖銷部位!$A$4:$O$499,7,FALSE)</f>
        <v>#N/A</v>
      </c>
      <c r="Z387" s="40" t="e">
        <f>VLOOKUP($B387,期貨大額交易人未沖銷部位!$A$4:$O$499,10,FALSE)</f>
        <v>#N/A</v>
      </c>
      <c r="AA387" s="40" t="e">
        <f>VLOOKUP($B387,期貨大額交易人未沖銷部位!$A$4:$O$499,13,FALSE)</f>
        <v>#N/A</v>
      </c>
      <c r="AB387" s="40" t="e">
        <f>VLOOKUP($B387,期貨大額交易人未沖銷部位!$A$4:$O$499,14,FALSE)</f>
        <v>#N/A</v>
      </c>
      <c r="AC387" s="40" t="e">
        <f>VLOOKUP($B387,期貨大額交易人未沖銷部位!$A$4:$O$499,15,FALSE)</f>
        <v>#N/A</v>
      </c>
      <c r="AD387" s="33" t="e">
        <f>VLOOKUP($B387,三大美股走勢!$A$4:$J$495,4,FALSE)</f>
        <v>#N/A</v>
      </c>
      <c r="AE387" s="33" t="e">
        <f>VLOOKUP($B387,三大美股走勢!$A$4:$J$495,7,FALSE)</f>
        <v>#N/A</v>
      </c>
      <c r="AF387" s="33" t="e">
        <f>VLOOKUP($B387,三大美股走勢!$A$4:$J$495,10,FALSE)</f>
        <v>#N/A</v>
      </c>
    </row>
    <row r="388" spans="2:32">
      <c r="B388" s="32">
        <v>43167</v>
      </c>
      <c r="C388" s="33" t="e">
        <f>VLOOKUP($B388,大盤與近月台指!$A$4:$I$499,2,FALSE)</f>
        <v>#N/A</v>
      </c>
      <c r="D388" s="34" t="e">
        <f>VLOOKUP($B388,大盤與近月台指!$A$4:$I$499,3,FALSE)</f>
        <v>#N/A</v>
      </c>
      <c r="E388" s="35" t="e">
        <f>VLOOKUP($B388,大盤與近月台指!$A$4:$I$499,4,FALSE)</f>
        <v>#N/A</v>
      </c>
      <c r="F388" s="33" t="e">
        <f>VLOOKUP($B388,大盤與近月台指!$A$4:$I$499,5,FALSE)</f>
        <v>#N/A</v>
      </c>
      <c r="G388" s="49" t="e">
        <f>VLOOKUP($B388,三大法人買賣超!$A$4:$I$500,3,FALSE)</f>
        <v>#N/A</v>
      </c>
      <c r="H388" s="34" t="e">
        <f>VLOOKUP($B388,三大法人買賣超!$A$4:$I$500,5,FALSE)</f>
        <v>#N/A</v>
      </c>
      <c r="I388" s="27" t="e">
        <f>VLOOKUP($B388,三大法人買賣超!$A$4:$I$500,7,FALSE)</f>
        <v>#N/A</v>
      </c>
      <c r="J388" s="27" t="e">
        <f>VLOOKUP($B388,三大法人買賣超!$A$4:$I$500,9,FALSE)</f>
        <v>#N/A</v>
      </c>
      <c r="K388" s="37">
        <f>新台幣匯率美元指數!B389</f>
        <v>0</v>
      </c>
      <c r="L388" s="38">
        <f>新台幣匯率美元指數!C389</f>
        <v>0</v>
      </c>
      <c r="M388" s="39">
        <f>新台幣匯率美元指數!D389</f>
        <v>0</v>
      </c>
      <c r="N388" s="27" t="e">
        <f>VLOOKUP($B388,外資期貨未平倉口數!$A$4:$M$499,4,FALSE)</f>
        <v>#N/A</v>
      </c>
      <c r="O388" s="27" t="e">
        <f>VLOOKUP($B388,外資期貨未平倉口數!$A$4:$M$499,9,FALSE)</f>
        <v>#N/A</v>
      </c>
      <c r="P388" s="27" t="e">
        <f>VLOOKUP($B388,外資期貨未平倉口數!$A$4:$M$499,10,FALSE)</f>
        <v>#N/A</v>
      </c>
      <c r="Q388" s="27" t="e">
        <f>VLOOKUP($B388,外資期貨未平倉口數!$A$4:$M$499,11,FALSE)</f>
        <v>#N/A</v>
      </c>
      <c r="R388" s="64" t="e">
        <f>VLOOKUP($B388,選擇權未平倉餘額!$A$4:$I$500,6,FALSE)</f>
        <v>#N/A</v>
      </c>
      <c r="S388" s="64" t="e">
        <f>VLOOKUP($B388,選擇權未平倉餘額!$A$4:$I$500,7,FALSE)</f>
        <v>#N/A</v>
      </c>
      <c r="T388" s="64" t="e">
        <f>VLOOKUP($B388,選擇權未平倉餘額!$A$4:$I$500,8,FALSE)</f>
        <v>#N/A</v>
      </c>
      <c r="U388" s="64" t="e">
        <f>VLOOKUP($B388,選擇權未平倉餘額!$A$4:$I$500,9,FALSE)</f>
        <v>#N/A</v>
      </c>
      <c r="V388" s="39" t="e">
        <f>VLOOKUP($B388,臺指選擇權P_C_Ratios!$A$4:$C$500,3,FALSE)</f>
        <v>#N/A</v>
      </c>
      <c r="W388" s="41" t="e">
        <f>VLOOKUP($B388,散戶多空比!$A$6:$L$500,12,FALSE)</f>
        <v>#N/A</v>
      </c>
      <c r="X388" s="40" t="e">
        <f>VLOOKUP($B388,期貨大額交易人未沖銷部位!$A$4:$O$499,4,FALSE)</f>
        <v>#N/A</v>
      </c>
      <c r="Y388" s="40" t="e">
        <f>VLOOKUP($B388,期貨大額交易人未沖銷部位!$A$4:$O$499,7,FALSE)</f>
        <v>#N/A</v>
      </c>
      <c r="Z388" s="40" t="e">
        <f>VLOOKUP($B388,期貨大額交易人未沖銷部位!$A$4:$O$499,10,FALSE)</f>
        <v>#N/A</v>
      </c>
      <c r="AA388" s="40" t="e">
        <f>VLOOKUP($B388,期貨大額交易人未沖銷部位!$A$4:$O$499,13,FALSE)</f>
        <v>#N/A</v>
      </c>
      <c r="AB388" s="40" t="e">
        <f>VLOOKUP($B388,期貨大額交易人未沖銷部位!$A$4:$O$499,14,FALSE)</f>
        <v>#N/A</v>
      </c>
      <c r="AC388" s="40" t="e">
        <f>VLOOKUP($B388,期貨大額交易人未沖銷部位!$A$4:$O$499,15,FALSE)</f>
        <v>#N/A</v>
      </c>
      <c r="AD388" s="33" t="e">
        <f>VLOOKUP($B388,三大美股走勢!$A$4:$J$495,4,FALSE)</f>
        <v>#N/A</v>
      </c>
      <c r="AE388" s="33" t="e">
        <f>VLOOKUP($B388,三大美股走勢!$A$4:$J$495,7,FALSE)</f>
        <v>#N/A</v>
      </c>
      <c r="AF388" s="33" t="e">
        <f>VLOOKUP($B388,三大美股走勢!$A$4:$J$495,10,FALSE)</f>
        <v>#N/A</v>
      </c>
    </row>
    <row r="389" spans="2:32">
      <c r="B389" s="32">
        <v>43168</v>
      </c>
      <c r="C389" s="33" t="e">
        <f>VLOOKUP($B389,大盤與近月台指!$A$4:$I$499,2,FALSE)</f>
        <v>#N/A</v>
      </c>
      <c r="D389" s="34" t="e">
        <f>VLOOKUP($B389,大盤與近月台指!$A$4:$I$499,3,FALSE)</f>
        <v>#N/A</v>
      </c>
      <c r="E389" s="35" t="e">
        <f>VLOOKUP($B389,大盤與近月台指!$A$4:$I$499,4,FALSE)</f>
        <v>#N/A</v>
      </c>
      <c r="F389" s="33" t="e">
        <f>VLOOKUP($B389,大盤與近月台指!$A$4:$I$499,5,FALSE)</f>
        <v>#N/A</v>
      </c>
      <c r="G389" s="49" t="e">
        <f>VLOOKUP($B389,三大法人買賣超!$A$4:$I$500,3,FALSE)</f>
        <v>#N/A</v>
      </c>
      <c r="H389" s="34" t="e">
        <f>VLOOKUP($B389,三大法人買賣超!$A$4:$I$500,5,FALSE)</f>
        <v>#N/A</v>
      </c>
      <c r="I389" s="27" t="e">
        <f>VLOOKUP($B389,三大法人買賣超!$A$4:$I$500,7,FALSE)</f>
        <v>#N/A</v>
      </c>
      <c r="J389" s="27" t="e">
        <f>VLOOKUP($B389,三大法人買賣超!$A$4:$I$500,9,FALSE)</f>
        <v>#N/A</v>
      </c>
      <c r="K389" s="37">
        <f>新台幣匯率美元指數!B390</f>
        <v>0</v>
      </c>
      <c r="L389" s="38">
        <f>新台幣匯率美元指數!C390</f>
        <v>0</v>
      </c>
      <c r="M389" s="39">
        <f>新台幣匯率美元指數!D390</f>
        <v>0</v>
      </c>
      <c r="N389" s="27" t="e">
        <f>VLOOKUP($B389,外資期貨未平倉口數!$A$4:$M$499,4,FALSE)</f>
        <v>#N/A</v>
      </c>
      <c r="O389" s="27" t="e">
        <f>VLOOKUP($B389,外資期貨未平倉口數!$A$4:$M$499,9,FALSE)</f>
        <v>#N/A</v>
      </c>
      <c r="P389" s="27" t="e">
        <f>VLOOKUP($B389,外資期貨未平倉口數!$A$4:$M$499,10,FALSE)</f>
        <v>#N/A</v>
      </c>
      <c r="Q389" s="27" t="e">
        <f>VLOOKUP($B389,外資期貨未平倉口數!$A$4:$M$499,11,FALSE)</f>
        <v>#N/A</v>
      </c>
      <c r="R389" s="64" t="e">
        <f>VLOOKUP($B389,選擇權未平倉餘額!$A$4:$I$500,6,FALSE)</f>
        <v>#N/A</v>
      </c>
      <c r="S389" s="64" t="e">
        <f>VLOOKUP($B389,選擇權未平倉餘額!$A$4:$I$500,7,FALSE)</f>
        <v>#N/A</v>
      </c>
      <c r="T389" s="64" t="e">
        <f>VLOOKUP($B389,選擇權未平倉餘額!$A$4:$I$500,8,FALSE)</f>
        <v>#N/A</v>
      </c>
      <c r="U389" s="64" t="e">
        <f>VLOOKUP($B389,選擇權未平倉餘額!$A$4:$I$500,9,FALSE)</f>
        <v>#N/A</v>
      </c>
      <c r="V389" s="39" t="e">
        <f>VLOOKUP($B389,臺指選擇權P_C_Ratios!$A$4:$C$500,3,FALSE)</f>
        <v>#N/A</v>
      </c>
      <c r="W389" s="41" t="e">
        <f>VLOOKUP($B389,散戶多空比!$A$6:$L$500,12,FALSE)</f>
        <v>#N/A</v>
      </c>
      <c r="X389" s="40" t="e">
        <f>VLOOKUP($B389,期貨大額交易人未沖銷部位!$A$4:$O$499,4,FALSE)</f>
        <v>#N/A</v>
      </c>
      <c r="Y389" s="40" t="e">
        <f>VLOOKUP($B389,期貨大額交易人未沖銷部位!$A$4:$O$499,7,FALSE)</f>
        <v>#N/A</v>
      </c>
      <c r="Z389" s="40" t="e">
        <f>VLOOKUP($B389,期貨大額交易人未沖銷部位!$A$4:$O$499,10,FALSE)</f>
        <v>#N/A</v>
      </c>
      <c r="AA389" s="40" t="e">
        <f>VLOOKUP($B389,期貨大額交易人未沖銷部位!$A$4:$O$499,13,FALSE)</f>
        <v>#N/A</v>
      </c>
      <c r="AB389" s="40" t="e">
        <f>VLOOKUP($B389,期貨大額交易人未沖銷部位!$A$4:$O$499,14,FALSE)</f>
        <v>#N/A</v>
      </c>
      <c r="AC389" s="40" t="e">
        <f>VLOOKUP($B389,期貨大額交易人未沖銷部位!$A$4:$O$499,15,FALSE)</f>
        <v>#N/A</v>
      </c>
      <c r="AD389" s="33" t="e">
        <f>VLOOKUP($B389,三大美股走勢!$A$4:$J$495,4,FALSE)</f>
        <v>#N/A</v>
      </c>
      <c r="AE389" s="33" t="e">
        <f>VLOOKUP($B389,三大美股走勢!$A$4:$J$495,7,FALSE)</f>
        <v>#N/A</v>
      </c>
      <c r="AF389" s="33" t="e">
        <f>VLOOKUP($B389,三大美股走勢!$A$4:$J$495,10,FALSE)</f>
        <v>#N/A</v>
      </c>
    </row>
    <row r="390" spans="2:32">
      <c r="B390" s="32">
        <v>43169</v>
      </c>
      <c r="C390" s="33" t="e">
        <f>VLOOKUP($B390,大盤與近月台指!$A$4:$I$499,2,FALSE)</f>
        <v>#N/A</v>
      </c>
      <c r="D390" s="34" t="e">
        <f>VLOOKUP($B390,大盤與近月台指!$A$4:$I$499,3,FALSE)</f>
        <v>#N/A</v>
      </c>
      <c r="E390" s="35" t="e">
        <f>VLOOKUP($B390,大盤與近月台指!$A$4:$I$499,4,FALSE)</f>
        <v>#N/A</v>
      </c>
      <c r="F390" s="33" t="e">
        <f>VLOOKUP($B390,大盤與近月台指!$A$4:$I$499,5,FALSE)</f>
        <v>#N/A</v>
      </c>
      <c r="G390" s="49" t="e">
        <f>VLOOKUP($B390,三大法人買賣超!$A$4:$I$500,3,FALSE)</f>
        <v>#N/A</v>
      </c>
      <c r="H390" s="34" t="e">
        <f>VLOOKUP($B390,三大法人買賣超!$A$4:$I$500,5,FALSE)</f>
        <v>#N/A</v>
      </c>
      <c r="I390" s="27" t="e">
        <f>VLOOKUP($B390,三大法人買賣超!$A$4:$I$500,7,FALSE)</f>
        <v>#N/A</v>
      </c>
      <c r="J390" s="27" t="e">
        <f>VLOOKUP($B390,三大法人買賣超!$A$4:$I$500,9,FALSE)</f>
        <v>#N/A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 t="e">
        <f>VLOOKUP($B390,外資期貨未平倉口數!$A$4:$M$499,4,FALSE)</f>
        <v>#N/A</v>
      </c>
      <c r="O390" s="27" t="e">
        <f>VLOOKUP($B390,外資期貨未平倉口數!$A$4:$M$499,9,FALSE)</f>
        <v>#N/A</v>
      </c>
      <c r="P390" s="27" t="e">
        <f>VLOOKUP($B390,外資期貨未平倉口數!$A$4:$M$499,10,FALSE)</f>
        <v>#N/A</v>
      </c>
      <c r="Q390" s="27" t="e">
        <f>VLOOKUP($B390,外資期貨未平倉口數!$A$4:$M$499,11,FALSE)</f>
        <v>#N/A</v>
      </c>
      <c r="R390" s="64" t="e">
        <f>VLOOKUP($B390,選擇權未平倉餘額!$A$4:$I$500,6,FALSE)</f>
        <v>#N/A</v>
      </c>
      <c r="S390" s="64" t="e">
        <f>VLOOKUP($B390,選擇權未平倉餘額!$A$4:$I$500,7,FALSE)</f>
        <v>#N/A</v>
      </c>
      <c r="T390" s="64" t="e">
        <f>VLOOKUP($B390,選擇權未平倉餘額!$A$4:$I$500,8,FALSE)</f>
        <v>#N/A</v>
      </c>
      <c r="U390" s="64" t="e">
        <f>VLOOKUP($B390,選擇權未平倉餘額!$A$4:$I$500,9,FALSE)</f>
        <v>#N/A</v>
      </c>
      <c r="V390" s="39" t="e">
        <f>VLOOKUP($B390,臺指選擇權P_C_Ratios!$A$4:$C$500,3,FALSE)</f>
        <v>#N/A</v>
      </c>
      <c r="W390" s="41" t="e">
        <f>VLOOKUP($B390,散戶多空比!$A$6:$L$500,12,FALSE)</f>
        <v>#N/A</v>
      </c>
      <c r="X390" s="40" t="e">
        <f>VLOOKUP($B390,期貨大額交易人未沖銷部位!$A$4:$O$499,4,FALSE)</f>
        <v>#N/A</v>
      </c>
      <c r="Y390" s="40" t="e">
        <f>VLOOKUP($B390,期貨大額交易人未沖銷部位!$A$4:$O$499,7,FALSE)</f>
        <v>#N/A</v>
      </c>
      <c r="Z390" s="40" t="e">
        <f>VLOOKUP($B390,期貨大額交易人未沖銷部位!$A$4:$O$499,10,FALSE)</f>
        <v>#N/A</v>
      </c>
      <c r="AA390" s="40" t="e">
        <f>VLOOKUP($B390,期貨大額交易人未沖銷部位!$A$4:$O$499,13,FALSE)</f>
        <v>#N/A</v>
      </c>
      <c r="AB390" s="40" t="e">
        <f>VLOOKUP($B390,期貨大額交易人未沖銷部位!$A$4:$O$499,14,FALSE)</f>
        <v>#N/A</v>
      </c>
      <c r="AC390" s="40" t="e">
        <f>VLOOKUP($B390,期貨大額交易人未沖銷部位!$A$4:$O$499,15,FALSE)</f>
        <v>#N/A</v>
      </c>
      <c r="AD390" s="33" t="e">
        <f>VLOOKUP($B390,三大美股走勢!$A$4:$J$495,4,FALSE)</f>
        <v>#N/A</v>
      </c>
      <c r="AE390" s="33" t="e">
        <f>VLOOKUP($B390,三大美股走勢!$A$4:$J$495,7,FALSE)</f>
        <v>#N/A</v>
      </c>
      <c r="AF390" s="33" t="e">
        <f>VLOOKUP($B390,三大美股走勢!$A$4:$J$495,10,FALSE)</f>
        <v>#N/A</v>
      </c>
    </row>
    <row r="391" spans="2:32">
      <c r="B391" s="32">
        <v>43170</v>
      </c>
      <c r="C391" s="33" t="e">
        <f>VLOOKUP($B391,大盤與近月台指!$A$4:$I$499,2,FALSE)</f>
        <v>#N/A</v>
      </c>
      <c r="D391" s="34" t="e">
        <f>VLOOKUP($B391,大盤與近月台指!$A$4:$I$499,3,FALSE)</f>
        <v>#N/A</v>
      </c>
      <c r="E391" s="35" t="e">
        <f>VLOOKUP($B391,大盤與近月台指!$A$4:$I$499,4,FALSE)</f>
        <v>#N/A</v>
      </c>
      <c r="F391" s="33" t="e">
        <f>VLOOKUP($B391,大盤與近月台指!$A$4:$I$499,5,FALSE)</f>
        <v>#N/A</v>
      </c>
      <c r="G391" s="49" t="e">
        <f>VLOOKUP($B391,三大法人買賣超!$A$4:$I$500,3,FALSE)</f>
        <v>#N/A</v>
      </c>
      <c r="H391" s="34" t="e">
        <f>VLOOKUP($B391,三大法人買賣超!$A$4:$I$500,5,FALSE)</f>
        <v>#N/A</v>
      </c>
      <c r="I391" s="27" t="e">
        <f>VLOOKUP($B391,三大法人買賣超!$A$4:$I$500,7,FALSE)</f>
        <v>#N/A</v>
      </c>
      <c r="J391" s="27" t="e">
        <f>VLOOKUP($B391,三大法人買賣超!$A$4:$I$500,9,FALSE)</f>
        <v>#N/A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 t="e">
        <f>VLOOKUP($B391,外資期貨未平倉口數!$A$4:$M$499,4,FALSE)</f>
        <v>#N/A</v>
      </c>
      <c r="O391" s="27" t="e">
        <f>VLOOKUP($B391,外資期貨未平倉口數!$A$4:$M$499,9,FALSE)</f>
        <v>#N/A</v>
      </c>
      <c r="P391" s="27" t="e">
        <f>VLOOKUP($B391,外資期貨未平倉口數!$A$4:$M$499,10,FALSE)</f>
        <v>#N/A</v>
      </c>
      <c r="Q391" s="27" t="e">
        <f>VLOOKUP($B391,外資期貨未平倉口數!$A$4:$M$499,11,FALSE)</f>
        <v>#N/A</v>
      </c>
      <c r="R391" s="64" t="e">
        <f>VLOOKUP($B391,選擇權未平倉餘額!$A$4:$I$500,6,FALSE)</f>
        <v>#N/A</v>
      </c>
      <c r="S391" s="64" t="e">
        <f>VLOOKUP($B391,選擇權未平倉餘額!$A$4:$I$500,7,FALSE)</f>
        <v>#N/A</v>
      </c>
      <c r="T391" s="64" t="e">
        <f>VLOOKUP($B391,選擇權未平倉餘額!$A$4:$I$500,8,FALSE)</f>
        <v>#N/A</v>
      </c>
      <c r="U391" s="64" t="e">
        <f>VLOOKUP($B391,選擇權未平倉餘額!$A$4:$I$500,9,FALSE)</f>
        <v>#N/A</v>
      </c>
      <c r="V391" s="39" t="e">
        <f>VLOOKUP($B391,臺指選擇權P_C_Ratios!$A$4:$C$500,3,FALSE)</f>
        <v>#N/A</v>
      </c>
      <c r="W391" s="41" t="e">
        <f>VLOOKUP($B391,散戶多空比!$A$6:$L$500,12,FALSE)</f>
        <v>#N/A</v>
      </c>
      <c r="X391" s="40" t="e">
        <f>VLOOKUP($B391,期貨大額交易人未沖銷部位!$A$4:$O$499,4,FALSE)</f>
        <v>#N/A</v>
      </c>
      <c r="Y391" s="40" t="e">
        <f>VLOOKUP($B391,期貨大額交易人未沖銷部位!$A$4:$O$499,7,FALSE)</f>
        <v>#N/A</v>
      </c>
      <c r="Z391" s="40" t="e">
        <f>VLOOKUP($B391,期貨大額交易人未沖銷部位!$A$4:$O$499,10,FALSE)</f>
        <v>#N/A</v>
      </c>
      <c r="AA391" s="40" t="e">
        <f>VLOOKUP($B391,期貨大額交易人未沖銷部位!$A$4:$O$499,13,FALSE)</f>
        <v>#N/A</v>
      </c>
      <c r="AB391" s="40" t="e">
        <f>VLOOKUP($B391,期貨大額交易人未沖銷部位!$A$4:$O$499,14,FALSE)</f>
        <v>#N/A</v>
      </c>
      <c r="AC391" s="40" t="e">
        <f>VLOOKUP($B391,期貨大額交易人未沖銷部位!$A$4:$O$499,15,FALSE)</f>
        <v>#N/A</v>
      </c>
      <c r="AD391" s="33" t="e">
        <f>VLOOKUP($B391,三大美股走勢!$A$4:$J$495,4,FALSE)</f>
        <v>#N/A</v>
      </c>
      <c r="AE391" s="33" t="e">
        <f>VLOOKUP($B391,三大美股走勢!$A$4:$J$495,7,FALSE)</f>
        <v>#N/A</v>
      </c>
      <c r="AF391" s="33" t="e">
        <f>VLOOKUP($B391,三大美股走勢!$A$4:$J$495,10,FALSE)</f>
        <v>#N/A</v>
      </c>
    </row>
    <row r="392" spans="2:32">
      <c r="B392" s="32">
        <v>43171</v>
      </c>
      <c r="C392" s="33" t="e">
        <f>VLOOKUP($B392,大盤與近月台指!$A$4:$I$499,2,FALSE)</f>
        <v>#N/A</v>
      </c>
      <c r="D392" s="34" t="e">
        <f>VLOOKUP($B392,大盤與近月台指!$A$4:$I$499,3,FALSE)</f>
        <v>#N/A</v>
      </c>
      <c r="E392" s="35" t="e">
        <f>VLOOKUP($B392,大盤與近月台指!$A$4:$I$499,4,FALSE)</f>
        <v>#N/A</v>
      </c>
      <c r="F392" s="33" t="e">
        <f>VLOOKUP($B392,大盤與近月台指!$A$4:$I$499,5,FALSE)</f>
        <v>#N/A</v>
      </c>
      <c r="G392" s="49" t="e">
        <f>VLOOKUP($B392,三大法人買賣超!$A$4:$I$500,3,FALSE)</f>
        <v>#N/A</v>
      </c>
      <c r="H392" s="34" t="e">
        <f>VLOOKUP($B392,三大法人買賣超!$A$4:$I$500,5,FALSE)</f>
        <v>#N/A</v>
      </c>
      <c r="I392" s="27" t="e">
        <f>VLOOKUP($B392,三大法人買賣超!$A$4:$I$500,7,FALSE)</f>
        <v>#N/A</v>
      </c>
      <c r="J392" s="27" t="e">
        <f>VLOOKUP($B392,三大法人買賣超!$A$4:$I$500,9,FALSE)</f>
        <v>#N/A</v>
      </c>
      <c r="K392" s="37">
        <f>新台幣匯率美元指數!B393</f>
        <v>0</v>
      </c>
      <c r="L392" s="38">
        <f>新台幣匯率美元指數!C393</f>
        <v>0</v>
      </c>
      <c r="M392" s="39">
        <f>新台幣匯率美元指數!D393</f>
        <v>0</v>
      </c>
      <c r="N392" s="27" t="e">
        <f>VLOOKUP($B392,外資期貨未平倉口數!$A$4:$M$499,4,FALSE)</f>
        <v>#N/A</v>
      </c>
      <c r="O392" s="27" t="e">
        <f>VLOOKUP($B392,外資期貨未平倉口數!$A$4:$M$499,9,FALSE)</f>
        <v>#N/A</v>
      </c>
      <c r="P392" s="27" t="e">
        <f>VLOOKUP($B392,外資期貨未平倉口數!$A$4:$M$499,10,FALSE)</f>
        <v>#N/A</v>
      </c>
      <c r="Q392" s="27" t="e">
        <f>VLOOKUP($B392,外資期貨未平倉口數!$A$4:$M$499,11,FALSE)</f>
        <v>#N/A</v>
      </c>
      <c r="R392" s="64" t="e">
        <f>VLOOKUP($B392,選擇權未平倉餘額!$A$4:$I$500,6,FALSE)</f>
        <v>#N/A</v>
      </c>
      <c r="S392" s="64" t="e">
        <f>VLOOKUP($B392,選擇權未平倉餘額!$A$4:$I$500,7,FALSE)</f>
        <v>#N/A</v>
      </c>
      <c r="T392" s="64" t="e">
        <f>VLOOKUP($B392,選擇權未平倉餘額!$A$4:$I$500,8,FALSE)</f>
        <v>#N/A</v>
      </c>
      <c r="U392" s="64" t="e">
        <f>VLOOKUP($B392,選擇權未平倉餘額!$A$4:$I$500,9,FALSE)</f>
        <v>#N/A</v>
      </c>
      <c r="V392" s="39" t="e">
        <f>VLOOKUP($B392,臺指選擇權P_C_Ratios!$A$4:$C$500,3,FALSE)</f>
        <v>#N/A</v>
      </c>
      <c r="W392" s="41" t="e">
        <f>VLOOKUP($B392,散戶多空比!$A$6:$L$500,12,FALSE)</f>
        <v>#N/A</v>
      </c>
      <c r="X392" s="40" t="e">
        <f>VLOOKUP($B392,期貨大額交易人未沖銷部位!$A$4:$O$499,4,FALSE)</f>
        <v>#N/A</v>
      </c>
      <c r="Y392" s="40" t="e">
        <f>VLOOKUP($B392,期貨大額交易人未沖銷部位!$A$4:$O$499,7,FALSE)</f>
        <v>#N/A</v>
      </c>
      <c r="Z392" s="40" t="e">
        <f>VLOOKUP($B392,期貨大額交易人未沖銷部位!$A$4:$O$499,10,FALSE)</f>
        <v>#N/A</v>
      </c>
      <c r="AA392" s="40" t="e">
        <f>VLOOKUP($B392,期貨大額交易人未沖銷部位!$A$4:$O$499,13,FALSE)</f>
        <v>#N/A</v>
      </c>
      <c r="AB392" s="40" t="e">
        <f>VLOOKUP($B392,期貨大額交易人未沖銷部位!$A$4:$O$499,14,FALSE)</f>
        <v>#N/A</v>
      </c>
      <c r="AC392" s="40" t="e">
        <f>VLOOKUP($B392,期貨大額交易人未沖銷部位!$A$4:$O$499,15,FALSE)</f>
        <v>#N/A</v>
      </c>
      <c r="AD392" s="33" t="e">
        <f>VLOOKUP($B392,三大美股走勢!$A$4:$J$495,4,FALSE)</f>
        <v>#N/A</v>
      </c>
      <c r="AE392" s="33" t="e">
        <f>VLOOKUP($B392,三大美股走勢!$A$4:$J$495,7,FALSE)</f>
        <v>#N/A</v>
      </c>
      <c r="AF392" s="33" t="e">
        <f>VLOOKUP($B392,三大美股走勢!$A$4:$J$495,10,FALSE)</f>
        <v>#N/A</v>
      </c>
    </row>
    <row r="393" spans="2:32">
      <c r="B393" s="32">
        <v>43172</v>
      </c>
      <c r="C393" s="33" t="e">
        <f>VLOOKUP($B393,大盤與近月台指!$A$4:$I$499,2,FALSE)</f>
        <v>#N/A</v>
      </c>
      <c r="D393" s="34" t="e">
        <f>VLOOKUP($B393,大盤與近月台指!$A$4:$I$499,3,FALSE)</f>
        <v>#N/A</v>
      </c>
      <c r="E393" s="35" t="e">
        <f>VLOOKUP($B393,大盤與近月台指!$A$4:$I$499,4,FALSE)</f>
        <v>#N/A</v>
      </c>
      <c r="F393" s="33" t="e">
        <f>VLOOKUP($B393,大盤與近月台指!$A$4:$I$499,5,FALSE)</f>
        <v>#N/A</v>
      </c>
      <c r="G393" s="49" t="e">
        <f>VLOOKUP($B393,三大法人買賣超!$A$4:$I$500,3,FALSE)</f>
        <v>#N/A</v>
      </c>
      <c r="H393" s="34" t="e">
        <f>VLOOKUP($B393,三大法人買賣超!$A$4:$I$500,5,FALSE)</f>
        <v>#N/A</v>
      </c>
      <c r="I393" s="27" t="e">
        <f>VLOOKUP($B393,三大法人買賣超!$A$4:$I$500,7,FALSE)</f>
        <v>#N/A</v>
      </c>
      <c r="J393" s="27" t="e">
        <f>VLOOKUP($B393,三大法人買賣超!$A$4:$I$500,9,FALSE)</f>
        <v>#N/A</v>
      </c>
      <c r="K393" s="37">
        <f>新台幣匯率美元指數!B394</f>
        <v>0</v>
      </c>
      <c r="L393" s="38">
        <f>新台幣匯率美元指數!C394</f>
        <v>0</v>
      </c>
      <c r="M393" s="39">
        <f>新台幣匯率美元指數!D394</f>
        <v>0</v>
      </c>
      <c r="N393" s="27" t="e">
        <f>VLOOKUP($B393,外資期貨未平倉口數!$A$4:$M$499,4,FALSE)</f>
        <v>#N/A</v>
      </c>
      <c r="O393" s="27" t="e">
        <f>VLOOKUP($B393,外資期貨未平倉口數!$A$4:$M$499,9,FALSE)</f>
        <v>#N/A</v>
      </c>
      <c r="P393" s="27" t="e">
        <f>VLOOKUP($B393,外資期貨未平倉口數!$A$4:$M$499,10,FALSE)</f>
        <v>#N/A</v>
      </c>
      <c r="Q393" s="27" t="e">
        <f>VLOOKUP($B393,外資期貨未平倉口數!$A$4:$M$499,11,FALSE)</f>
        <v>#N/A</v>
      </c>
      <c r="R393" s="64" t="e">
        <f>VLOOKUP($B393,選擇權未平倉餘額!$A$4:$I$500,6,FALSE)</f>
        <v>#N/A</v>
      </c>
      <c r="S393" s="64" t="e">
        <f>VLOOKUP($B393,選擇權未平倉餘額!$A$4:$I$500,7,FALSE)</f>
        <v>#N/A</v>
      </c>
      <c r="T393" s="64" t="e">
        <f>VLOOKUP($B393,選擇權未平倉餘額!$A$4:$I$500,8,FALSE)</f>
        <v>#N/A</v>
      </c>
      <c r="U393" s="64" t="e">
        <f>VLOOKUP($B393,選擇權未平倉餘額!$A$4:$I$500,9,FALSE)</f>
        <v>#N/A</v>
      </c>
      <c r="V393" s="39" t="e">
        <f>VLOOKUP($B393,臺指選擇權P_C_Ratios!$A$4:$C$500,3,FALSE)</f>
        <v>#N/A</v>
      </c>
      <c r="W393" s="41" t="e">
        <f>VLOOKUP($B393,散戶多空比!$A$6:$L$500,12,FALSE)</f>
        <v>#N/A</v>
      </c>
      <c r="X393" s="40" t="e">
        <f>VLOOKUP($B393,期貨大額交易人未沖銷部位!$A$4:$O$499,4,FALSE)</f>
        <v>#N/A</v>
      </c>
      <c r="Y393" s="40" t="e">
        <f>VLOOKUP($B393,期貨大額交易人未沖銷部位!$A$4:$O$499,7,FALSE)</f>
        <v>#N/A</v>
      </c>
      <c r="Z393" s="40" t="e">
        <f>VLOOKUP($B393,期貨大額交易人未沖銷部位!$A$4:$O$499,10,FALSE)</f>
        <v>#N/A</v>
      </c>
      <c r="AA393" s="40" t="e">
        <f>VLOOKUP($B393,期貨大額交易人未沖銷部位!$A$4:$O$499,13,FALSE)</f>
        <v>#N/A</v>
      </c>
      <c r="AB393" s="40" t="e">
        <f>VLOOKUP($B393,期貨大額交易人未沖銷部位!$A$4:$O$499,14,FALSE)</f>
        <v>#N/A</v>
      </c>
      <c r="AC393" s="40" t="e">
        <f>VLOOKUP($B393,期貨大額交易人未沖銷部位!$A$4:$O$499,15,FALSE)</f>
        <v>#N/A</v>
      </c>
      <c r="AD393" s="33" t="e">
        <f>VLOOKUP($B393,三大美股走勢!$A$4:$J$495,4,FALSE)</f>
        <v>#N/A</v>
      </c>
      <c r="AE393" s="33" t="e">
        <f>VLOOKUP($B393,三大美股走勢!$A$4:$J$495,7,FALSE)</f>
        <v>#N/A</v>
      </c>
      <c r="AF393" s="33" t="e">
        <f>VLOOKUP($B393,三大美股走勢!$A$4:$J$495,10,FALSE)</f>
        <v>#N/A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83"/>
  <sheetViews>
    <sheetView zoomScaleNormal="100" workbookViewId="0">
      <pane ySplit="3" topLeftCell="A371" activePane="bottomLeft" state="frozen"/>
      <selection pane="bottomLeft" activeCell="E394" sqref="E394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352</v>
      </c>
      <c r="F376" s="72">
        <v>10793</v>
      </c>
      <c r="G376" s="21">
        <v>11</v>
      </c>
      <c r="H376" s="44">
        <v>1E-3</v>
      </c>
      <c r="I376" s="42" t="s">
        <v>353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354</v>
      </c>
      <c r="F379" s="72">
        <v>10829</v>
      </c>
      <c r="G379" s="21">
        <v>9</v>
      </c>
      <c r="H379" s="44">
        <v>8.0000000000000004E-4</v>
      </c>
      <c r="I379" s="42" t="s">
        <v>355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356</v>
      </c>
      <c r="F380" s="72">
        <v>10770</v>
      </c>
      <c r="G380" s="21">
        <v>-19</v>
      </c>
      <c r="H380" s="44">
        <v>-1.8E-3</v>
      </c>
      <c r="I380" s="42" t="s">
        <v>357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358</v>
      </c>
      <c r="F382" s="72">
        <v>10753</v>
      </c>
      <c r="G382" s="21">
        <v>19</v>
      </c>
      <c r="H382" s="44">
        <v>1.8E-3</v>
      </c>
      <c r="I382" s="42" t="s">
        <v>359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360</v>
      </c>
      <c r="F383" s="72">
        <v>10629</v>
      </c>
      <c r="G383" s="21">
        <v>-49</v>
      </c>
      <c r="H383" s="44">
        <v>-4.5999999999999999E-3</v>
      </c>
      <c r="I383" s="42" t="s">
        <v>361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83"/>
  <sheetViews>
    <sheetView workbookViewId="0">
      <pane ySplit="3" topLeftCell="A376" activePane="bottomLeft" state="frozen"/>
      <selection pane="bottomLeft" activeCell="H392" sqref="H392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84"/>
  <sheetViews>
    <sheetView zoomScale="85" zoomScaleNormal="85" workbookViewId="0">
      <pane ySplit="3" topLeftCell="A379" activePane="bottomLeft" state="frozen"/>
      <selection pane="bottomLeft" activeCell="L391" sqref="L391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7.332031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83"/>
  <sheetViews>
    <sheetView zoomScale="80" zoomScaleNormal="80" workbookViewId="0">
      <pane ySplit="3" topLeftCell="A380" activePane="bottomLeft" state="frozen"/>
      <selection pane="bottomLeft" activeCell="J387" sqref="J387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351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83"/>
  <sheetViews>
    <sheetView zoomScale="85" zoomScaleNormal="85" workbookViewId="0">
      <pane ySplit="3" topLeftCell="A372" activePane="bottomLeft" state="frozen"/>
      <selection pane="bottomLeft" activeCell="F387" sqref="F387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83"/>
  <sheetViews>
    <sheetView zoomScaleNormal="100" workbookViewId="0">
      <pane xSplit="1" ySplit="3" topLeftCell="B377" activePane="bottomRight" state="frozen"/>
      <selection pane="topRight" activeCell="B1" sqref="B1"/>
      <selection pane="bottomLeft" activeCell="A4" sqref="A4"/>
      <selection pane="bottomRight" activeCell="F390" sqref="F390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83"/>
  <sheetViews>
    <sheetView workbookViewId="0">
      <pane ySplit="3" topLeftCell="A376" activePane="bottomLeft" state="frozen"/>
      <selection pane="bottomLeft" activeCell="D383" sqref="D383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85"/>
  <sheetViews>
    <sheetView zoomScale="85" zoomScaleNormal="85" workbookViewId="0">
      <pane xSplit="1" ySplit="4" topLeftCell="B382" activePane="bottomRight" state="frozen"/>
      <selection pane="topRight" activeCell="B1" sqref="B1"/>
      <selection pane="bottomLeft" activeCell="A5" sqref="A5"/>
      <selection pane="bottomRight" activeCell="K393" sqref="K393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83"/>
  <sheetViews>
    <sheetView zoomScaleNormal="100" workbookViewId="0">
      <pane ySplit="3" topLeftCell="A380" activePane="bottomLeft" state="frozen"/>
      <selection pane="bottomLeft" activeCell="H389" sqref="H389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/>
      <c r="C383" s="27"/>
      <c r="D383" s="91"/>
      <c r="E383" s="89"/>
      <c r="F383" s="27"/>
      <c r="G383" s="91"/>
      <c r="H383" s="89"/>
      <c r="I383" s="27"/>
      <c r="J383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2018-03-02T12:51:25Z</dcterms:modified>
</cp:coreProperties>
</file>