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3" i="18" l="1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<sst xmlns="http://schemas.openxmlformats.org/spreadsheetml/2006/main" count="296" uniqueCount="214">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</sst>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30621185"/>
  <ax:ocxPr ax:name="CurrentDate" ax:value="4309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3" sqref="D13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43091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10537.27</v>
      </c>
      <c r="D7" s="34">
        <f>VLOOKUP($B$6,資料整合一覽!$B$3:$AF$500,3,FALSE)</f>
        <v>48.3</v>
      </c>
      <c r="E7" s="35">
        <f>VLOOKUP($B$6,資料整合一覽!$B$3:$AF$500,4,FALSE)</f>
        <v>4.5999999999999999E-3</v>
      </c>
      <c r="F7" s="33" t="str">
        <f>VLOOKUP($B$6,資料整合一覽!$B$3:$AF$500,5,FALSE)</f>
        <v>912.59億</v>
      </c>
      <c r="G7" s="36">
        <f>VLOOKUP($B$6,資料整合一覽!$B$3:$AF$500,6,FALSE)</f>
        <v>-1.5358871999999999</v>
      </c>
      <c r="H7" s="34">
        <f>VLOOKUP($B$6,資料整合一覽!$B$3:$AF$500,7,FALSE)</f>
        <v>-2.6489478399999999</v>
      </c>
      <c r="I7" s="34">
        <f>VLOOKUP($B$6,資料整合一覽!$B$3:$AF$500,8,FALSE)</f>
        <v>1.9460364699999999</v>
      </c>
      <c r="J7" s="34">
        <f>VLOOKUP($B$6,資料整合一覽!$B$3:$AF$500,9,FALSE)</f>
        <v>12.33299639</v>
      </c>
      <c r="K7" s="37">
        <f>VLOOKUP($B$6,資料整合一覽!$B$3:$AF$500,10,FALSE)</f>
        <v>29.968</v>
      </c>
      <c r="L7" s="38">
        <f>VLOOKUP($B$6,資料整合一覽!$B$3:$AF$500,11,FALSE)</f>
        <v>-0.02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-5475.5</v>
      </c>
      <c r="D11" s="27">
        <f>VLOOKUP($B$6,資料整合一覽!$B$3:$AF$500,14,FALSE)</f>
        <v>45268.25</v>
      </c>
      <c r="E11" s="64">
        <f>VLOOKUP($B$6,資料整合一覽!$B$3:$AF$500,17,FALSE)</f>
        <v>10.8567</v>
      </c>
      <c r="F11" s="64">
        <f>VLOOKUP($B$6,資料整合一覽!$B$3:$AF$500,18,FALSE)</f>
        <v>-22.691099999999999</v>
      </c>
      <c r="G11" s="64">
        <f>VLOOKUP($B$6,資料整合一覽!$B$3:$AF$500,19,FALSE)</f>
        <v>4.6215999999999999</v>
      </c>
      <c r="H11" s="64">
        <f>VLOOKUP($B$6,資料整合一覽!$B$3:$AF$500,20,FALSE)</f>
        <v>43.566400000000002</v>
      </c>
      <c r="I11" s="39">
        <f>VLOOKUP($B$6,資料整合一覽!$B$3:$AF$500,21,FALSE)</f>
        <v>1.5712999999999999</v>
      </c>
      <c r="J11" s="41">
        <f>VLOOKUP($B$6,資料整合一覽!$B$3:$AF$500,22,FALSE)</f>
        <v>8.4417003606163263E-2</v>
      </c>
      <c r="K11" s="35" t="e">
        <f>VLOOKUP($B$6,資料整合一覽!$B$3:$AF$500,29,FALSE)</f>
        <v>#N/A</v>
      </c>
      <c r="L11" s="35" t="e">
        <f>VLOOKUP($B$6,資料整合一覽!$B$3:$AF$500,30,FALSE)</f>
        <v>#N/A</v>
      </c>
      <c r="M11" s="35" t="e">
        <f>VLOOKUP($B$6,資料整合一覽!$B$3:$AF$500,31,FALSE)</f>
        <v>#N/A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13"/>
  <sheetViews>
    <sheetView zoomScale="80" zoomScaleNormal="80" workbookViewId="0">
      <pane ySplit="3" topLeftCell="A296" activePane="bottomLeft" state="frozen"/>
      <selection pane="bottomLeft" activeCell="N315" sqref="N31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12"/>
  <sheetViews>
    <sheetView zoomScaleNormal="100" workbookViewId="0">
      <pane ySplit="3" topLeftCell="A302" activePane="bottomLeft" state="frozen"/>
      <selection pane="bottomLeft" activeCell="H316" sqref="H316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 t="e">
        <f>VLOOKUP($B312,三大美股走勢!$A$4:$J$495,4,FALSE)</f>
        <v>#N/A</v>
      </c>
      <c r="AE312" s="33" t="e">
        <f>VLOOKUP($B312,三大美股走勢!$A$4:$J$495,7,FALSE)</f>
        <v>#N/A</v>
      </c>
      <c r="AF312" s="33" t="e">
        <f>VLOOKUP($B312,三大美股走勢!$A$4:$J$495,10,FALSE)</f>
        <v>#N/A</v>
      </c>
    </row>
    <row r="313" spans="2:32">
      <c r="B313" s="32">
        <v>43092</v>
      </c>
      <c r="C313" s="33" t="e">
        <f>VLOOKUP($B313,大盤與近月台指!$A$4:$I$499,2,FALSE)</f>
        <v>#N/A</v>
      </c>
      <c r="D313" s="34" t="e">
        <f>VLOOKUP($B313,大盤與近月台指!$A$4:$I$499,3,FALSE)</f>
        <v>#N/A</v>
      </c>
      <c r="E313" s="35" t="e">
        <f>VLOOKUP($B313,大盤與近月台指!$A$4:$I$499,4,FALSE)</f>
        <v>#N/A</v>
      </c>
      <c r="F313" s="33" t="e">
        <f>VLOOKUP($B313,大盤與近月台指!$A$4:$I$499,5,FALSE)</f>
        <v>#N/A</v>
      </c>
      <c r="G313" s="49" t="e">
        <f>VLOOKUP($B313,三大法人買賣超!$A$4:$I$500,3,FALSE)</f>
        <v>#N/A</v>
      </c>
      <c r="H313" s="34" t="e">
        <f>VLOOKUP($B313,三大法人買賣超!$A$4:$I$500,5,FALSE)</f>
        <v>#N/A</v>
      </c>
      <c r="I313" s="27" t="e">
        <f>VLOOKUP($B313,三大法人買賣超!$A$4:$I$500,7,FALSE)</f>
        <v>#N/A</v>
      </c>
      <c r="J313" s="27" t="e">
        <f>VLOOKUP($B313,三大法人買賣超!$A$4:$I$500,9,FALSE)</f>
        <v>#N/A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 t="e">
        <f>VLOOKUP($B313,期貨未平倉口數!$A$4:$M$499,4,FALSE)</f>
        <v>#N/A</v>
      </c>
      <c r="O313" s="27" t="e">
        <f>VLOOKUP($B313,期貨未平倉口數!$A$4:$M$499,9,FALSE)</f>
        <v>#N/A</v>
      </c>
      <c r="P313" s="27" t="e">
        <f>VLOOKUP($B313,期貨未平倉口數!$A$4:$M$499,10,FALSE)</f>
        <v>#N/A</v>
      </c>
      <c r="Q313" s="27" t="e">
        <f>VLOOKUP($B313,期貨未平倉口數!$A$4:$M$499,11,FALSE)</f>
        <v>#N/A</v>
      </c>
      <c r="R313" s="64" t="e">
        <f>VLOOKUP($B313,選擇權未平倉餘額!$A$4:$I$500,6,FALSE)</f>
        <v>#N/A</v>
      </c>
      <c r="S313" s="64" t="e">
        <f>VLOOKUP($B313,選擇權未平倉餘額!$A$4:$I$500,7,FALSE)</f>
        <v>#N/A</v>
      </c>
      <c r="T313" s="64" t="e">
        <f>VLOOKUP($B313,選擇權未平倉餘額!$A$4:$I$500,8,FALSE)</f>
        <v>#N/A</v>
      </c>
      <c r="U313" s="64" t="e">
        <f>VLOOKUP($B313,選擇權未平倉餘額!$A$4:$I$500,9,FALSE)</f>
        <v>#N/A</v>
      </c>
      <c r="V313" s="39" t="e">
        <f>VLOOKUP($B313,臺指選擇權P_C_Ratios!$A$4:$C$500,3,FALSE)</f>
        <v>#N/A</v>
      </c>
      <c r="W313" s="41" t="e">
        <f>VLOOKUP($B313,散戶多空比!$A$6:$L$500,12,FALSE)</f>
        <v>#N/A</v>
      </c>
      <c r="X313" s="40" t="e">
        <f>VLOOKUP($B313,期貨大額交易人未沖銷部位!$A$4:$O$499,4,FALSE)</f>
        <v>#N/A</v>
      </c>
      <c r="Y313" s="40" t="e">
        <f>VLOOKUP($B313,期貨大額交易人未沖銷部位!$A$4:$O$499,7,FALSE)</f>
        <v>#N/A</v>
      </c>
      <c r="Z313" s="40" t="e">
        <f>VLOOKUP($B313,期貨大額交易人未沖銷部位!$A$4:$O$499,10,FALSE)</f>
        <v>#N/A</v>
      </c>
      <c r="AA313" s="40" t="e">
        <f>VLOOKUP($B313,期貨大額交易人未沖銷部位!$A$4:$O$499,13,FALSE)</f>
        <v>#N/A</v>
      </c>
      <c r="AB313" s="40" t="e">
        <f>VLOOKUP($B313,期貨大額交易人未沖銷部位!$A$4:$O$499,14,FALSE)</f>
        <v>#N/A</v>
      </c>
      <c r="AC313" s="40" t="e">
        <f>VLOOKUP($B313,期貨大額交易人未沖銷部位!$A$4:$O$499,15,FALSE)</f>
        <v>#N/A</v>
      </c>
      <c r="AD313" s="33" t="e">
        <f>VLOOKUP($B313,三大美股走勢!$A$4:$J$495,4,FALSE)</f>
        <v>#N/A</v>
      </c>
      <c r="AE313" s="33" t="e">
        <f>VLOOKUP($B313,三大美股走勢!$A$4:$J$495,7,FALSE)</f>
        <v>#N/A</v>
      </c>
      <c r="AF313" s="33" t="e">
        <f>VLOOKUP($B313,三大美股走勢!$A$4:$J$495,10,FALSE)</f>
        <v>#N/A</v>
      </c>
    </row>
    <row r="314" spans="2:32">
      <c r="B314" s="32">
        <v>43093</v>
      </c>
      <c r="C314" s="33" t="e">
        <f>VLOOKUP($B314,大盤與近月台指!$A$4:$I$499,2,FALSE)</f>
        <v>#N/A</v>
      </c>
      <c r="D314" s="34" t="e">
        <f>VLOOKUP($B314,大盤與近月台指!$A$4:$I$499,3,FALSE)</f>
        <v>#N/A</v>
      </c>
      <c r="E314" s="35" t="e">
        <f>VLOOKUP($B314,大盤與近月台指!$A$4:$I$499,4,FALSE)</f>
        <v>#N/A</v>
      </c>
      <c r="F314" s="33" t="e">
        <f>VLOOKUP($B314,大盤與近月台指!$A$4:$I$499,5,FALSE)</f>
        <v>#N/A</v>
      </c>
      <c r="G314" s="49" t="e">
        <f>VLOOKUP($B314,三大法人買賣超!$A$4:$I$500,3,FALSE)</f>
        <v>#N/A</v>
      </c>
      <c r="H314" s="34" t="e">
        <f>VLOOKUP($B314,三大法人買賣超!$A$4:$I$500,5,FALSE)</f>
        <v>#N/A</v>
      </c>
      <c r="I314" s="27" t="e">
        <f>VLOOKUP($B314,三大法人買賣超!$A$4:$I$500,7,FALSE)</f>
        <v>#N/A</v>
      </c>
      <c r="J314" s="27" t="e">
        <f>VLOOKUP($B314,三大法人買賣超!$A$4:$I$500,9,FALSE)</f>
        <v>#N/A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 t="e">
        <f>VLOOKUP($B314,期貨未平倉口數!$A$4:$M$499,4,FALSE)</f>
        <v>#N/A</v>
      </c>
      <c r="O314" s="27" t="e">
        <f>VLOOKUP($B314,期貨未平倉口數!$A$4:$M$499,9,FALSE)</f>
        <v>#N/A</v>
      </c>
      <c r="P314" s="27" t="e">
        <f>VLOOKUP($B314,期貨未平倉口數!$A$4:$M$499,10,FALSE)</f>
        <v>#N/A</v>
      </c>
      <c r="Q314" s="27" t="e">
        <f>VLOOKUP($B314,期貨未平倉口數!$A$4:$M$499,11,FALSE)</f>
        <v>#N/A</v>
      </c>
      <c r="R314" s="64" t="e">
        <f>VLOOKUP($B314,選擇權未平倉餘額!$A$4:$I$500,6,FALSE)</f>
        <v>#N/A</v>
      </c>
      <c r="S314" s="64" t="e">
        <f>VLOOKUP($B314,選擇權未平倉餘額!$A$4:$I$500,7,FALSE)</f>
        <v>#N/A</v>
      </c>
      <c r="T314" s="64" t="e">
        <f>VLOOKUP($B314,選擇權未平倉餘額!$A$4:$I$500,8,FALSE)</f>
        <v>#N/A</v>
      </c>
      <c r="U314" s="64" t="e">
        <f>VLOOKUP($B314,選擇權未平倉餘額!$A$4:$I$500,9,FALSE)</f>
        <v>#N/A</v>
      </c>
      <c r="V314" s="39" t="e">
        <f>VLOOKUP($B314,臺指選擇權P_C_Ratios!$A$4:$C$500,3,FALSE)</f>
        <v>#N/A</v>
      </c>
      <c r="W314" s="41" t="e">
        <f>VLOOKUP($B314,散戶多空比!$A$6:$L$500,12,FALSE)</f>
        <v>#N/A</v>
      </c>
      <c r="X314" s="40" t="e">
        <f>VLOOKUP($B314,期貨大額交易人未沖銷部位!$A$4:$O$499,4,FALSE)</f>
        <v>#N/A</v>
      </c>
      <c r="Y314" s="40" t="e">
        <f>VLOOKUP($B314,期貨大額交易人未沖銷部位!$A$4:$O$499,7,FALSE)</f>
        <v>#N/A</v>
      </c>
      <c r="Z314" s="40" t="e">
        <f>VLOOKUP($B314,期貨大額交易人未沖銷部位!$A$4:$O$499,10,FALSE)</f>
        <v>#N/A</v>
      </c>
      <c r="AA314" s="40" t="e">
        <f>VLOOKUP($B314,期貨大額交易人未沖銷部位!$A$4:$O$499,13,FALSE)</f>
        <v>#N/A</v>
      </c>
      <c r="AB314" s="40" t="e">
        <f>VLOOKUP($B314,期貨大額交易人未沖銷部位!$A$4:$O$499,14,FALSE)</f>
        <v>#N/A</v>
      </c>
      <c r="AC314" s="40" t="e">
        <f>VLOOKUP($B314,期貨大額交易人未沖銷部位!$A$4:$O$499,15,FALSE)</f>
        <v>#N/A</v>
      </c>
      <c r="AD314" s="33" t="e">
        <f>VLOOKUP($B314,三大美股走勢!$A$4:$J$495,4,FALSE)</f>
        <v>#N/A</v>
      </c>
      <c r="AE314" s="33" t="e">
        <f>VLOOKUP($B314,三大美股走勢!$A$4:$J$495,7,FALSE)</f>
        <v>#N/A</v>
      </c>
      <c r="AF314" s="33" t="e">
        <f>VLOOKUP($B314,三大美股走勢!$A$4:$J$495,10,FALSE)</f>
        <v>#N/A</v>
      </c>
    </row>
    <row r="315" spans="2:32">
      <c r="B315" s="32">
        <v>43094</v>
      </c>
      <c r="C315" s="33" t="e">
        <f>VLOOKUP($B315,大盤與近月台指!$A$4:$I$499,2,FALSE)</f>
        <v>#N/A</v>
      </c>
      <c r="D315" s="34" t="e">
        <f>VLOOKUP($B315,大盤與近月台指!$A$4:$I$499,3,FALSE)</f>
        <v>#N/A</v>
      </c>
      <c r="E315" s="35" t="e">
        <f>VLOOKUP($B315,大盤與近月台指!$A$4:$I$499,4,FALSE)</f>
        <v>#N/A</v>
      </c>
      <c r="F315" s="33" t="e">
        <f>VLOOKUP($B315,大盤與近月台指!$A$4:$I$499,5,FALSE)</f>
        <v>#N/A</v>
      </c>
      <c r="G315" s="49" t="e">
        <f>VLOOKUP($B315,三大法人買賣超!$A$4:$I$500,3,FALSE)</f>
        <v>#N/A</v>
      </c>
      <c r="H315" s="34" t="e">
        <f>VLOOKUP($B315,三大法人買賣超!$A$4:$I$500,5,FALSE)</f>
        <v>#N/A</v>
      </c>
      <c r="I315" s="27" t="e">
        <f>VLOOKUP($B315,三大法人買賣超!$A$4:$I$500,7,FALSE)</f>
        <v>#N/A</v>
      </c>
      <c r="J315" s="27" t="e">
        <f>VLOOKUP($B315,三大法人買賣超!$A$4:$I$500,9,FALSE)</f>
        <v>#N/A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0</v>
      </c>
      <c r="N315" s="27" t="e">
        <f>VLOOKUP($B315,期貨未平倉口數!$A$4:$M$499,4,FALSE)</f>
        <v>#N/A</v>
      </c>
      <c r="O315" s="27" t="e">
        <f>VLOOKUP($B315,期貨未平倉口數!$A$4:$M$499,9,FALSE)</f>
        <v>#N/A</v>
      </c>
      <c r="P315" s="27" t="e">
        <f>VLOOKUP($B315,期貨未平倉口數!$A$4:$M$499,10,FALSE)</f>
        <v>#N/A</v>
      </c>
      <c r="Q315" s="27" t="e">
        <f>VLOOKUP($B315,期貨未平倉口數!$A$4:$M$499,11,FALSE)</f>
        <v>#N/A</v>
      </c>
      <c r="R315" s="64" t="e">
        <f>VLOOKUP($B315,選擇權未平倉餘額!$A$4:$I$500,6,FALSE)</f>
        <v>#N/A</v>
      </c>
      <c r="S315" s="64" t="e">
        <f>VLOOKUP($B315,選擇權未平倉餘額!$A$4:$I$500,7,FALSE)</f>
        <v>#N/A</v>
      </c>
      <c r="T315" s="64" t="e">
        <f>VLOOKUP($B315,選擇權未平倉餘額!$A$4:$I$500,8,FALSE)</f>
        <v>#N/A</v>
      </c>
      <c r="U315" s="64" t="e">
        <f>VLOOKUP($B315,選擇權未平倉餘額!$A$4:$I$500,9,FALSE)</f>
        <v>#N/A</v>
      </c>
      <c r="V315" s="39" t="e">
        <f>VLOOKUP($B315,臺指選擇權P_C_Ratios!$A$4:$C$500,3,FALSE)</f>
        <v>#N/A</v>
      </c>
      <c r="W315" s="41" t="e">
        <f>VLOOKUP($B315,散戶多空比!$A$6:$L$500,12,FALSE)</f>
        <v>#N/A</v>
      </c>
      <c r="X315" s="40" t="e">
        <f>VLOOKUP($B315,期貨大額交易人未沖銷部位!$A$4:$O$499,4,FALSE)</f>
        <v>#N/A</v>
      </c>
      <c r="Y315" s="40" t="e">
        <f>VLOOKUP($B315,期貨大額交易人未沖銷部位!$A$4:$O$499,7,FALSE)</f>
        <v>#N/A</v>
      </c>
      <c r="Z315" s="40" t="e">
        <f>VLOOKUP($B315,期貨大額交易人未沖銷部位!$A$4:$O$499,10,FALSE)</f>
        <v>#N/A</v>
      </c>
      <c r="AA315" s="40" t="e">
        <f>VLOOKUP($B315,期貨大額交易人未沖銷部位!$A$4:$O$499,13,FALSE)</f>
        <v>#N/A</v>
      </c>
      <c r="AB315" s="40" t="e">
        <f>VLOOKUP($B315,期貨大額交易人未沖銷部位!$A$4:$O$499,14,FALSE)</f>
        <v>#N/A</v>
      </c>
      <c r="AC315" s="40" t="e">
        <f>VLOOKUP($B315,期貨大額交易人未沖銷部位!$A$4:$O$499,15,FALSE)</f>
        <v>#N/A</v>
      </c>
      <c r="AD315" s="33" t="e">
        <f>VLOOKUP($B315,三大美股走勢!$A$4:$J$495,4,FALSE)</f>
        <v>#N/A</v>
      </c>
      <c r="AE315" s="33" t="e">
        <f>VLOOKUP($B315,三大美股走勢!$A$4:$J$495,7,FALSE)</f>
        <v>#N/A</v>
      </c>
      <c r="AF315" s="33" t="e">
        <f>VLOOKUP($B315,三大美股走勢!$A$4:$J$495,10,FALSE)</f>
        <v>#N/A</v>
      </c>
    </row>
    <row r="316" spans="2:32">
      <c r="B316" s="32">
        <v>43095</v>
      </c>
      <c r="C316" s="33" t="e">
        <f>VLOOKUP($B316,大盤與近月台指!$A$4:$I$499,2,FALSE)</f>
        <v>#N/A</v>
      </c>
      <c r="D316" s="34" t="e">
        <f>VLOOKUP($B316,大盤與近月台指!$A$4:$I$499,3,FALSE)</f>
        <v>#N/A</v>
      </c>
      <c r="E316" s="35" t="e">
        <f>VLOOKUP($B316,大盤與近月台指!$A$4:$I$499,4,FALSE)</f>
        <v>#N/A</v>
      </c>
      <c r="F316" s="33" t="e">
        <f>VLOOKUP($B316,大盤與近月台指!$A$4:$I$499,5,FALSE)</f>
        <v>#N/A</v>
      </c>
      <c r="G316" s="49" t="e">
        <f>VLOOKUP($B316,三大法人買賣超!$A$4:$I$500,3,FALSE)</f>
        <v>#N/A</v>
      </c>
      <c r="H316" s="34" t="e">
        <f>VLOOKUP($B316,三大法人買賣超!$A$4:$I$500,5,FALSE)</f>
        <v>#N/A</v>
      </c>
      <c r="I316" s="27" t="e">
        <f>VLOOKUP($B316,三大法人買賣超!$A$4:$I$500,7,FALSE)</f>
        <v>#N/A</v>
      </c>
      <c r="J316" s="27" t="e">
        <f>VLOOKUP($B316,三大法人買賣超!$A$4:$I$500,9,FALSE)</f>
        <v>#N/A</v>
      </c>
      <c r="K316" s="37">
        <f>新台幣匯率美元指數!B317</f>
        <v>0</v>
      </c>
      <c r="L316" s="38">
        <f>新台幣匯率美元指數!C317</f>
        <v>0</v>
      </c>
      <c r="M316" s="39">
        <f>新台幣匯率美元指數!D317</f>
        <v>0</v>
      </c>
      <c r="N316" s="27" t="e">
        <f>VLOOKUP($B316,期貨未平倉口數!$A$4:$M$499,4,FALSE)</f>
        <v>#N/A</v>
      </c>
      <c r="O316" s="27" t="e">
        <f>VLOOKUP($B316,期貨未平倉口數!$A$4:$M$499,9,FALSE)</f>
        <v>#N/A</v>
      </c>
      <c r="P316" s="27" t="e">
        <f>VLOOKUP($B316,期貨未平倉口數!$A$4:$M$499,10,FALSE)</f>
        <v>#N/A</v>
      </c>
      <c r="Q316" s="27" t="e">
        <f>VLOOKUP($B316,期貨未平倉口數!$A$4:$M$499,11,FALSE)</f>
        <v>#N/A</v>
      </c>
      <c r="R316" s="64" t="e">
        <f>VLOOKUP($B316,選擇權未平倉餘額!$A$4:$I$500,6,FALSE)</f>
        <v>#N/A</v>
      </c>
      <c r="S316" s="64" t="e">
        <f>VLOOKUP($B316,選擇權未平倉餘額!$A$4:$I$500,7,FALSE)</f>
        <v>#N/A</v>
      </c>
      <c r="T316" s="64" t="e">
        <f>VLOOKUP($B316,選擇權未平倉餘額!$A$4:$I$500,8,FALSE)</f>
        <v>#N/A</v>
      </c>
      <c r="U316" s="64" t="e">
        <f>VLOOKUP($B316,選擇權未平倉餘額!$A$4:$I$500,9,FALSE)</f>
        <v>#N/A</v>
      </c>
      <c r="V316" s="39" t="e">
        <f>VLOOKUP($B316,臺指選擇權P_C_Ratios!$A$4:$C$500,3,FALSE)</f>
        <v>#N/A</v>
      </c>
      <c r="W316" s="41" t="e">
        <f>VLOOKUP($B316,散戶多空比!$A$6:$L$500,12,FALSE)</f>
        <v>#N/A</v>
      </c>
      <c r="X316" s="40" t="e">
        <f>VLOOKUP($B316,期貨大額交易人未沖銷部位!$A$4:$O$499,4,FALSE)</f>
        <v>#N/A</v>
      </c>
      <c r="Y316" s="40" t="e">
        <f>VLOOKUP($B316,期貨大額交易人未沖銷部位!$A$4:$O$499,7,FALSE)</f>
        <v>#N/A</v>
      </c>
      <c r="Z316" s="40" t="e">
        <f>VLOOKUP($B316,期貨大額交易人未沖銷部位!$A$4:$O$499,10,FALSE)</f>
        <v>#N/A</v>
      </c>
      <c r="AA316" s="40" t="e">
        <f>VLOOKUP($B316,期貨大額交易人未沖銷部位!$A$4:$O$499,13,FALSE)</f>
        <v>#N/A</v>
      </c>
      <c r="AB316" s="40" t="e">
        <f>VLOOKUP($B316,期貨大額交易人未沖銷部位!$A$4:$O$499,14,FALSE)</f>
        <v>#N/A</v>
      </c>
      <c r="AC316" s="40" t="e">
        <f>VLOOKUP($B316,期貨大額交易人未沖銷部位!$A$4:$O$499,15,FALSE)</f>
        <v>#N/A</v>
      </c>
      <c r="AD316" s="33" t="e">
        <f>VLOOKUP($B316,三大美股走勢!$A$4:$J$495,4,FALSE)</f>
        <v>#N/A</v>
      </c>
      <c r="AE316" s="33" t="e">
        <f>VLOOKUP($B316,三大美股走勢!$A$4:$J$495,7,FALSE)</f>
        <v>#N/A</v>
      </c>
      <c r="AF316" s="33" t="e">
        <f>VLOOKUP($B316,三大美股走勢!$A$4:$J$495,10,FALSE)</f>
        <v>#N/A</v>
      </c>
    </row>
    <row r="317" spans="2:32">
      <c r="B317" s="32">
        <v>43096</v>
      </c>
      <c r="C317" s="33" t="e">
        <f>VLOOKUP($B317,大盤與近月台指!$A$4:$I$499,2,FALSE)</f>
        <v>#N/A</v>
      </c>
      <c r="D317" s="34" t="e">
        <f>VLOOKUP($B317,大盤與近月台指!$A$4:$I$499,3,FALSE)</f>
        <v>#N/A</v>
      </c>
      <c r="E317" s="35" t="e">
        <f>VLOOKUP($B317,大盤與近月台指!$A$4:$I$499,4,FALSE)</f>
        <v>#N/A</v>
      </c>
      <c r="F317" s="33" t="e">
        <f>VLOOKUP($B317,大盤與近月台指!$A$4:$I$499,5,FALSE)</f>
        <v>#N/A</v>
      </c>
      <c r="G317" s="49" t="e">
        <f>VLOOKUP($B317,三大法人買賣超!$A$4:$I$500,3,FALSE)</f>
        <v>#N/A</v>
      </c>
      <c r="H317" s="34" t="e">
        <f>VLOOKUP($B317,三大法人買賣超!$A$4:$I$500,5,FALSE)</f>
        <v>#N/A</v>
      </c>
      <c r="I317" s="27" t="e">
        <f>VLOOKUP($B317,三大法人買賣超!$A$4:$I$500,7,FALSE)</f>
        <v>#N/A</v>
      </c>
      <c r="J317" s="27" t="e">
        <f>VLOOKUP($B317,三大法人買賣超!$A$4:$I$500,9,FALSE)</f>
        <v>#N/A</v>
      </c>
      <c r="K317" s="37">
        <f>新台幣匯率美元指數!B318</f>
        <v>0</v>
      </c>
      <c r="L317" s="38">
        <f>新台幣匯率美元指數!C318</f>
        <v>0</v>
      </c>
      <c r="M317" s="39">
        <f>新台幣匯率美元指數!D318</f>
        <v>0</v>
      </c>
      <c r="N317" s="27" t="e">
        <f>VLOOKUP($B317,期貨未平倉口數!$A$4:$M$499,4,FALSE)</f>
        <v>#N/A</v>
      </c>
      <c r="O317" s="27" t="e">
        <f>VLOOKUP($B317,期貨未平倉口數!$A$4:$M$499,9,FALSE)</f>
        <v>#N/A</v>
      </c>
      <c r="P317" s="27" t="e">
        <f>VLOOKUP($B317,期貨未平倉口數!$A$4:$M$499,10,FALSE)</f>
        <v>#N/A</v>
      </c>
      <c r="Q317" s="27" t="e">
        <f>VLOOKUP($B317,期貨未平倉口數!$A$4:$M$499,11,FALSE)</f>
        <v>#N/A</v>
      </c>
      <c r="R317" s="64" t="e">
        <f>VLOOKUP($B317,選擇權未平倉餘額!$A$4:$I$500,6,FALSE)</f>
        <v>#N/A</v>
      </c>
      <c r="S317" s="64" t="e">
        <f>VLOOKUP($B317,選擇權未平倉餘額!$A$4:$I$500,7,FALSE)</f>
        <v>#N/A</v>
      </c>
      <c r="T317" s="64" t="e">
        <f>VLOOKUP($B317,選擇權未平倉餘額!$A$4:$I$500,8,FALSE)</f>
        <v>#N/A</v>
      </c>
      <c r="U317" s="64" t="e">
        <f>VLOOKUP($B317,選擇權未平倉餘額!$A$4:$I$500,9,FALSE)</f>
        <v>#N/A</v>
      </c>
      <c r="V317" s="39" t="e">
        <f>VLOOKUP($B317,臺指選擇權P_C_Ratios!$A$4:$C$500,3,FALSE)</f>
        <v>#N/A</v>
      </c>
      <c r="W317" s="41" t="e">
        <f>VLOOKUP($B317,散戶多空比!$A$6:$L$500,12,FALSE)</f>
        <v>#N/A</v>
      </c>
      <c r="X317" s="40" t="e">
        <f>VLOOKUP($B317,期貨大額交易人未沖銷部位!$A$4:$O$499,4,FALSE)</f>
        <v>#N/A</v>
      </c>
      <c r="Y317" s="40" t="e">
        <f>VLOOKUP($B317,期貨大額交易人未沖銷部位!$A$4:$O$499,7,FALSE)</f>
        <v>#N/A</v>
      </c>
      <c r="Z317" s="40" t="e">
        <f>VLOOKUP($B317,期貨大額交易人未沖銷部位!$A$4:$O$499,10,FALSE)</f>
        <v>#N/A</v>
      </c>
      <c r="AA317" s="40" t="e">
        <f>VLOOKUP($B317,期貨大額交易人未沖銷部位!$A$4:$O$499,13,FALSE)</f>
        <v>#N/A</v>
      </c>
      <c r="AB317" s="40" t="e">
        <f>VLOOKUP($B317,期貨大額交易人未沖銷部位!$A$4:$O$499,14,FALSE)</f>
        <v>#N/A</v>
      </c>
      <c r="AC317" s="40" t="e">
        <f>VLOOKUP($B317,期貨大額交易人未沖銷部位!$A$4:$O$499,15,FALSE)</f>
        <v>#N/A</v>
      </c>
      <c r="AD317" s="33" t="e">
        <f>VLOOKUP($B317,三大美股走勢!$A$4:$J$495,4,FALSE)</f>
        <v>#N/A</v>
      </c>
      <c r="AE317" s="33" t="e">
        <f>VLOOKUP($B317,三大美股走勢!$A$4:$J$495,7,FALSE)</f>
        <v>#N/A</v>
      </c>
      <c r="AF317" s="33" t="e">
        <f>VLOOKUP($B317,三大美股走勢!$A$4:$J$495,10,FALSE)</f>
        <v>#N/A</v>
      </c>
    </row>
    <row r="318" spans="2:32">
      <c r="B318" s="32">
        <v>43097</v>
      </c>
      <c r="C318" s="33" t="e">
        <f>VLOOKUP($B318,大盤與近月台指!$A$4:$I$499,2,FALSE)</f>
        <v>#N/A</v>
      </c>
      <c r="D318" s="34" t="e">
        <f>VLOOKUP($B318,大盤與近月台指!$A$4:$I$499,3,FALSE)</f>
        <v>#N/A</v>
      </c>
      <c r="E318" s="35" t="e">
        <f>VLOOKUP($B318,大盤與近月台指!$A$4:$I$499,4,FALSE)</f>
        <v>#N/A</v>
      </c>
      <c r="F318" s="33" t="e">
        <f>VLOOKUP($B318,大盤與近月台指!$A$4:$I$499,5,FALSE)</f>
        <v>#N/A</v>
      </c>
      <c r="G318" s="49" t="e">
        <f>VLOOKUP($B318,三大法人買賣超!$A$4:$I$500,3,FALSE)</f>
        <v>#N/A</v>
      </c>
      <c r="H318" s="34" t="e">
        <f>VLOOKUP($B318,三大法人買賣超!$A$4:$I$500,5,FALSE)</f>
        <v>#N/A</v>
      </c>
      <c r="I318" s="27" t="e">
        <f>VLOOKUP($B318,三大法人買賣超!$A$4:$I$500,7,FALSE)</f>
        <v>#N/A</v>
      </c>
      <c r="J318" s="27" t="e">
        <f>VLOOKUP($B318,三大法人買賣超!$A$4:$I$500,9,FALSE)</f>
        <v>#N/A</v>
      </c>
      <c r="K318" s="37">
        <f>新台幣匯率美元指數!B319</f>
        <v>0</v>
      </c>
      <c r="L318" s="38">
        <f>新台幣匯率美元指數!C319</f>
        <v>0</v>
      </c>
      <c r="M318" s="39">
        <f>新台幣匯率美元指數!D319</f>
        <v>0</v>
      </c>
      <c r="N318" s="27" t="e">
        <f>VLOOKUP($B318,期貨未平倉口數!$A$4:$M$499,4,FALSE)</f>
        <v>#N/A</v>
      </c>
      <c r="O318" s="27" t="e">
        <f>VLOOKUP($B318,期貨未平倉口數!$A$4:$M$499,9,FALSE)</f>
        <v>#N/A</v>
      </c>
      <c r="P318" s="27" t="e">
        <f>VLOOKUP($B318,期貨未平倉口數!$A$4:$M$499,10,FALSE)</f>
        <v>#N/A</v>
      </c>
      <c r="Q318" s="27" t="e">
        <f>VLOOKUP($B318,期貨未平倉口數!$A$4:$M$499,11,FALSE)</f>
        <v>#N/A</v>
      </c>
      <c r="R318" s="64" t="e">
        <f>VLOOKUP($B318,選擇權未平倉餘額!$A$4:$I$500,6,FALSE)</f>
        <v>#N/A</v>
      </c>
      <c r="S318" s="64" t="e">
        <f>VLOOKUP($B318,選擇權未平倉餘額!$A$4:$I$500,7,FALSE)</f>
        <v>#N/A</v>
      </c>
      <c r="T318" s="64" t="e">
        <f>VLOOKUP($B318,選擇權未平倉餘額!$A$4:$I$500,8,FALSE)</f>
        <v>#N/A</v>
      </c>
      <c r="U318" s="64" t="e">
        <f>VLOOKUP($B318,選擇權未平倉餘額!$A$4:$I$500,9,FALSE)</f>
        <v>#N/A</v>
      </c>
      <c r="V318" s="39" t="e">
        <f>VLOOKUP($B318,臺指選擇權P_C_Ratios!$A$4:$C$500,3,FALSE)</f>
        <v>#N/A</v>
      </c>
      <c r="W318" s="41" t="e">
        <f>VLOOKUP($B318,散戶多空比!$A$6:$L$500,12,FALSE)</f>
        <v>#N/A</v>
      </c>
      <c r="X318" s="40" t="e">
        <f>VLOOKUP($B318,期貨大額交易人未沖銷部位!$A$4:$O$499,4,FALSE)</f>
        <v>#N/A</v>
      </c>
      <c r="Y318" s="40" t="e">
        <f>VLOOKUP($B318,期貨大額交易人未沖銷部位!$A$4:$O$499,7,FALSE)</f>
        <v>#N/A</v>
      </c>
      <c r="Z318" s="40" t="e">
        <f>VLOOKUP($B318,期貨大額交易人未沖銷部位!$A$4:$O$499,10,FALSE)</f>
        <v>#N/A</v>
      </c>
      <c r="AA318" s="40" t="e">
        <f>VLOOKUP($B318,期貨大額交易人未沖銷部位!$A$4:$O$499,13,FALSE)</f>
        <v>#N/A</v>
      </c>
      <c r="AB318" s="40" t="e">
        <f>VLOOKUP($B318,期貨大額交易人未沖銷部位!$A$4:$O$499,14,FALSE)</f>
        <v>#N/A</v>
      </c>
      <c r="AC318" s="40" t="e">
        <f>VLOOKUP($B318,期貨大額交易人未沖銷部位!$A$4:$O$499,15,FALSE)</f>
        <v>#N/A</v>
      </c>
      <c r="AD318" s="33" t="e">
        <f>VLOOKUP($B318,三大美股走勢!$A$4:$J$495,4,FALSE)</f>
        <v>#N/A</v>
      </c>
      <c r="AE318" s="33" t="e">
        <f>VLOOKUP($B318,三大美股走勢!$A$4:$J$495,7,FALSE)</f>
        <v>#N/A</v>
      </c>
      <c r="AF318" s="33" t="e">
        <f>VLOOKUP($B318,三大美股走勢!$A$4:$J$495,10,FALSE)</f>
        <v>#N/A</v>
      </c>
    </row>
    <row r="319" spans="2:32">
      <c r="B319" s="32">
        <v>43098</v>
      </c>
      <c r="C319" s="33" t="e">
        <f>VLOOKUP($B319,大盤與近月台指!$A$4:$I$499,2,FALSE)</f>
        <v>#N/A</v>
      </c>
      <c r="D319" s="34" t="e">
        <f>VLOOKUP($B319,大盤與近月台指!$A$4:$I$499,3,FALSE)</f>
        <v>#N/A</v>
      </c>
      <c r="E319" s="35" t="e">
        <f>VLOOKUP($B319,大盤與近月台指!$A$4:$I$499,4,FALSE)</f>
        <v>#N/A</v>
      </c>
      <c r="F319" s="33" t="e">
        <f>VLOOKUP($B319,大盤與近月台指!$A$4:$I$499,5,FALSE)</f>
        <v>#N/A</v>
      </c>
      <c r="G319" s="49" t="e">
        <f>VLOOKUP($B319,三大法人買賣超!$A$4:$I$500,3,FALSE)</f>
        <v>#N/A</v>
      </c>
      <c r="H319" s="34" t="e">
        <f>VLOOKUP($B319,三大法人買賣超!$A$4:$I$500,5,FALSE)</f>
        <v>#N/A</v>
      </c>
      <c r="I319" s="27" t="e">
        <f>VLOOKUP($B319,三大法人買賣超!$A$4:$I$500,7,FALSE)</f>
        <v>#N/A</v>
      </c>
      <c r="J319" s="27" t="e">
        <f>VLOOKUP($B319,三大法人買賣超!$A$4:$I$500,9,FALSE)</f>
        <v>#N/A</v>
      </c>
      <c r="K319" s="37">
        <f>新台幣匯率美元指數!B320</f>
        <v>0</v>
      </c>
      <c r="L319" s="38">
        <f>新台幣匯率美元指數!C320</f>
        <v>0</v>
      </c>
      <c r="M319" s="39">
        <f>新台幣匯率美元指數!D320</f>
        <v>0</v>
      </c>
      <c r="N319" s="27" t="e">
        <f>VLOOKUP($B319,期貨未平倉口數!$A$4:$M$499,4,FALSE)</f>
        <v>#N/A</v>
      </c>
      <c r="O319" s="27" t="e">
        <f>VLOOKUP($B319,期貨未平倉口數!$A$4:$M$499,9,FALSE)</f>
        <v>#N/A</v>
      </c>
      <c r="P319" s="27" t="e">
        <f>VLOOKUP($B319,期貨未平倉口數!$A$4:$M$499,10,FALSE)</f>
        <v>#N/A</v>
      </c>
      <c r="Q319" s="27" t="e">
        <f>VLOOKUP($B319,期貨未平倉口數!$A$4:$M$499,11,FALSE)</f>
        <v>#N/A</v>
      </c>
      <c r="R319" s="64" t="e">
        <f>VLOOKUP($B319,選擇權未平倉餘額!$A$4:$I$500,6,FALSE)</f>
        <v>#N/A</v>
      </c>
      <c r="S319" s="64" t="e">
        <f>VLOOKUP($B319,選擇權未平倉餘額!$A$4:$I$500,7,FALSE)</f>
        <v>#N/A</v>
      </c>
      <c r="T319" s="64" t="e">
        <f>VLOOKUP($B319,選擇權未平倉餘額!$A$4:$I$500,8,FALSE)</f>
        <v>#N/A</v>
      </c>
      <c r="U319" s="64" t="e">
        <f>VLOOKUP($B319,選擇權未平倉餘額!$A$4:$I$500,9,FALSE)</f>
        <v>#N/A</v>
      </c>
      <c r="V319" s="39" t="e">
        <f>VLOOKUP($B319,臺指選擇權P_C_Ratios!$A$4:$C$500,3,FALSE)</f>
        <v>#N/A</v>
      </c>
      <c r="W319" s="41" t="e">
        <f>VLOOKUP($B319,散戶多空比!$A$6:$L$500,12,FALSE)</f>
        <v>#N/A</v>
      </c>
      <c r="X319" s="40" t="e">
        <f>VLOOKUP($B319,期貨大額交易人未沖銷部位!$A$4:$O$499,4,FALSE)</f>
        <v>#N/A</v>
      </c>
      <c r="Y319" s="40" t="e">
        <f>VLOOKUP($B319,期貨大額交易人未沖銷部位!$A$4:$O$499,7,FALSE)</f>
        <v>#N/A</v>
      </c>
      <c r="Z319" s="40" t="e">
        <f>VLOOKUP($B319,期貨大額交易人未沖銷部位!$A$4:$O$499,10,FALSE)</f>
        <v>#N/A</v>
      </c>
      <c r="AA319" s="40" t="e">
        <f>VLOOKUP($B319,期貨大額交易人未沖銷部位!$A$4:$O$499,13,FALSE)</f>
        <v>#N/A</v>
      </c>
      <c r="AB319" s="40" t="e">
        <f>VLOOKUP($B319,期貨大額交易人未沖銷部位!$A$4:$O$499,14,FALSE)</f>
        <v>#N/A</v>
      </c>
      <c r="AC319" s="40" t="e">
        <f>VLOOKUP($B319,期貨大額交易人未沖銷部位!$A$4:$O$499,15,FALSE)</f>
        <v>#N/A</v>
      </c>
      <c r="AD319" s="33" t="e">
        <f>VLOOKUP($B319,三大美股走勢!$A$4:$J$495,4,FALSE)</f>
        <v>#N/A</v>
      </c>
      <c r="AE319" s="33" t="e">
        <f>VLOOKUP($B319,三大美股走勢!$A$4:$J$495,7,FALSE)</f>
        <v>#N/A</v>
      </c>
      <c r="AF319" s="33" t="e">
        <f>VLOOKUP($B319,三大美股走勢!$A$4:$J$495,10,FALSE)</f>
        <v>#N/A</v>
      </c>
    </row>
    <row r="320" spans="2:32">
      <c r="B320" s="32">
        <v>43099</v>
      </c>
      <c r="C320" s="33" t="e">
        <f>VLOOKUP($B320,大盤與近月台指!$A$4:$I$499,2,FALSE)</f>
        <v>#N/A</v>
      </c>
      <c r="D320" s="34" t="e">
        <f>VLOOKUP($B320,大盤與近月台指!$A$4:$I$499,3,FALSE)</f>
        <v>#N/A</v>
      </c>
      <c r="E320" s="35" t="e">
        <f>VLOOKUP($B320,大盤與近月台指!$A$4:$I$499,4,FALSE)</f>
        <v>#N/A</v>
      </c>
      <c r="F320" s="33" t="e">
        <f>VLOOKUP($B320,大盤與近月台指!$A$4:$I$499,5,FALSE)</f>
        <v>#N/A</v>
      </c>
      <c r="G320" s="49" t="e">
        <f>VLOOKUP($B320,三大法人買賣超!$A$4:$I$500,3,FALSE)</f>
        <v>#N/A</v>
      </c>
      <c r="H320" s="34" t="e">
        <f>VLOOKUP($B320,三大法人買賣超!$A$4:$I$500,5,FALSE)</f>
        <v>#N/A</v>
      </c>
      <c r="I320" s="27" t="e">
        <f>VLOOKUP($B320,三大法人買賣超!$A$4:$I$500,7,FALSE)</f>
        <v>#N/A</v>
      </c>
      <c r="J320" s="27" t="e">
        <f>VLOOKUP($B320,三大法人買賣超!$A$4:$I$500,9,FALSE)</f>
        <v>#N/A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 t="e">
        <f>VLOOKUP($B320,期貨未平倉口數!$A$4:$M$499,4,FALSE)</f>
        <v>#N/A</v>
      </c>
      <c r="O320" s="27" t="e">
        <f>VLOOKUP($B320,期貨未平倉口數!$A$4:$M$499,9,FALSE)</f>
        <v>#N/A</v>
      </c>
      <c r="P320" s="27" t="e">
        <f>VLOOKUP($B320,期貨未平倉口數!$A$4:$M$499,10,FALSE)</f>
        <v>#N/A</v>
      </c>
      <c r="Q320" s="27" t="e">
        <f>VLOOKUP($B320,期貨未平倉口數!$A$4:$M$499,11,FALSE)</f>
        <v>#N/A</v>
      </c>
      <c r="R320" s="64" t="e">
        <f>VLOOKUP($B320,選擇權未平倉餘額!$A$4:$I$500,6,FALSE)</f>
        <v>#N/A</v>
      </c>
      <c r="S320" s="64" t="e">
        <f>VLOOKUP($B320,選擇權未平倉餘額!$A$4:$I$500,7,FALSE)</f>
        <v>#N/A</v>
      </c>
      <c r="T320" s="64" t="e">
        <f>VLOOKUP($B320,選擇權未平倉餘額!$A$4:$I$500,8,FALSE)</f>
        <v>#N/A</v>
      </c>
      <c r="U320" s="64" t="e">
        <f>VLOOKUP($B320,選擇權未平倉餘額!$A$4:$I$500,9,FALSE)</f>
        <v>#N/A</v>
      </c>
      <c r="V320" s="39" t="e">
        <f>VLOOKUP($B320,臺指選擇權P_C_Ratios!$A$4:$C$500,3,FALSE)</f>
        <v>#N/A</v>
      </c>
      <c r="W320" s="41" t="e">
        <f>VLOOKUP($B320,散戶多空比!$A$6:$L$500,12,FALSE)</f>
        <v>#N/A</v>
      </c>
      <c r="X320" s="40" t="e">
        <f>VLOOKUP($B320,期貨大額交易人未沖銷部位!$A$4:$O$499,4,FALSE)</f>
        <v>#N/A</v>
      </c>
      <c r="Y320" s="40" t="e">
        <f>VLOOKUP($B320,期貨大額交易人未沖銷部位!$A$4:$O$499,7,FALSE)</f>
        <v>#N/A</v>
      </c>
      <c r="Z320" s="40" t="e">
        <f>VLOOKUP($B320,期貨大額交易人未沖銷部位!$A$4:$O$499,10,FALSE)</f>
        <v>#N/A</v>
      </c>
      <c r="AA320" s="40" t="e">
        <f>VLOOKUP($B320,期貨大額交易人未沖銷部位!$A$4:$O$499,13,FALSE)</f>
        <v>#N/A</v>
      </c>
      <c r="AB320" s="40" t="e">
        <f>VLOOKUP($B320,期貨大額交易人未沖銷部位!$A$4:$O$499,14,FALSE)</f>
        <v>#N/A</v>
      </c>
      <c r="AC320" s="40" t="e">
        <f>VLOOKUP($B320,期貨大額交易人未沖銷部位!$A$4:$O$499,15,FALSE)</f>
        <v>#N/A</v>
      </c>
      <c r="AD320" s="33" t="e">
        <f>VLOOKUP($B320,三大美股走勢!$A$4:$J$495,4,FALSE)</f>
        <v>#N/A</v>
      </c>
      <c r="AE320" s="33" t="e">
        <f>VLOOKUP($B320,三大美股走勢!$A$4:$J$495,7,FALSE)</f>
        <v>#N/A</v>
      </c>
      <c r="AF320" s="33" t="e">
        <f>VLOOKUP($B320,三大美股走勢!$A$4:$J$495,10,FALSE)</f>
        <v>#N/A</v>
      </c>
    </row>
    <row r="321" spans="2:32">
      <c r="B321" s="32">
        <v>43100</v>
      </c>
      <c r="C321" s="33" t="e">
        <f>VLOOKUP($B321,大盤與近月台指!$A$4:$I$499,2,FALSE)</f>
        <v>#N/A</v>
      </c>
      <c r="D321" s="34" t="e">
        <f>VLOOKUP($B321,大盤與近月台指!$A$4:$I$499,3,FALSE)</f>
        <v>#N/A</v>
      </c>
      <c r="E321" s="35" t="e">
        <f>VLOOKUP($B321,大盤與近月台指!$A$4:$I$499,4,FALSE)</f>
        <v>#N/A</v>
      </c>
      <c r="F321" s="33" t="e">
        <f>VLOOKUP($B321,大盤與近月台指!$A$4:$I$499,5,FALSE)</f>
        <v>#N/A</v>
      </c>
      <c r="G321" s="49" t="e">
        <f>VLOOKUP($B321,三大法人買賣超!$A$4:$I$500,3,FALSE)</f>
        <v>#N/A</v>
      </c>
      <c r="H321" s="34" t="e">
        <f>VLOOKUP($B321,三大法人買賣超!$A$4:$I$500,5,FALSE)</f>
        <v>#N/A</v>
      </c>
      <c r="I321" s="27" t="e">
        <f>VLOOKUP($B321,三大法人買賣超!$A$4:$I$500,7,FALSE)</f>
        <v>#N/A</v>
      </c>
      <c r="J321" s="27" t="e">
        <f>VLOOKUP($B321,三大法人買賣超!$A$4:$I$500,9,FALSE)</f>
        <v>#N/A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 t="e">
        <f>VLOOKUP($B321,期貨未平倉口數!$A$4:$M$499,4,FALSE)</f>
        <v>#N/A</v>
      </c>
      <c r="O321" s="27" t="e">
        <f>VLOOKUP($B321,期貨未平倉口數!$A$4:$M$499,9,FALSE)</f>
        <v>#N/A</v>
      </c>
      <c r="P321" s="27" t="e">
        <f>VLOOKUP($B321,期貨未平倉口數!$A$4:$M$499,10,FALSE)</f>
        <v>#N/A</v>
      </c>
      <c r="Q321" s="27" t="e">
        <f>VLOOKUP($B321,期貨未平倉口數!$A$4:$M$499,11,FALSE)</f>
        <v>#N/A</v>
      </c>
      <c r="R321" s="64" t="e">
        <f>VLOOKUP($B321,選擇權未平倉餘額!$A$4:$I$500,6,FALSE)</f>
        <v>#N/A</v>
      </c>
      <c r="S321" s="64" t="e">
        <f>VLOOKUP($B321,選擇權未平倉餘額!$A$4:$I$500,7,FALSE)</f>
        <v>#N/A</v>
      </c>
      <c r="T321" s="64" t="e">
        <f>VLOOKUP($B321,選擇權未平倉餘額!$A$4:$I$500,8,FALSE)</f>
        <v>#N/A</v>
      </c>
      <c r="U321" s="64" t="e">
        <f>VLOOKUP($B321,選擇權未平倉餘額!$A$4:$I$500,9,FALSE)</f>
        <v>#N/A</v>
      </c>
      <c r="V321" s="39" t="e">
        <f>VLOOKUP($B321,臺指選擇權P_C_Ratios!$A$4:$C$500,3,FALSE)</f>
        <v>#N/A</v>
      </c>
      <c r="W321" s="41" t="e">
        <f>VLOOKUP($B321,散戶多空比!$A$6:$L$500,12,FALSE)</f>
        <v>#N/A</v>
      </c>
      <c r="X321" s="40" t="e">
        <f>VLOOKUP($B321,期貨大額交易人未沖銷部位!$A$4:$O$499,4,FALSE)</f>
        <v>#N/A</v>
      </c>
      <c r="Y321" s="40" t="e">
        <f>VLOOKUP($B321,期貨大額交易人未沖銷部位!$A$4:$O$499,7,FALSE)</f>
        <v>#N/A</v>
      </c>
      <c r="Z321" s="40" t="e">
        <f>VLOOKUP($B321,期貨大額交易人未沖銷部位!$A$4:$O$499,10,FALSE)</f>
        <v>#N/A</v>
      </c>
      <c r="AA321" s="40" t="e">
        <f>VLOOKUP($B321,期貨大額交易人未沖銷部位!$A$4:$O$499,13,FALSE)</f>
        <v>#N/A</v>
      </c>
      <c r="AB321" s="40" t="e">
        <f>VLOOKUP($B321,期貨大額交易人未沖銷部位!$A$4:$O$499,14,FALSE)</f>
        <v>#N/A</v>
      </c>
      <c r="AC321" s="40" t="e">
        <f>VLOOKUP($B321,期貨大額交易人未沖銷部位!$A$4:$O$499,15,FALSE)</f>
        <v>#N/A</v>
      </c>
      <c r="AD321" s="33" t="e">
        <f>VLOOKUP($B321,三大美股走勢!$A$4:$J$495,4,FALSE)</f>
        <v>#N/A</v>
      </c>
      <c r="AE321" s="33" t="e">
        <f>VLOOKUP($B321,三大美股走勢!$A$4:$J$495,7,FALSE)</f>
        <v>#N/A</v>
      </c>
      <c r="AF321" s="33" t="e">
        <f>VLOOKUP($B321,三大美股走勢!$A$4:$J$495,10,FALSE)</f>
        <v>#N/A</v>
      </c>
    </row>
    <row r="322" spans="2:32">
      <c r="B322" s="32">
        <v>43101</v>
      </c>
      <c r="C322" s="33" t="e">
        <f>VLOOKUP($B322,大盤與近月台指!$A$4:$I$499,2,FALSE)</f>
        <v>#N/A</v>
      </c>
      <c r="D322" s="34" t="e">
        <f>VLOOKUP($B322,大盤與近月台指!$A$4:$I$499,3,FALSE)</f>
        <v>#N/A</v>
      </c>
      <c r="E322" s="35" t="e">
        <f>VLOOKUP($B322,大盤與近月台指!$A$4:$I$499,4,FALSE)</f>
        <v>#N/A</v>
      </c>
      <c r="F322" s="33" t="e">
        <f>VLOOKUP($B322,大盤與近月台指!$A$4:$I$499,5,FALSE)</f>
        <v>#N/A</v>
      </c>
      <c r="G322" s="49" t="e">
        <f>VLOOKUP($B322,三大法人買賣超!$A$4:$I$500,3,FALSE)</f>
        <v>#N/A</v>
      </c>
      <c r="H322" s="34" t="e">
        <f>VLOOKUP($B322,三大法人買賣超!$A$4:$I$500,5,FALSE)</f>
        <v>#N/A</v>
      </c>
      <c r="I322" s="27" t="e">
        <f>VLOOKUP($B322,三大法人買賣超!$A$4:$I$500,7,FALSE)</f>
        <v>#N/A</v>
      </c>
      <c r="J322" s="27" t="e">
        <f>VLOOKUP($B322,三大法人買賣超!$A$4:$I$500,9,FALSE)</f>
        <v>#N/A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 t="e">
        <f>VLOOKUP($B322,期貨未平倉口數!$A$4:$M$499,4,FALSE)</f>
        <v>#N/A</v>
      </c>
      <c r="O322" s="27" t="e">
        <f>VLOOKUP($B322,期貨未平倉口數!$A$4:$M$499,9,FALSE)</f>
        <v>#N/A</v>
      </c>
      <c r="P322" s="27" t="e">
        <f>VLOOKUP($B322,期貨未平倉口數!$A$4:$M$499,10,FALSE)</f>
        <v>#N/A</v>
      </c>
      <c r="Q322" s="27" t="e">
        <f>VLOOKUP($B322,期貨未平倉口數!$A$4:$M$499,11,FALSE)</f>
        <v>#N/A</v>
      </c>
      <c r="R322" s="64" t="e">
        <f>VLOOKUP($B322,選擇權未平倉餘額!$A$4:$I$500,6,FALSE)</f>
        <v>#N/A</v>
      </c>
      <c r="S322" s="64" t="e">
        <f>VLOOKUP($B322,選擇權未平倉餘額!$A$4:$I$500,7,FALSE)</f>
        <v>#N/A</v>
      </c>
      <c r="T322" s="64" t="e">
        <f>VLOOKUP($B322,選擇權未平倉餘額!$A$4:$I$500,8,FALSE)</f>
        <v>#N/A</v>
      </c>
      <c r="U322" s="64" t="e">
        <f>VLOOKUP($B322,選擇權未平倉餘額!$A$4:$I$500,9,FALSE)</f>
        <v>#N/A</v>
      </c>
      <c r="V322" s="39" t="e">
        <f>VLOOKUP($B322,臺指選擇權P_C_Ratios!$A$4:$C$500,3,FALSE)</f>
        <v>#N/A</v>
      </c>
      <c r="W322" s="41" t="e">
        <f>VLOOKUP($B322,散戶多空比!$A$6:$L$500,12,FALSE)</f>
        <v>#N/A</v>
      </c>
      <c r="X322" s="40" t="e">
        <f>VLOOKUP($B322,期貨大額交易人未沖銷部位!$A$4:$O$499,4,FALSE)</f>
        <v>#N/A</v>
      </c>
      <c r="Y322" s="40" t="e">
        <f>VLOOKUP($B322,期貨大額交易人未沖銷部位!$A$4:$O$499,7,FALSE)</f>
        <v>#N/A</v>
      </c>
      <c r="Z322" s="40" t="e">
        <f>VLOOKUP($B322,期貨大額交易人未沖銷部位!$A$4:$O$499,10,FALSE)</f>
        <v>#N/A</v>
      </c>
      <c r="AA322" s="40" t="e">
        <f>VLOOKUP($B322,期貨大額交易人未沖銷部位!$A$4:$O$499,13,FALSE)</f>
        <v>#N/A</v>
      </c>
      <c r="AB322" s="40" t="e">
        <f>VLOOKUP($B322,期貨大額交易人未沖銷部位!$A$4:$O$499,14,FALSE)</f>
        <v>#N/A</v>
      </c>
      <c r="AC322" s="40" t="e">
        <f>VLOOKUP($B322,期貨大額交易人未沖銷部位!$A$4:$O$499,15,FALSE)</f>
        <v>#N/A</v>
      </c>
      <c r="AD322" s="33" t="e">
        <f>VLOOKUP($B322,三大美股走勢!$A$4:$J$495,4,FALSE)</f>
        <v>#N/A</v>
      </c>
      <c r="AE322" s="33" t="e">
        <f>VLOOKUP($B322,三大美股走勢!$A$4:$J$495,7,FALSE)</f>
        <v>#N/A</v>
      </c>
      <c r="AF322" s="33" t="e">
        <f>VLOOKUP($B322,三大美股走勢!$A$4:$J$495,10,FALSE)</f>
        <v>#N/A</v>
      </c>
    </row>
    <row r="323" spans="2:32">
      <c r="B323" s="32">
        <v>43102</v>
      </c>
      <c r="C323" s="33" t="e">
        <f>VLOOKUP($B323,大盤與近月台指!$A$4:$I$499,2,FALSE)</f>
        <v>#N/A</v>
      </c>
      <c r="D323" s="34" t="e">
        <f>VLOOKUP($B323,大盤與近月台指!$A$4:$I$499,3,FALSE)</f>
        <v>#N/A</v>
      </c>
      <c r="E323" s="35" t="e">
        <f>VLOOKUP($B323,大盤與近月台指!$A$4:$I$499,4,FALSE)</f>
        <v>#N/A</v>
      </c>
      <c r="F323" s="33" t="e">
        <f>VLOOKUP($B323,大盤與近月台指!$A$4:$I$499,5,FALSE)</f>
        <v>#N/A</v>
      </c>
      <c r="G323" s="49" t="e">
        <f>VLOOKUP($B323,三大法人買賣超!$A$4:$I$500,3,FALSE)</f>
        <v>#N/A</v>
      </c>
      <c r="H323" s="34" t="e">
        <f>VLOOKUP($B323,三大法人買賣超!$A$4:$I$500,5,FALSE)</f>
        <v>#N/A</v>
      </c>
      <c r="I323" s="27" t="e">
        <f>VLOOKUP($B323,三大法人買賣超!$A$4:$I$500,7,FALSE)</f>
        <v>#N/A</v>
      </c>
      <c r="J323" s="27" t="e">
        <f>VLOOKUP($B323,三大法人買賣超!$A$4:$I$500,9,FALSE)</f>
        <v>#N/A</v>
      </c>
      <c r="K323" s="37">
        <f>新台幣匯率美元指數!B324</f>
        <v>0</v>
      </c>
      <c r="L323" s="38">
        <f>新台幣匯率美元指數!C324</f>
        <v>0</v>
      </c>
      <c r="M323" s="39">
        <f>新台幣匯率美元指數!D324</f>
        <v>0</v>
      </c>
      <c r="N323" s="27" t="e">
        <f>VLOOKUP($B323,期貨未平倉口數!$A$4:$M$499,4,FALSE)</f>
        <v>#N/A</v>
      </c>
      <c r="O323" s="27" t="e">
        <f>VLOOKUP($B323,期貨未平倉口數!$A$4:$M$499,9,FALSE)</f>
        <v>#N/A</v>
      </c>
      <c r="P323" s="27" t="e">
        <f>VLOOKUP($B323,期貨未平倉口數!$A$4:$M$499,10,FALSE)</f>
        <v>#N/A</v>
      </c>
      <c r="Q323" s="27" t="e">
        <f>VLOOKUP($B323,期貨未平倉口數!$A$4:$M$499,11,FALSE)</f>
        <v>#N/A</v>
      </c>
      <c r="R323" s="64" t="e">
        <f>VLOOKUP($B323,選擇權未平倉餘額!$A$4:$I$500,6,FALSE)</f>
        <v>#N/A</v>
      </c>
      <c r="S323" s="64" t="e">
        <f>VLOOKUP($B323,選擇權未平倉餘額!$A$4:$I$500,7,FALSE)</f>
        <v>#N/A</v>
      </c>
      <c r="T323" s="64" t="e">
        <f>VLOOKUP($B323,選擇權未平倉餘額!$A$4:$I$500,8,FALSE)</f>
        <v>#N/A</v>
      </c>
      <c r="U323" s="64" t="e">
        <f>VLOOKUP($B323,選擇權未平倉餘額!$A$4:$I$500,9,FALSE)</f>
        <v>#N/A</v>
      </c>
      <c r="V323" s="39" t="e">
        <f>VLOOKUP($B323,臺指選擇權P_C_Ratios!$A$4:$C$500,3,FALSE)</f>
        <v>#N/A</v>
      </c>
      <c r="W323" s="41" t="e">
        <f>VLOOKUP($B323,散戶多空比!$A$6:$L$500,12,FALSE)</f>
        <v>#N/A</v>
      </c>
      <c r="X323" s="40" t="e">
        <f>VLOOKUP($B323,期貨大額交易人未沖銷部位!$A$4:$O$499,4,FALSE)</f>
        <v>#N/A</v>
      </c>
      <c r="Y323" s="40" t="e">
        <f>VLOOKUP($B323,期貨大額交易人未沖銷部位!$A$4:$O$499,7,FALSE)</f>
        <v>#N/A</v>
      </c>
      <c r="Z323" s="40" t="e">
        <f>VLOOKUP($B323,期貨大額交易人未沖銷部位!$A$4:$O$499,10,FALSE)</f>
        <v>#N/A</v>
      </c>
      <c r="AA323" s="40" t="e">
        <f>VLOOKUP($B323,期貨大額交易人未沖銷部位!$A$4:$O$499,13,FALSE)</f>
        <v>#N/A</v>
      </c>
      <c r="AB323" s="40" t="e">
        <f>VLOOKUP($B323,期貨大額交易人未沖銷部位!$A$4:$O$499,14,FALSE)</f>
        <v>#N/A</v>
      </c>
      <c r="AC323" s="40" t="e">
        <f>VLOOKUP($B323,期貨大額交易人未沖銷部位!$A$4:$O$499,15,FALSE)</f>
        <v>#N/A</v>
      </c>
      <c r="AD323" s="33" t="e">
        <f>VLOOKUP($B323,三大美股走勢!$A$4:$J$495,4,FALSE)</f>
        <v>#N/A</v>
      </c>
      <c r="AE323" s="33" t="e">
        <f>VLOOKUP($B323,三大美股走勢!$A$4:$J$495,7,FALSE)</f>
        <v>#N/A</v>
      </c>
      <c r="AF323" s="33" t="e">
        <f>VLOOKUP($B323,三大美股走勢!$A$4:$J$495,10,FALSE)</f>
        <v>#N/A</v>
      </c>
    </row>
    <row r="324" spans="2:32">
      <c r="B324" s="32">
        <v>43103</v>
      </c>
      <c r="C324" s="33" t="e">
        <f>VLOOKUP($B324,大盤與近月台指!$A$4:$I$499,2,FALSE)</f>
        <v>#N/A</v>
      </c>
      <c r="D324" s="34" t="e">
        <f>VLOOKUP($B324,大盤與近月台指!$A$4:$I$499,3,FALSE)</f>
        <v>#N/A</v>
      </c>
      <c r="E324" s="35" t="e">
        <f>VLOOKUP($B324,大盤與近月台指!$A$4:$I$499,4,FALSE)</f>
        <v>#N/A</v>
      </c>
      <c r="F324" s="33" t="e">
        <f>VLOOKUP($B324,大盤與近月台指!$A$4:$I$499,5,FALSE)</f>
        <v>#N/A</v>
      </c>
      <c r="G324" s="49" t="e">
        <f>VLOOKUP($B324,三大法人買賣超!$A$4:$I$500,3,FALSE)</f>
        <v>#N/A</v>
      </c>
      <c r="H324" s="34" t="e">
        <f>VLOOKUP($B324,三大法人買賣超!$A$4:$I$500,5,FALSE)</f>
        <v>#N/A</v>
      </c>
      <c r="I324" s="27" t="e">
        <f>VLOOKUP($B324,三大法人買賣超!$A$4:$I$500,7,FALSE)</f>
        <v>#N/A</v>
      </c>
      <c r="J324" s="27" t="e">
        <f>VLOOKUP($B324,三大法人買賣超!$A$4:$I$500,9,FALSE)</f>
        <v>#N/A</v>
      </c>
      <c r="K324" s="37">
        <f>新台幣匯率美元指數!B325</f>
        <v>0</v>
      </c>
      <c r="L324" s="38">
        <f>新台幣匯率美元指數!C325</f>
        <v>0</v>
      </c>
      <c r="M324" s="39">
        <f>新台幣匯率美元指數!D325</f>
        <v>0</v>
      </c>
      <c r="N324" s="27" t="e">
        <f>VLOOKUP($B324,期貨未平倉口數!$A$4:$M$499,4,FALSE)</f>
        <v>#N/A</v>
      </c>
      <c r="O324" s="27" t="e">
        <f>VLOOKUP($B324,期貨未平倉口數!$A$4:$M$499,9,FALSE)</f>
        <v>#N/A</v>
      </c>
      <c r="P324" s="27" t="e">
        <f>VLOOKUP($B324,期貨未平倉口數!$A$4:$M$499,10,FALSE)</f>
        <v>#N/A</v>
      </c>
      <c r="Q324" s="27" t="e">
        <f>VLOOKUP($B324,期貨未平倉口數!$A$4:$M$499,11,FALSE)</f>
        <v>#N/A</v>
      </c>
      <c r="R324" s="64" t="e">
        <f>VLOOKUP($B324,選擇權未平倉餘額!$A$4:$I$500,6,FALSE)</f>
        <v>#N/A</v>
      </c>
      <c r="S324" s="64" t="e">
        <f>VLOOKUP($B324,選擇權未平倉餘額!$A$4:$I$500,7,FALSE)</f>
        <v>#N/A</v>
      </c>
      <c r="T324" s="64" t="e">
        <f>VLOOKUP($B324,選擇權未平倉餘額!$A$4:$I$500,8,FALSE)</f>
        <v>#N/A</v>
      </c>
      <c r="U324" s="64" t="e">
        <f>VLOOKUP($B324,選擇權未平倉餘額!$A$4:$I$500,9,FALSE)</f>
        <v>#N/A</v>
      </c>
      <c r="V324" s="39" t="e">
        <f>VLOOKUP($B324,臺指選擇權P_C_Ratios!$A$4:$C$500,3,FALSE)</f>
        <v>#N/A</v>
      </c>
      <c r="W324" s="41" t="e">
        <f>VLOOKUP($B324,散戶多空比!$A$6:$L$500,12,FALSE)</f>
        <v>#N/A</v>
      </c>
      <c r="X324" s="40" t="e">
        <f>VLOOKUP($B324,期貨大額交易人未沖銷部位!$A$4:$O$499,4,FALSE)</f>
        <v>#N/A</v>
      </c>
      <c r="Y324" s="40" t="e">
        <f>VLOOKUP($B324,期貨大額交易人未沖銷部位!$A$4:$O$499,7,FALSE)</f>
        <v>#N/A</v>
      </c>
      <c r="Z324" s="40" t="e">
        <f>VLOOKUP($B324,期貨大額交易人未沖銷部位!$A$4:$O$499,10,FALSE)</f>
        <v>#N/A</v>
      </c>
      <c r="AA324" s="40" t="e">
        <f>VLOOKUP($B324,期貨大額交易人未沖銷部位!$A$4:$O$499,13,FALSE)</f>
        <v>#N/A</v>
      </c>
      <c r="AB324" s="40" t="e">
        <f>VLOOKUP($B324,期貨大額交易人未沖銷部位!$A$4:$O$499,14,FALSE)</f>
        <v>#N/A</v>
      </c>
      <c r="AC324" s="40" t="e">
        <f>VLOOKUP($B324,期貨大額交易人未沖銷部位!$A$4:$O$499,15,FALSE)</f>
        <v>#N/A</v>
      </c>
      <c r="AD324" s="33" t="e">
        <f>VLOOKUP($B324,三大美股走勢!$A$4:$J$495,4,FALSE)</f>
        <v>#N/A</v>
      </c>
      <c r="AE324" s="33" t="e">
        <f>VLOOKUP($B324,三大美股走勢!$A$4:$J$495,7,FALSE)</f>
        <v>#N/A</v>
      </c>
      <c r="AF324" s="33" t="e">
        <f>VLOOKUP($B324,三大美股走勢!$A$4:$J$495,10,FALSE)</f>
        <v>#N/A</v>
      </c>
    </row>
    <row r="325" spans="2:32">
      <c r="B325" s="32">
        <v>43104</v>
      </c>
      <c r="C325" s="33" t="e">
        <f>VLOOKUP($B325,大盤與近月台指!$A$4:$I$499,2,FALSE)</f>
        <v>#N/A</v>
      </c>
      <c r="D325" s="34" t="e">
        <f>VLOOKUP($B325,大盤與近月台指!$A$4:$I$499,3,FALSE)</f>
        <v>#N/A</v>
      </c>
      <c r="E325" s="35" t="e">
        <f>VLOOKUP($B325,大盤與近月台指!$A$4:$I$499,4,FALSE)</f>
        <v>#N/A</v>
      </c>
      <c r="F325" s="33" t="e">
        <f>VLOOKUP($B325,大盤與近月台指!$A$4:$I$499,5,FALSE)</f>
        <v>#N/A</v>
      </c>
      <c r="G325" s="49" t="e">
        <f>VLOOKUP($B325,三大法人買賣超!$A$4:$I$500,3,FALSE)</f>
        <v>#N/A</v>
      </c>
      <c r="H325" s="34" t="e">
        <f>VLOOKUP($B325,三大法人買賣超!$A$4:$I$500,5,FALSE)</f>
        <v>#N/A</v>
      </c>
      <c r="I325" s="27" t="e">
        <f>VLOOKUP($B325,三大法人買賣超!$A$4:$I$500,7,FALSE)</f>
        <v>#N/A</v>
      </c>
      <c r="J325" s="27" t="e">
        <f>VLOOKUP($B325,三大法人買賣超!$A$4:$I$500,9,FALSE)</f>
        <v>#N/A</v>
      </c>
      <c r="K325" s="37">
        <f>新台幣匯率美元指數!B326</f>
        <v>0</v>
      </c>
      <c r="L325" s="38">
        <f>新台幣匯率美元指數!C326</f>
        <v>0</v>
      </c>
      <c r="M325" s="39">
        <f>新台幣匯率美元指數!D326</f>
        <v>0</v>
      </c>
      <c r="N325" s="27" t="e">
        <f>VLOOKUP($B325,期貨未平倉口數!$A$4:$M$499,4,FALSE)</f>
        <v>#N/A</v>
      </c>
      <c r="O325" s="27" t="e">
        <f>VLOOKUP($B325,期貨未平倉口數!$A$4:$M$499,9,FALSE)</f>
        <v>#N/A</v>
      </c>
      <c r="P325" s="27" t="e">
        <f>VLOOKUP($B325,期貨未平倉口數!$A$4:$M$499,10,FALSE)</f>
        <v>#N/A</v>
      </c>
      <c r="Q325" s="27" t="e">
        <f>VLOOKUP($B325,期貨未平倉口數!$A$4:$M$499,11,FALSE)</f>
        <v>#N/A</v>
      </c>
      <c r="R325" s="64" t="e">
        <f>VLOOKUP($B325,選擇權未平倉餘額!$A$4:$I$500,6,FALSE)</f>
        <v>#N/A</v>
      </c>
      <c r="S325" s="64" t="e">
        <f>VLOOKUP($B325,選擇權未平倉餘額!$A$4:$I$500,7,FALSE)</f>
        <v>#N/A</v>
      </c>
      <c r="T325" s="64" t="e">
        <f>VLOOKUP($B325,選擇權未平倉餘額!$A$4:$I$500,8,FALSE)</f>
        <v>#N/A</v>
      </c>
      <c r="U325" s="64" t="e">
        <f>VLOOKUP($B325,選擇權未平倉餘額!$A$4:$I$500,9,FALSE)</f>
        <v>#N/A</v>
      </c>
      <c r="V325" s="39" t="e">
        <f>VLOOKUP($B325,臺指選擇權P_C_Ratios!$A$4:$C$500,3,FALSE)</f>
        <v>#N/A</v>
      </c>
      <c r="W325" s="41" t="e">
        <f>VLOOKUP($B325,散戶多空比!$A$6:$L$500,12,FALSE)</f>
        <v>#N/A</v>
      </c>
      <c r="X325" s="40" t="e">
        <f>VLOOKUP($B325,期貨大額交易人未沖銷部位!$A$4:$O$499,4,FALSE)</f>
        <v>#N/A</v>
      </c>
      <c r="Y325" s="40" t="e">
        <f>VLOOKUP($B325,期貨大額交易人未沖銷部位!$A$4:$O$499,7,FALSE)</f>
        <v>#N/A</v>
      </c>
      <c r="Z325" s="40" t="e">
        <f>VLOOKUP($B325,期貨大額交易人未沖銷部位!$A$4:$O$499,10,FALSE)</f>
        <v>#N/A</v>
      </c>
      <c r="AA325" s="40" t="e">
        <f>VLOOKUP($B325,期貨大額交易人未沖銷部位!$A$4:$O$499,13,FALSE)</f>
        <v>#N/A</v>
      </c>
      <c r="AB325" s="40" t="e">
        <f>VLOOKUP($B325,期貨大額交易人未沖銷部位!$A$4:$O$499,14,FALSE)</f>
        <v>#N/A</v>
      </c>
      <c r="AC325" s="40" t="e">
        <f>VLOOKUP($B325,期貨大額交易人未沖銷部位!$A$4:$O$499,15,FALSE)</f>
        <v>#N/A</v>
      </c>
      <c r="AD325" s="33" t="e">
        <f>VLOOKUP($B325,三大美股走勢!$A$4:$J$495,4,FALSE)</f>
        <v>#N/A</v>
      </c>
      <c r="AE325" s="33" t="e">
        <f>VLOOKUP($B325,三大美股走勢!$A$4:$J$495,7,FALSE)</f>
        <v>#N/A</v>
      </c>
      <c r="AF325" s="33" t="e">
        <f>VLOOKUP($B325,三大美股走勢!$A$4:$J$495,10,FALSE)</f>
        <v>#N/A</v>
      </c>
    </row>
    <row r="326" spans="2:32">
      <c r="B326" s="32">
        <v>43105</v>
      </c>
      <c r="C326" s="33" t="e">
        <f>VLOOKUP($B326,大盤與近月台指!$A$4:$I$499,2,FALSE)</f>
        <v>#N/A</v>
      </c>
      <c r="D326" s="34" t="e">
        <f>VLOOKUP($B326,大盤與近月台指!$A$4:$I$499,3,FALSE)</f>
        <v>#N/A</v>
      </c>
      <c r="E326" s="35" t="e">
        <f>VLOOKUP($B326,大盤與近月台指!$A$4:$I$499,4,FALSE)</f>
        <v>#N/A</v>
      </c>
      <c r="F326" s="33" t="e">
        <f>VLOOKUP($B326,大盤與近月台指!$A$4:$I$499,5,FALSE)</f>
        <v>#N/A</v>
      </c>
      <c r="G326" s="49" t="e">
        <f>VLOOKUP($B326,三大法人買賣超!$A$4:$I$500,3,FALSE)</f>
        <v>#N/A</v>
      </c>
      <c r="H326" s="34" t="e">
        <f>VLOOKUP($B326,三大法人買賣超!$A$4:$I$500,5,FALSE)</f>
        <v>#N/A</v>
      </c>
      <c r="I326" s="27" t="e">
        <f>VLOOKUP($B326,三大法人買賣超!$A$4:$I$500,7,FALSE)</f>
        <v>#N/A</v>
      </c>
      <c r="J326" s="27" t="e">
        <f>VLOOKUP($B326,三大法人買賣超!$A$4:$I$500,9,FALSE)</f>
        <v>#N/A</v>
      </c>
      <c r="K326" s="37">
        <f>新台幣匯率美元指數!B327</f>
        <v>0</v>
      </c>
      <c r="L326" s="38">
        <f>新台幣匯率美元指數!C327</f>
        <v>0</v>
      </c>
      <c r="M326" s="39">
        <f>新台幣匯率美元指數!D327</f>
        <v>0</v>
      </c>
      <c r="N326" s="27" t="e">
        <f>VLOOKUP($B326,期貨未平倉口數!$A$4:$M$499,4,FALSE)</f>
        <v>#N/A</v>
      </c>
      <c r="O326" s="27" t="e">
        <f>VLOOKUP($B326,期貨未平倉口數!$A$4:$M$499,9,FALSE)</f>
        <v>#N/A</v>
      </c>
      <c r="P326" s="27" t="e">
        <f>VLOOKUP($B326,期貨未平倉口數!$A$4:$M$499,10,FALSE)</f>
        <v>#N/A</v>
      </c>
      <c r="Q326" s="27" t="e">
        <f>VLOOKUP($B326,期貨未平倉口數!$A$4:$M$499,11,FALSE)</f>
        <v>#N/A</v>
      </c>
      <c r="R326" s="64" t="e">
        <f>VLOOKUP($B326,選擇權未平倉餘額!$A$4:$I$500,6,FALSE)</f>
        <v>#N/A</v>
      </c>
      <c r="S326" s="64" t="e">
        <f>VLOOKUP($B326,選擇權未平倉餘額!$A$4:$I$500,7,FALSE)</f>
        <v>#N/A</v>
      </c>
      <c r="T326" s="64" t="e">
        <f>VLOOKUP($B326,選擇權未平倉餘額!$A$4:$I$500,8,FALSE)</f>
        <v>#N/A</v>
      </c>
      <c r="U326" s="64" t="e">
        <f>VLOOKUP($B326,選擇權未平倉餘額!$A$4:$I$500,9,FALSE)</f>
        <v>#N/A</v>
      </c>
      <c r="V326" s="39" t="e">
        <f>VLOOKUP($B326,臺指選擇權P_C_Ratios!$A$4:$C$500,3,FALSE)</f>
        <v>#N/A</v>
      </c>
      <c r="W326" s="41" t="e">
        <f>VLOOKUP($B326,散戶多空比!$A$6:$L$500,12,FALSE)</f>
        <v>#N/A</v>
      </c>
      <c r="X326" s="40" t="e">
        <f>VLOOKUP($B326,期貨大額交易人未沖銷部位!$A$4:$O$499,4,FALSE)</f>
        <v>#N/A</v>
      </c>
      <c r="Y326" s="40" t="e">
        <f>VLOOKUP($B326,期貨大額交易人未沖銷部位!$A$4:$O$499,7,FALSE)</f>
        <v>#N/A</v>
      </c>
      <c r="Z326" s="40" t="e">
        <f>VLOOKUP($B326,期貨大額交易人未沖銷部位!$A$4:$O$499,10,FALSE)</f>
        <v>#N/A</v>
      </c>
      <c r="AA326" s="40" t="e">
        <f>VLOOKUP($B326,期貨大額交易人未沖銷部位!$A$4:$O$499,13,FALSE)</f>
        <v>#N/A</v>
      </c>
      <c r="AB326" s="40" t="e">
        <f>VLOOKUP($B326,期貨大額交易人未沖銷部位!$A$4:$O$499,14,FALSE)</f>
        <v>#N/A</v>
      </c>
      <c r="AC326" s="40" t="e">
        <f>VLOOKUP($B326,期貨大額交易人未沖銷部位!$A$4:$O$499,15,FALSE)</f>
        <v>#N/A</v>
      </c>
      <c r="AD326" s="33" t="e">
        <f>VLOOKUP($B326,三大美股走勢!$A$4:$J$495,4,FALSE)</f>
        <v>#N/A</v>
      </c>
      <c r="AE326" s="33" t="e">
        <f>VLOOKUP($B326,三大美股走勢!$A$4:$J$495,7,FALSE)</f>
        <v>#N/A</v>
      </c>
      <c r="AF326" s="33" t="e">
        <f>VLOOKUP($B326,三大美股走勢!$A$4:$J$495,10,FALSE)</f>
        <v>#N/A</v>
      </c>
    </row>
    <row r="327" spans="2:32">
      <c r="B327" s="32">
        <v>43106</v>
      </c>
      <c r="C327" s="33" t="e">
        <f>VLOOKUP($B327,大盤與近月台指!$A$4:$I$499,2,FALSE)</f>
        <v>#N/A</v>
      </c>
      <c r="D327" s="34" t="e">
        <f>VLOOKUP($B327,大盤與近月台指!$A$4:$I$499,3,FALSE)</f>
        <v>#N/A</v>
      </c>
      <c r="E327" s="35" t="e">
        <f>VLOOKUP($B327,大盤與近月台指!$A$4:$I$499,4,FALSE)</f>
        <v>#N/A</v>
      </c>
      <c r="F327" s="33" t="e">
        <f>VLOOKUP($B327,大盤與近月台指!$A$4:$I$499,5,FALSE)</f>
        <v>#N/A</v>
      </c>
      <c r="G327" s="49" t="e">
        <f>VLOOKUP($B327,三大法人買賣超!$A$4:$I$500,3,FALSE)</f>
        <v>#N/A</v>
      </c>
      <c r="H327" s="34" t="e">
        <f>VLOOKUP($B327,三大法人買賣超!$A$4:$I$500,5,FALSE)</f>
        <v>#N/A</v>
      </c>
      <c r="I327" s="27" t="e">
        <f>VLOOKUP($B327,三大法人買賣超!$A$4:$I$500,7,FALSE)</f>
        <v>#N/A</v>
      </c>
      <c r="J327" s="27" t="e">
        <f>VLOOKUP($B327,三大法人買賣超!$A$4:$I$500,9,FALSE)</f>
        <v>#N/A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 t="e">
        <f>VLOOKUP($B327,期貨未平倉口數!$A$4:$M$499,4,FALSE)</f>
        <v>#N/A</v>
      </c>
      <c r="O327" s="27" t="e">
        <f>VLOOKUP($B327,期貨未平倉口數!$A$4:$M$499,9,FALSE)</f>
        <v>#N/A</v>
      </c>
      <c r="P327" s="27" t="e">
        <f>VLOOKUP($B327,期貨未平倉口數!$A$4:$M$499,10,FALSE)</f>
        <v>#N/A</v>
      </c>
      <c r="Q327" s="27" t="e">
        <f>VLOOKUP($B327,期貨未平倉口數!$A$4:$M$499,11,FALSE)</f>
        <v>#N/A</v>
      </c>
      <c r="R327" s="64" t="e">
        <f>VLOOKUP($B327,選擇權未平倉餘額!$A$4:$I$500,6,FALSE)</f>
        <v>#N/A</v>
      </c>
      <c r="S327" s="64" t="e">
        <f>VLOOKUP($B327,選擇權未平倉餘額!$A$4:$I$500,7,FALSE)</f>
        <v>#N/A</v>
      </c>
      <c r="T327" s="64" t="e">
        <f>VLOOKUP($B327,選擇權未平倉餘額!$A$4:$I$500,8,FALSE)</f>
        <v>#N/A</v>
      </c>
      <c r="U327" s="64" t="e">
        <f>VLOOKUP($B327,選擇權未平倉餘額!$A$4:$I$500,9,FALSE)</f>
        <v>#N/A</v>
      </c>
      <c r="V327" s="39" t="e">
        <f>VLOOKUP($B327,臺指選擇權P_C_Ratios!$A$4:$C$500,3,FALSE)</f>
        <v>#N/A</v>
      </c>
      <c r="W327" s="41" t="e">
        <f>VLOOKUP($B327,散戶多空比!$A$6:$L$500,12,FALSE)</f>
        <v>#N/A</v>
      </c>
      <c r="X327" s="40" t="e">
        <f>VLOOKUP($B327,期貨大額交易人未沖銷部位!$A$4:$O$499,4,FALSE)</f>
        <v>#N/A</v>
      </c>
      <c r="Y327" s="40" t="e">
        <f>VLOOKUP($B327,期貨大額交易人未沖銷部位!$A$4:$O$499,7,FALSE)</f>
        <v>#N/A</v>
      </c>
      <c r="Z327" s="40" t="e">
        <f>VLOOKUP($B327,期貨大額交易人未沖銷部位!$A$4:$O$499,10,FALSE)</f>
        <v>#N/A</v>
      </c>
      <c r="AA327" s="40" t="e">
        <f>VLOOKUP($B327,期貨大額交易人未沖銷部位!$A$4:$O$499,13,FALSE)</f>
        <v>#N/A</v>
      </c>
      <c r="AB327" s="40" t="e">
        <f>VLOOKUP($B327,期貨大額交易人未沖銷部位!$A$4:$O$499,14,FALSE)</f>
        <v>#N/A</v>
      </c>
      <c r="AC327" s="40" t="e">
        <f>VLOOKUP($B327,期貨大額交易人未沖銷部位!$A$4:$O$499,15,FALSE)</f>
        <v>#N/A</v>
      </c>
      <c r="AD327" s="33" t="e">
        <f>VLOOKUP($B327,三大美股走勢!$A$4:$J$495,4,FALSE)</f>
        <v>#N/A</v>
      </c>
      <c r="AE327" s="33" t="e">
        <f>VLOOKUP($B327,三大美股走勢!$A$4:$J$495,7,FALSE)</f>
        <v>#N/A</v>
      </c>
      <c r="AF327" s="33" t="e">
        <f>VLOOKUP($B327,三大美股走勢!$A$4:$J$495,10,FALSE)</f>
        <v>#N/A</v>
      </c>
    </row>
    <row r="328" spans="2:32">
      <c r="B328" s="32">
        <v>43107</v>
      </c>
      <c r="C328" s="33" t="e">
        <f>VLOOKUP($B328,大盤與近月台指!$A$4:$I$499,2,FALSE)</f>
        <v>#N/A</v>
      </c>
      <c r="D328" s="34" t="e">
        <f>VLOOKUP($B328,大盤與近月台指!$A$4:$I$499,3,FALSE)</f>
        <v>#N/A</v>
      </c>
      <c r="E328" s="35" t="e">
        <f>VLOOKUP($B328,大盤與近月台指!$A$4:$I$499,4,FALSE)</f>
        <v>#N/A</v>
      </c>
      <c r="F328" s="33" t="e">
        <f>VLOOKUP($B328,大盤與近月台指!$A$4:$I$499,5,FALSE)</f>
        <v>#N/A</v>
      </c>
      <c r="G328" s="49" t="e">
        <f>VLOOKUP($B328,三大法人買賣超!$A$4:$I$500,3,FALSE)</f>
        <v>#N/A</v>
      </c>
      <c r="H328" s="34" t="e">
        <f>VLOOKUP($B328,三大法人買賣超!$A$4:$I$500,5,FALSE)</f>
        <v>#N/A</v>
      </c>
      <c r="I328" s="27" t="e">
        <f>VLOOKUP($B328,三大法人買賣超!$A$4:$I$500,7,FALSE)</f>
        <v>#N/A</v>
      </c>
      <c r="J328" s="27" t="e">
        <f>VLOOKUP($B328,三大法人買賣超!$A$4:$I$500,9,FALSE)</f>
        <v>#N/A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 t="e">
        <f>VLOOKUP($B328,期貨未平倉口數!$A$4:$M$499,4,FALSE)</f>
        <v>#N/A</v>
      </c>
      <c r="O328" s="27" t="e">
        <f>VLOOKUP($B328,期貨未平倉口數!$A$4:$M$499,9,FALSE)</f>
        <v>#N/A</v>
      </c>
      <c r="P328" s="27" t="e">
        <f>VLOOKUP($B328,期貨未平倉口數!$A$4:$M$499,10,FALSE)</f>
        <v>#N/A</v>
      </c>
      <c r="Q328" s="27" t="e">
        <f>VLOOKUP($B328,期貨未平倉口數!$A$4:$M$499,11,FALSE)</f>
        <v>#N/A</v>
      </c>
      <c r="R328" s="64" t="e">
        <f>VLOOKUP($B328,選擇權未平倉餘額!$A$4:$I$500,6,FALSE)</f>
        <v>#N/A</v>
      </c>
      <c r="S328" s="64" t="e">
        <f>VLOOKUP($B328,選擇權未平倉餘額!$A$4:$I$500,7,FALSE)</f>
        <v>#N/A</v>
      </c>
      <c r="T328" s="64" t="e">
        <f>VLOOKUP($B328,選擇權未平倉餘額!$A$4:$I$500,8,FALSE)</f>
        <v>#N/A</v>
      </c>
      <c r="U328" s="64" t="e">
        <f>VLOOKUP($B328,選擇權未平倉餘額!$A$4:$I$500,9,FALSE)</f>
        <v>#N/A</v>
      </c>
      <c r="V328" s="39" t="e">
        <f>VLOOKUP($B328,臺指選擇權P_C_Ratios!$A$4:$C$500,3,FALSE)</f>
        <v>#N/A</v>
      </c>
      <c r="W328" s="41" t="e">
        <f>VLOOKUP($B328,散戶多空比!$A$6:$L$500,12,FALSE)</f>
        <v>#N/A</v>
      </c>
      <c r="X328" s="40" t="e">
        <f>VLOOKUP($B328,期貨大額交易人未沖銷部位!$A$4:$O$499,4,FALSE)</f>
        <v>#N/A</v>
      </c>
      <c r="Y328" s="40" t="e">
        <f>VLOOKUP($B328,期貨大額交易人未沖銷部位!$A$4:$O$499,7,FALSE)</f>
        <v>#N/A</v>
      </c>
      <c r="Z328" s="40" t="e">
        <f>VLOOKUP($B328,期貨大額交易人未沖銷部位!$A$4:$O$499,10,FALSE)</f>
        <v>#N/A</v>
      </c>
      <c r="AA328" s="40" t="e">
        <f>VLOOKUP($B328,期貨大額交易人未沖銷部位!$A$4:$O$499,13,FALSE)</f>
        <v>#N/A</v>
      </c>
      <c r="AB328" s="40" t="e">
        <f>VLOOKUP($B328,期貨大額交易人未沖銷部位!$A$4:$O$499,14,FALSE)</f>
        <v>#N/A</v>
      </c>
      <c r="AC328" s="40" t="e">
        <f>VLOOKUP($B328,期貨大額交易人未沖銷部位!$A$4:$O$499,15,FALSE)</f>
        <v>#N/A</v>
      </c>
      <c r="AD328" s="33" t="e">
        <f>VLOOKUP($B328,三大美股走勢!$A$4:$J$495,4,FALSE)</f>
        <v>#N/A</v>
      </c>
      <c r="AE328" s="33" t="e">
        <f>VLOOKUP($B328,三大美股走勢!$A$4:$J$495,7,FALSE)</f>
        <v>#N/A</v>
      </c>
      <c r="AF328" s="33" t="e">
        <f>VLOOKUP($B328,三大美股走勢!$A$4:$J$495,10,FALSE)</f>
        <v>#N/A</v>
      </c>
    </row>
    <row r="329" spans="2:32">
      <c r="B329" s="32">
        <v>43108</v>
      </c>
      <c r="C329" s="33" t="e">
        <f>VLOOKUP($B329,大盤與近月台指!$A$4:$I$499,2,FALSE)</f>
        <v>#N/A</v>
      </c>
      <c r="D329" s="34" t="e">
        <f>VLOOKUP($B329,大盤與近月台指!$A$4:$I$499,3,FALSE)</f>
        <v>#N/A</v>
      </c>
      <c r="E329" s="35" t="e">
        <f>VLOOKUP($B329,大盤與近月台指!$A$4:$I$499,4,FALSE)</f>
        <v>#N/A</v>
      </c>
      <c r="F329" s="33" t="e">
        <f>VLOOKUP($B329,大盤與近月台指!$A$4:$I$499,5,FALSE)</f>
        <v>#N/A</v>
      </c>
      <c r="G329" s="49" t="e">
        <f>VLOOKUP($B329,三大法人買賣超!$A$4:$I$500,3,FALSE)</f>
        <v>#N/A</v>
      </c>
      <c r="H329" s="34" t="e">
        <f>VLOOKUP($B329,三大法人買賣超!$A$4:$I$500,5,FALSE)</f>
        <v>#N/A</v>
      </c>
      <c r="I329" s="27" t="e">
        <f>VLOOKUP($B329,三大法人買賣超!$A$4:$I$500,7,FALSE)</f>
        <v>#N/A</v>
      </c>
      <c r="J329" s="27" t="e">
        <f>VLOOKUP($B329,三大法人買賣超!$A$4:$I$500,9,FALSE)</f>
        <v>#N/A</v>
      </c>
      <c r="K329" s="37">
        <f>新台幣匯率美元指數!B330</f>
        <v>0</v>
      </c>
      <c r="L329" s="38">
        <f>新台幣匯率美元指數!C330</f>
        <v>0</v>
      </c>
      <c r="M329" s="39">
        <f>新台幣匯率美元指數!D330</f>
        <v>0</v>
      </c>
      <c r="N329" s="27" t="e">
        <f>VLOOKUP($B329,期貨未平倉口數!$A$4:$M$499,4,FALSE)</f>
        <v>#N/A</v>
      </c>
      <c r="O329" s="27" t="e">
        <f>VLOOKUP($B329,期貨未平倉口數!$A$4:$M$499,9,FALSE)</f>
        <v>#N/A</v>
      </c>
      <c r="P329" s="27" t="e">
        <f>VLOOKUP($B329,期貨未平倉口數!$A$4:$M$499,10,FALSE)</f>
        <v>#N/A</v>
      </c>
      <c r="Q329" s="27" t="e">
        <f>VLOOKUP($B329,期貨未平倉口數!$A$4:$M$499,11,FALSE)</f>
        <v>#N/A</v>
      </c>
      <c r="R329" s="64" t="e">
        <f>VLOOKUP($B329,選擇權未平倉餘額!$A$4:$I$500,6,FALSE)</f>
        <v>#N/A</v>
      </c>
      <c r="S329" s="64" t="e">
        <f>VLOOKUP($B329,選擇權未平倉餘額!$A$4:$I$500,7,FALSE)</f>
        <v>#N/A</v>
      </c>
      <c r="T329" s="64" t="e">
        <f>VLOOKUP($B329,選擇權未平倉餘額!$A$4:$I$500,8,FALSE)</f>
        <v>#N/A</v>
      </c>
      <c r="U329" s="64" t="e">
        <f>VLOOKUP($B329,選擇權未平倉餘額!$A$4:$I$500,9,FALSE)</f>
        <v>#N/A</v>
      </c>
      <c r="V329" s="39" t="e">
        <f>VLOOKUP($B329,臺指選擇權P_C_Ratios!$A$4:$C$500,3,FALSE)</f>
        <v>#N/A</v>
      </c>
      <c r="W329" s="41" t="e">
        <f>VLOOKUP($B329,散戶多空比!$A$6:$L$500,12,FALSE)</f>
        <v>#N/A</v>
      </c>
      <c r="X329" s="40" t="e">
        <f>VLOOKUP($B329,期貨大額交易人未沖銷部位!$A$4:$O$499,4,FALSE)</f>
        <v>#N/A</v>
      </c>
      <c r="Y329" s="40" t="e">
        <f>VLOOKUP($B329,期貨大額交易人未沖銷部位!$A$4:$O$499,7,FALSE)</f>
        <v>#N/A</v>
      </c>
      <c r="Z329" s="40" t="e">
        <f>VLOOKUP($B329,期貨大額交易人未沖銷部位!$A$4:$O$499,10,FALSE)</f>
        <v>#N/A</v>
      </c>
      <c r="AA329" s="40" t="e">
        <f>VLOOKUP($B329,期貨大額交易人未沖銷部位!$A$4:$O$499,13,FALSE)</f>
        <v>#N/A</v>
      </c>
      <c r="AB329" s="40" t="e">
        <f>VLOOKUP($B329,期貨大額交易人未沖銷部位!$A$4:$O$499,14,FALSE)</f>
        <v>#N/A</v>
      </c>
      <c r="AC329" s="40" t="e">
        <f>VLOOKUP($B329,期貨大額交易人未沖銷部位!$A$4:$O$499,15,FALSE)</f>
        <v>#N/A</v>
      </c>
      <c r="AD329" s="33" t="e">
        <f>VLOOKUP($B329,三大美股走勢!$A$4:$J$495,4,FALSE)</f>
        <v>#N/A</v>
      </c>
      <c r="AE329" s="33" t="e">
        <f>VLOOKUP($B329,三大美股走勢!$A$4:$J$495,7,FALSE)</f>
        <v>#N/A</v>
      </c>
      <c r="AF329" s="33" t="e">
        <f>VLOOKUP($B329,三大美股走勢!$A$4:$J$495,10,FALSE)</f>
        <v>#N/A</v>
      </c>
    </row>
    <row r="330" spans="2:32">
      <c r="B330" s="32">
        <v>43109</v>
      </c>
      <c r="C330" s="33" t="e">
        <f>VLOOKUP($B330,大盤與近月台指!$A$4:$I$499,2,FALSE)</f>
        <v>#N/A</v>
      </c>
      <c r="D330" s="34" t="e">
        <f>VLOOKUP($B330,大盤與近月台指!$A$4:$I$499,3,FALSE)</f>
        <v>#N/A</v>
      </c>
      <c r="E330" s="35" t="e">
        <f>VLOOKUP($B330,大盤與近月台指!$A$4:$I$499,4,FALSE)</f>
        <v>#N/A</v>
      </c>
      <c r="F330" s="33" t="e">
        <f>VLOOKUP($B330,大盤與近月台指!$A$4:$I$499,5,FALSE)</f>
        <v>#N/A</v>
      </c>
      <c r="G330" s="49" t="e">
        <f>VLOOKUP($B330,三大法人買賣超!$A$4:$I$500,3,FALSE)</f>
        <v>#N/A</v>
      </c>
      <c r="H330" s="34" t="e">
        <f>VLOOKUP($B330,三大法人買賣超!$A$4:$I$500,5,FALSE)</f>
        <v>#N/A</v>
      </c>
      <c r="I330" s="27" t="e">
        <f>VLOOKUP($B330,三大法人買賣超!$A$4:$I$500,7,FALSE)</f>
        <v>#N/A</v>
      </c>
      <c r="J330" s="27" t="e">
        <f>VLOOKUP($B330,三大法人買賣超!$A$4:$I$500,9,FALSE)</f>
        <v>#N/A</v>
      </c>
      <c r="K330" s="37">
        <f>新台幣匯率美元指數!B331</f>
        <v>0</v>
      </c>
      <c r="L330" s="38">
        <f>新台幣匯率美元指數!C331</f>
        <v>0</v>
      </c>
      <c r="M330" s="39">
        <f>新台幣匯率美元指數!D331</f>
        <v>0</v>
      </c>
      <c r="N330" s="27" t="e">
        <f>VLOOKUP($B330,期貨未平倉口數!$A$4:$M$499,4,FALSE)</f>
        <v>#N/A</v>
      </c>
      <c r="O330" s="27" t="e">
        <f>VLOOKUP($B330,期貨未平倉口數!$A$4:$M$499,9,FALSE)</f>
        <v>#N/A</v>
      </c>
      <c r="P330" s="27" t="e">
        <f>VLOOKUP($B330,期貨未平倉口數!$A$4:$M$499,10,FALSE)</f>
        <v>#N/A</v>
      </c>
      <c r="Q330" s="27" t="e">
        <f>VLOOKUP($B330,期貨未平倉口數!$A$4:$M$499,11,FALSE)</f>
        <v>#N/A</v>
      </c>
      <c r="R330" s="64" t="e">
        <f>VLOOKUP($B330,選擇權未平倉餘額!$A$4:$I$500,6,FALSE)</f>
        <v>#N/A</v>
      </c>
      <c r="S330" s="64" t="e">
        <f>VLOOKUP($B330,選擇權未平倉餘額!$A$4:$I$500,7,FALSE)</f>
        <v>#N/A</v>
      </c>
      <c r="T330" s="64" t="e">
        <f>VLOOKUP($B330,選擇權未平倉餘額!$A$4:$I$500,8,FALSE)</f>
        <v>#N/A</v>
      </c>
      <c r="U330" s="64" t="e">
        <f>VLOOKUP($B330,選擇權未平倉餘額!$A$4:$I$500,9,FALSE)</f>
        <v>#N/A</v>
      </c>
      <c r="V330" s="39" t="e">
        <f>VLOOKUP($B330,臺指選擇權P_C_Ratios!$A$4:$C$500,3,FALSE)</f>
        <v>#N/A</v>
      </c>
      <c r="W330" s="41" t="e">
        <f>VLOOKUP($B330,散戶多空比!$A$6:$L$500,12,FALSE)</f>
        <v>#N/A</v>
      </c>
      <c r="X330" s="40" t="e">
        <f>VLOOKUP($B330,期貨大額交易人未沖銷部位!$A$4:$O$499,4,FALSE)</f>
        <v>#N/A</v>
      </c>
      <c r="Y330" s="40" t="e">
        <f>VLOOKUP($B330,期貨大額交易人未沖銷部位!$A$4:$O$499,7,FALSE)</f>
        <v>#N/A</v>
      </c>
      <c r="Z330" s="40" t="e">
        <f>VLOOKUP($B330,期貨大額交易人未沖銷部位!$A$4:$O$499,10,FALSE)</f>
        <v>#N/A</v>
      </c>
      <c r="AA330" s="40" t="e">
        <f>VLOOKUP($B330,期貨大額交易人未沖銷部位!$A$4:$O$499,13,FALSE)</f>
        <v>#N/A</v>
      </c>
      <c r="AB330" s="40" t="e">
        <f>VLOOKUP($B330,期貨大額交易人未沖銷部位!$A$4:$O$499,14,FALSE)</f>
        <v>#N/A</v>
      </c>
      <c r="AC330" s="40" t="e">
        <f>VLOOKUP($B330,期貨大額交易人未沖銷部位!$A$4:$O$499,15,FALSE)</f>
        <v>#N/A</v>
      </c>
      <c r="AD330" s="33" t="e">
        <f>VLOOKUP($B330,三大美股走勢!$A$4:$J$495,4,FALSE)</f>
        <v>#N/A</v>
      </c>
      <c r="AE330" s="33" t="e">
        <f>VLOOKUP($B330,三大美股走勢!$A$4:$J$495,7,FALSE)</f>
        <v>#N/A</v>
      </c>
      <c r="AF330" s="33" t="e">
        <f>VLOOKUP($B330,三大美股走勢!$A$4:$J$495,10,FALSE)</f>
        <v>#N/A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13"/>
  <sheetViews>
    <sheetView workbookViewId="0">
      <pane ySplit="3" topLeftCell="A308" activePane="bottomLeft" state="frozen"/>
      <selection pane="bottomLeft" activeCell="H313" sqref="H313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194</v>
      </c>
      <c r="K1" s="1" t="s">
        <v>195</v>
      </c>
      <c r="L1" s="1" t="s">
        <v>193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197</v>
      </c>
      <c r="L2" s="94" t="s">
        <v>196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14"/>
  <sheetViews>
    <sheetView zoomScale="85" zoomScaleNormal="85" workbookViewId="0">
      <pane ySplit="3" topLeftCell="A308" activePane="bottomLeft" state="frozen"/>
      <selection pane="bottomLeft" activeCell="J319" sqref="J319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194</v>
      </c>
      <c r="P1" s="1" t="s">
        <v>195</v>
      </c>
      <c r="Q1" s="1" t="s">
        <v>193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198</v>
      </c>
      <c r="Q2" s="95" t="s">
        <v>199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13"/>
  <sheetViews>
    <sheetView workbookViewId="0">
      <pane ySplit="3" topLeftCell="A307" activePane="bottomLeft" state="frozen"/>
      <selection pane="bottomLeft" activeCell="H320" sqref="H320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175</v>
      </c>
      <c r="F291" s="72">
        <v>10576</v>
      </c>
      <c r="G291" s="21">
        <v>0</v>
      </c>
      <c r="H291" s="44">
        <v>0</v>
      </c>
      <c r="I291" s="42" t="s">
        <v>176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177</v>
      </c>
      <c r="F292" s="72">
        <v>10564</v>
      </c>
      <c r="G292" s="21">
        <v>-39</v>
      </c>
      <c r="H292" s="44">
        <v>-3.7000000000000002E-3</v>
      </c>
      <c r="I292" s="42" t="s">
        <v>178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179</v>
      </c>
      <c r="F296" s="72">
        <v>10563</v>
      </c>
      <c r="G296" s="21">
        <v>-8</v>
      </c>
      <c r="H296" s="44">
        <v>-8.0000000000000004E-4</v>
      </c>
      <c r="I296" s="42" t="s">
        <v>180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181</v>
      </c>
      <c r="F297" s="72">
        <v>10346</v>
      </c>
      <c r="G297" s="21">
        <v>-38</v>
      </c>
      <c r="H297" s="44">
        <v>-3.7000000000000002E-3</v>
      </c>
      <c r="I297" s="42" t="s">
        <v>182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183</v>
      </c>
      <c r="F298" s="72">
        <v>10348</v>
      </c>
      <c r="G298" s="21">
        <v>-17</v>
      </c>
      <c r="H298" s="44">
        <v>-1.6000000000000001E-3</v>
      </c>
      <c r="I298" s="42" t="s">
        <v>184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185</v>
      </c>
      <c r="F299" s="72">
        <v>10394</v>
      </c>
      <c r="G299" s="21">
        <v>-2</v>
      </c>
      <c r="H299" s="44">
        <v>-2.0000000000000001E-4</v>
      </c>
      <c r="I299" s="42" t="s">
        <v>186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187</v>
      </c>
      <c r="F302" s="72">
        <v>10482</v>
      </c>
      <c r="G302" s="21">
        <v>4</v>
      </c>
      <c r="H302" s="44">
        <v>4.0000000000000002E-4</v>
      </c>
      <c r="I302" s="42" t="s">
        <v>188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189</v>
      </c>
      <c r="F303" s="72">
        <v>10420</v>
      </c>
      <c r="G303" s="21">
        <v>-11</v>
      </c>
      <c r="H303" s="44">
        <v>-1.1000000000000001E-3</v>
      </c>
      <c r="I303" s="42" t="s">
        <v>190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191</v>
      </c>
      <c r="F304" s="72">
        <v>10465</v>
      </c>
      <c r="G304" s="21">
        <v>15</v>
      </c>
      <c r="H304" s="44">
        <v>1.4E-3</v>
      </c>
      <c r="I304" s="42" t="s">
        <v>192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200</v>
      </c>
      <c r="F305" s="72">
        <v>10530</v>
      </c>
      <c r="G305" s="21">
        <v>3</v>
      </c>
      <c r="H305" s="44">
        <v>2.9999999999999997E-4</v>
      </c>
      <c r="I305" s="42" t="s">
        <v>201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202</v>
      </c>
      <c r="F306" s="72">
        <v>10476</v>
      </c>
      <c r="G306" s="21">
        <v>-9</v>
      </c>
      <c r="H306" s="44">
        <v>-8.9999999999999998E-4</v>
      </c>
      <c r="I306" s="42" t="s">
        <v>203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204</v>
      </c>
      <c r="F309" s="72">
        <v>10507</v>
      </c>
      <c r="G309" s="21">
        <v>6</v>
      </c>
      <c r="H309" s="44">
        <v>5.9999999999999995E-4</v>
      </c>
      <c r="I309" s="42" t="s">
        <v>205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206</v>
      </c>
      <c r="F310" s="72">
        <v>10455</v>
      </c>
      <c r="G310" s="21">
        <v>-2</v>
      </c>
      <c r="H310" s="44">
        <v>-2.0000000000000001E-4</v>
      </c>
      <c r="I310" s="42" t="s">
        <v>207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208</v>
      </c>
      <c r="F311" s="72">
        <v>10521</v>
      </c>
      <c r="G311" s="21">
        <v>13</v>
      </c>
      <c r="H311" s="44">
        <v>1.1999999999999999E-3</v>
      </c>
      <c r="I311" s="42" t="s">
        <v>209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210</v>
      </c>
      <c r="F312" s="72">
        <v>10497</v>
      </c>
      <c r="G312" s="21">
        <v>2</v>
      </c>
      <c r="H312" s="44">
        <v>2.0000000000000001E-4</v>
      </c>
      <c r="I312" s="42" t="s">
        <v>211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212</v>
      </c>
      <c r="F313" s="72">
        <v>10528</v>
      </c>
      <c r="G313" s="21">
        <v>-5</v>
      </c>
      <c r="H313" s="44">
        <v>-5.0000000000000001E-4</v>
      </c>
      <c r="I313" s="42" t="s">
        <v>213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13"/>
  <sheetViews>
    <sheetView workbookViewId="0">
      <pane ySplit="3" topLeftCell="A307" activePane="bottomLeft" state="frozen"/>
      <selection pane="bottomLeft" activeCell="C318" sqref="C318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13"/>
  <sheetViews>
    <sheetView zoomScale="85" zoomScaleNormal="85" workbookViewId="0">
      <pane ySplit="3" topLeftCell="A308" activePane="bottomLeft" state="frozen"/>
      <selection pane="bottomLeft" activeCell="E313" sqref="E313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15"/>
  <sheetViews>
    <sheetView zoomScale="85" zoomScaleNormal="85" workbookViewId="0">
      <pane xSplit="1" ySplit="4" topLeftCell="B306" activePane="bottomRight" state="frozen"/>
      <selection pane="topRight" activeCell="B1" sqref="B1"/>
      <selection pane="bottomLeft" activeCell="A5" sqref="A5"/>
      <selection pane="bottomRight" activeCell="L323" sqref="L323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13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I314" sqref="I314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2017-12-22T12:42:44Z</dcterms:modified>
</cp:coreProperties>
</file>