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7" i="15" l="1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<sst xmlns="http://schemas.openxmlformats.org/spreadsheetml/2006/main" count="437" uniqueCount="346">
  <si>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</si>
  <si>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</si>
  <si>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</si>
  <si>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</si>
  <si>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</si>
  <si>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</si>
  <si>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</si>
  <si>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</si>
  <si>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</si>
  <si>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</si>
  <si>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</si>
  <si>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</si>
  <si>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</si>
  <si>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</si>
  <si>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</si>
  <si>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</si>
  <si>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</si>
  <si>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</si>
  <si>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</si>
  <si>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</si>
  <si>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</si>
  <si>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</si>
  <si>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</si>
  <si>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</si>
  <si>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</si>
  <si>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</si>
  <si>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</si>
  <si>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</si>
  <si>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</si>
  <si>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</si>
  <si>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</si>
  <si>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</si>
  <si>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</si>
  <si>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</si>
  <si>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</si>
  <si>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</si>
  <si>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</si>
  <si>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</si>
  <si>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</si>
  <si>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</si>
  <si>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</si>
  <si>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</si>
  <si>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</si>
  <si>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</si>
  <si>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</si>
  <si>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</si>
  <si>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</si>
  <si>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</si>
  <si>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</si>
  <si>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</si>
  <si>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</si>
  <si>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</si>
  <si>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</si>
  <si>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</si>
  <si>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</si>
  <si>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</si>
  <si>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</si>
  <si>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</si>
  <si>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</si>
  <si>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</si>
  <si>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</si>
  <si>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</si>
  <si>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</si>
  <si>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</si>
  <si>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</si>
  <si>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</si>
  <si>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</si>
  <si>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</si>
  <si>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</si>
  <si>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</si>
  <si>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</si>
  <si>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</si>
  <si>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</si>
  <si>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</si>
  <si>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</si>
  <si>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</si>
  <si>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</si>
  <si>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</si>
  <si>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</si>
  <si>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</si>
  <si>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</si>
  <si>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</si>
  <si>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</si>
  <si>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</si>
  <si>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</si>
  <si>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</si>
  <si>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</si>
  <si>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</si>
  <si>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</si>
  <si>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</si>
  <si>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</si>
  <si>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</si>
  <si>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</si>
  <si>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</si>
  <si>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</si>
  <si>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</si>
  <si>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</si>
  <si>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</si>
  <si>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</si>
  <si>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</si>
  <si>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</si>
  <si>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</si>
  <si>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</si>
  <si>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</si>
  <si>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</si>
  <si>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</si>
  <si>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</si>
  <si>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</si>
  <si>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</si>
  <si>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</si>
  <si>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</si>
  <si>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</si>
  <si>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</si>
  <si>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</si>
  <si>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</si>
  <si>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</si>
  <si>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</si>
  <si>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</si>
  <si>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</si>
  <si>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</si>
  <si>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</si>
  <si>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</si>
  <si>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</si>
  <si>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</si>
  <si>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</si>
  <si>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</si>
  <si>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</si>
  <si>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</si>
  <si>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</si>
  <si>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</si>
  <si>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</si>
  <si>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</si>
  <si>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</si>
  <si>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</si>
  <si>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</si>
  <si>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</si>
  <si>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</si>
  <si>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</si>
  <si>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</si>
  <si>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</si>
  <si>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</si>
  <si>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</si>
  <si>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</si>
  <si>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</si>
  <si>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</si>
  <si>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</si>
  <si>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</si>
  <si>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</si>
  <si>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</si>
  <si>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</si>
  <si>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</si>
  <si>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</si>
  <si>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</si>
  <si>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</si>
  <si>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</si>
  <si>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</si>
  <si>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</si>
  <si>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</si>
  <si>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</si>
  <si>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</si>
  <si>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</si>
  <si>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</si>
  <si>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</si>
  <si>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</si>
  <si>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</si>
  <si>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</si>
  <si>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</si>
  <si>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</si>
  <si>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</si>
  <si>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</si>
  <si>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</si>
  <si>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</si>
  <si>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</si>
  <si>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</si>
  <si>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</si>
  <si>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</si>
  <si>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</si>
  <si>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</si>
  <si>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</si>
  <si>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</si>
  <si>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</si>
  <si>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</si>
  <si>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</si>
  <si>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</si>
  <si>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</si>
  <si>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</si>
  <si>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</si>
  <si>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</si>
  <si>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</si>
  <si>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</si>
  <si>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</si>
  <si>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</si>
  <si>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</si>
  <si>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</si>
  <si>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</si>
  <si>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</si>
  <si>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</si>
  <si>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</si>
  <si>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</si>
  <si>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</si>
  <si>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</si>
  <si>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</si>
  <si>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</si>
  <si>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</si>
  <si>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</si>
  <si>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</si>
  <si>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</si>
  <si>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</si>
  <si>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</si>
  <si>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</si>
  <si>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</si>
  <si>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</si>
  <si>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</si>
  <si>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</si>
  <si>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</si>
  <si>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</si>
  <si>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</si>
  <si>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</si>
  <si>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</si>
  <si>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</si>
  <si>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</si>
  <si>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</si>
  <si>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</si>
  <si>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</si>
  <si>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</si>
  <si>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</si>
  <si>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</si>
  <si>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</si>
  <si>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</si>
  <si>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http://www.taifex.com.tw/chinese/3/7_8.asp</t>
    <phoneticPr fontId="3" type="noConversion"/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</si>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</sst>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38" fontId="6" fillId="0" borderId="25" xfId="0" applyNumberFormat="1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84900865"/>
  <ax:ocxPr ax:name="CurrentDate" ax:value="4313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272</v>
      </c>
    </row>
    <row r="4" spans="2:2">
      <c r="B4" t="s">
        <v>273</v>
      </c>
    </row>
    <row r="5" spans="2:2">
      <c r="B5" t="s">
        <v>274</v>
      </c>
    </row>
    <row r="6" spans="2:2">
      <c r="B6" t="s">
        <v>275</v>
      </c>
    </row>
    <row r="7" spans="2:2">
      <c r="B7" t="s">
        <v>276</v>
      </c>
    </row>
    <row r="8" spans="2:2">
      <c r="B8" t="s">
        <v>277</v>
      </c>
    </row>
    <row r="9" spans="2:2">
      <c r="B9" t="s">
        <v>278</v>
      </c>
    </row>
    <row r="10" spans="2:2">
      <c r="B10" t="s">
        <v>279</v>
      </c>
    </row>
    <row r="11" spans="2:2">
      <c r="B11" t="s">
        <v>280</v>
      </c>
    </row>
    <row r="12" spans="2:2">
      <c r="B12" t="s">
        <v>281</v>
      </c>
    </row>
    <row r="13" spans="2:2">
      <c r="B13" t="s">
        <v>282</v>
      </c>
    </row>
    <row r="14" spans="2:2">
      <c r="B14" t="s">
        <v>283</v>
      </c>
    </row>
    <row r="15" spans="2:2">
      <c r="B15" t="s">
        <v>284</v>
      </c>
    </row>
    <row r="17" spans="2:2">
      <c r="B17" t="s">
        <v>285</v>
      </c>
    </row>
    <row r="18" spans="2:2">
      <c r="B18" t="s">
        <v>286</v>
      </c>
    </row>
    <row r="19" spans="2:2">
      <c r="B19" t="s">
        <v>287</v>
      </c>
    </row>
    <row r="20" spans="2:2">
      <c r="B20" t="s">
        <v>288</v>
      </c>
    </row>
    <row r="22" spans="2:2">
      <c r="B22" t="s">
        <v>289</v>
      </c>
    </row>
    <row r="23" spans="2:2">
      <c r="B23" t="s">
        <v>290</v>
      </c>
    </row>
    <row r="24" spans="2:2">
      <c r="B24" t="s">
        <v>291</v>
      </c>
    </row>
    <row r="25" spans="2:2">
      <c r="B25" t="s">
        <v>292</v>
      </c>
    </row>
    <row r="26" spans="2:2">
      <c r="B26" t="s">
        <v>293</v>
      </c>
    </row>
    <row r="27" spans="2:2">
      <c r="B27" t="s">
        <v>294</v>
      </c>
    </row>
    <row r="28" spans="2:2">
      <c r="B28" t="s">
        <v>295</v>
      </c>
    </row>
    <row r="29" spans="2:2">
      <c r="B29" t="s">
        <v>296</v>
      </c>
    </row>
    <row r="30" spans="2:2">
      <c r="B30" t="s">
        <v>297</v>
      </c>
    </row>
    <row r="31" spans="2:2">
      <c r="B31" t="s">
        <v>298</v>
      </c>
    </row>
    <row r="32" spans="2:2">
      <c r="B32" t="s">
        <v>299</v>
      </c>
    </row>
    <row r="33" spans="2:2">
      <c r="B33" t="s">
        <v>300</v>
      </c>
    </row>
    <row r="34" spans="2:2">
      <c r="B34" t="s">
        <v>301</v>
      </c>
    </row>
    <row r="35" spans="2:2">
      <c r="B35" t="s">
        <v>302</v>
      </c>
    </row>
    <row r="36" spans="2:2">
      <c r="B36" t="s">
        <v>303</v>
      </c>
    </row>
    <row r="37" spans="2:2">
      <c r="B37" t="s">
        <v>304</v>
      </c>
    </row>
    <row r="38" spans="2:2">
      <c r="B38" t="s">
        <v>305</v>
      </c>
    </row>
    <row r="39" spans="2:2">
      <c r="B39" t="s">
        <v>306</v>
      </c>
    </row>
    <row r="40" spans="2:2">
      <c r="B40" t="s">
        <v>307</v>
      </c>
    </row>
    <row r="41" spans="2:2">
      <c r="B41" t="s">
        <v>308</v>
      </c>
    </row>
    <row r="42" spans="2:2">
      <c r="B42" t="s">
        <v>309</v>
      </c>
    </row>
    <row r="43" spans="2:2">
      <c r="B43" t="s">
        <v>310</v>
      </c>
    </row>
    <row r="44" spans="2:2">
      <c r="B44" t="s">
        <v>311</v>
      </c>
    </row>
    <row r="45" spans="2:2">
      <c r="B45" t="s">
        <v>312</v>
      </c>
    </row>
    <row r="46" spans="2:2">
      <c r="B46" t="s">
        <v>313</v>
      </c>
    </row>
    <row r="47" spans="2:2">
      <c r="B47" t="s">
        <v>314</v>
      </c>
    </row>
    <row r="49" spans="2:2">
      <c r="B49" t="s">
        <v>315</v>
      </c>
    </row>
    <row r="50" spans="2:2">
      <c r="B50" t="s">
        <v>316</v>
      </c>
    </row>
    <row r="51" spans="2:2">
      <c r="B51" t="s">
        <v>317</v>
      </c>
    </row>
    <row r="52" spans="2:2">
      <c r="B52" t="s">
        <v>318</v>
      </c>
    </row>
    <row r="53" spans="2:2">
      <c r="B53" t="s">
        <v>319</v>
      </c>
    </row>
    <row r="54" spans="2:2">
      <c r="B54" t="s">
        <v>320</v>
      </c>
    </row>
    <row r="55" spans="2:2">
      <c r="B55" t="s">
        <v>321</v>
      </c>
    </row>
    <row r="56" spans="2:2">
      <c r="B56" t="s">
        <v>322</v>
      </c>
    </row>
    <row r="57" spans="2:2">
      <c r="B57" t="s">
        <v>323</v>
      </c>
    </row>
    <row r="58" spans="2:2">
      <c r="B58" t="s">
        <v>324</v>
      </c>
    </row>
    <row r="59" spans="2:2">
      <c r="B59" t="s">
        <v>325</v>
      </c>
    </row>
    <row r="60" spans="2:2">
      <c r="B60" t="s">
        <v>326</v>
      </c>
    </row>
    <row r="62" spans="2:2">
      <c r="B62" t="s">
        <v>327</v>
      </c>
    </row>
    <row r="63" spans="2:2">
      <c r="B63" t="s">
        <v>328</v>
      </c>
    </row>
    <row r="64" spans="2:2">
      <c r="B64" t="s">
        <v>329</v>
      </c>
    </row>
    <row r="65" spans="2:2">
      <c r="B65" t="s">
        <v>330</v>
      </c>
    </row>
    <row r="67" spans="2:2">
      <c r="B67" t="s">
        <v>331</v>
      </c>
    </row>
    <row r="68" spans="2:2">
      <c r="B68" t="s">
        <v>332</v>
      </c>
    </row>
    <row r="69" spans="2:2">
      <c r="B69" t="s">
        <v>333</v>
      </c>
    </row>
    <row r="70" spans="2:2">
      <c r="B70" t="s">
        <v>334</v>
      </c>
    </row>
    <row r="71" spans="2:2">
      <c r="B71" t="s">
        <v>335</v>
      </c>
    </row>
    <row r="72" spans="2:2">
      <c r="B72" t="s">
        <v>336</v>
      </c>
    </row>
    <row r="73" spans="2:2">
      <c r="B73" t="s">
        <v>337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topLeftCell="A2" zoomScale="105" zoomScaleNormal="105" workbookViewId="0">
      <selection activeCell="E15" sqref="E15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09" t="s">
        <v>2</v>
      </c>
      <c r="D5" s="109"/>
      <c r="E5" s="109"/>
      <c r="F5" s="109"/>
      <c r="G5" s="110" t="s">
        <v>34</v>
      </c>
      <c r="H5" s="111"/>
      <c r="I5" s="111"/>
      <c r="J5" s="111"/>
      <c r="K5" s="112" t="s">
        <v>9</v>
      </c>
      <c r="L5" s="113"/>
      <c r="M5" s="113"/>
    </row>
    <row r="6" spans="2:13" ht="31.2">
      <c r="B6" s="108">
        <v>43133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5"/>
      <c r="C7" s="33">
        <f>VLOOKUP($B$6,資料整合一覽!$B$3:$AF$500,2,FALSE)</f>
        <v>11126.23</v>
      </c>
      <c r="D7" s="34">
        <f>VLOOKUP($B$6,資料整合一覽!$B$3:$AF$500,3,FALSE)</f>
        <v>-34.020000000000003</v>
      </c>
      <c r="E7" s="35">
        <f>VLOOKUP($B$6,資料整合一覽!$B$3:$AF$500,4,FALSE)</f>
        <v>-3.0000000000000001E-3</v>
      </c>
      <c r="F7" s="33" t="str">
        <f>VLOOKUP($B$6,資料整合一覽!$B$3:$AF$500,5,FALSE)</f>
        <v>1199.64億</v>
      </c>
      <c r="G7" s="36">
        <f>VLOOKUP($B$6,資料整合一覽!$B$3:$AF$500,6,FALSE)</f>
        <v>-2.1358009600000001</v>
      </c>
      <c r="H7" s="34">
        <f>VLOOKUP($B$6,資料整合一覽!$B$3:$AF$500,7,FALSE)</f>
        <v>-2.3059275499999998</v>
      </c>
      <c r="I7" s="34">
        <f>VLOOKUP($B$6,資料整合一覽!$B$3:$AF$500,8,FALSE)</f>
        <v>-3.1131466200000002</v>
      </c>
      <c r="J7" s="34">
        <f>VLOOKUP($B$6,資料整合一覽!$B$3:$AF$500,9,FALSE)</f>
        <v>-4.4037896999999999</v>
      </c>
      <c r="K7" s="37">
        <f>VLOOKUP($B$6,資料整合一覽!$B$3:$AF$500,10,FALSE)</f>
        <v>29.234999999999999</v>
      </c>
      <c r="L7" s="38">
        <f>VLOOKUP($B$6,資料整合一覽!$B$3:$AF$500,11,FALSE)</f>
        <v>2.8000000000000001E-2</v>
      </c>
      <c r="M7" s="39">
        <f>VLOOKUP($B$6,資料整合一覽!$B$3:$AF$500,12,FALSE)</f>
        <v>0</v>
      </c>
    </row>
    <row r="8" spans="2:13" ht="3" customHeight="1">
      <c r="B8" s="105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5"/>
      <c r="C9" s="106" t="s">
        <v>35</v>
      </c>
      <c r="D9" s="107"/>
      <c r="E9" s="114" t="s">
        <v>42</v>
      </c>
      <c r="F9" s="115"/>
      <c r="G9" s="115"/>
      <c r="H9" s="115"/>
      <c r="I9" s="5" t="s">
        <v>20</v>
      </c>
      <c r="J9" s="104" t="s">
        <v>22</v>
      </c>
      <c r="K9" s="102" t="s">
        <v>33</v>
      </c>
      <c r="L9" s="103"/>
      <c r="M9" s="103"/>
    </row>
    <row r="10" spans="2:13" ht="31.2">
      <c r="B10" s="105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5"/>
      <c r="K10" s="7" t="s">
        <v>102</v>
      </c>
      <c r="L10" s="7" t="s">
        <v>31</v>
      </c>
      <c r="M10" s="7" t="s">
        <v>32</v>
      </c>
    </row>
    <row r="11" spans="2:13" ht="32.4" customHeight="1">
      <c r="B11" s="105"/>
      <c r="C11" s="27">
        <f>VLOOKUP($B$6,資料整合一覽!$B$3:$AF$500,13,FALSE)</f>
        <v>-838.5</v>
      </c>
      <c r="D11" s="27">
        <f>VLOOKUP($B$6,資料整合一覽!$B$3:$AF$500,14,FALSE)</f>
        <v>44685</v>
      </c>
      <c r="E11" s="64">
        <f>VLOOKUP($B$6,資料整合一覽!$B$3:$AF$500,17,FALSE)</f>
        <v>-7.4013999999999998</v>
      </c>
      <c r="F11" s="64">
        <f>VLOOKUP($B$6,資料整合一覽!$B$3:$AF$500,18,FALSE)</f>
        <v>-10.602399999999999</v>
      </c>
      <c r="G11" s="64">
        <f>VLOOKUP($B$6,資料整合一覽!$B$3:$AF$500,19,FALSE)</f>
        <v>60.3628</v>
      </c>
      <c r="H11" s="64">
        <f>VLOOKUP($B$6,資料整合一覽!$B$3:$AF$500,20,FALSE)</f>
        <v>38.931600000000003</v>
      </c>
      <c r="I11" s="39">
        <f>VLOOKUP($B$6,資料整合一覽!$B$3:$AF$500,21,FALSE)</f>
        <v>1.6800999999999999</v>
      </c>
      <c r="J11" s="41">
        <f>VLOOKUP($B$6,資料整合一覽!$B$3:$AF$500,22,FALSE)</f>
        <v>-6.0310067490350817E-2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-8663.5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39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6" t="s">
        <v>0</v>
      </c>
      <c r="B1" s="15"/>
      <c r="C1" s="109" t="s">
        <v>2</v>
      </c>
      <c r="D1" s="109"/>
      <c r="E1" s="109"/>
      <c r="F1" s="109"/>
      <c r="G1" s="110" t="s">
        <v>34</v>
      </c>
      <c r="H1" s="111"/>
      <c r="I1" s="111"/>
      <c r="J1" s="111"/>
      <c r="K1" s="112" t="s">
        <v>9</v>
      </c>
      <c r="L1" s="113"/>
      <c r="M1" s="113"/>
      <c r="N1" s="106" t="s">
        <v>35</v>
      </c>
      <c r="O1" s="117"/>
      <c r="P1" s="117"/>
      <c r="Q1" s="117"/>
      <c r="R1" s="114" t="s">
        <v>42</v>
      </c>
      <c r="S1" s="115"/>
      <c r="T1" s="115"/>
      <c r="U1" s="115"/>
      <c r="V1" s="5" t="s">
        <v>20</v>
      </c>
      <c r="W1" s="104" t="s">
        <v>22</v>
      </c>
      <c r="X1" s="119" t="s">
        <v>29</v>
      </c>
      <c r="Y1" s="120"/>
      <c r="Z1" s="120"/>
      <c r="AA1" s="120"/>
      <c r="AB1" s="120"/>
      <c r="AC1" s="120"/>
      <c r="AD1" s="102" t="s">
        <v>33</v>
      </c>
      <c r="AE1" s="103"/>
      <c r="AF1" s="103"/>
    </row>
    <row r="2" spans="1:32" ht="31.2">
      <c r="A2" s="116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8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0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0</v>
      </c>
      <c r="AE354" s="33">
        <f>VLOOKUP($B354,三大美股走勢!$A$4:$J$495,7,FALSE)</f>
        <v>0</v>
      </c>
      <c r="AF354" s="33">
        <f>VLOOKUP($B354,三大美股走勢!$A$4:$J$495,10,FALSE)</f>
        <v>0</v>
      </c>
    </row>
    <row r="355" spans="2:32">
      <c r="B355" s="32">
        <v>43134</v>
      </c>
      <c r="C355" s="33" t="e">
        <f>VLOOKUP($B355,大盤與近月台指!$A$4:$I$499,2,FALSE)</f>
        <v>#N/A</v>
      </c>
      <c r="D355" s="34" t="e">
        <f>VLOOKUP($B355,大盤與近月台指!$A$4:$I$499,3,FALSE)</f>
        <v>#N/A</v>
      </c>
      <c r="E355" s="35" t="e">
        <f>VLOOKUP($B355,大盤與近月台指!$A$4:$I$499,4,FALSE)</f>
        <v>#N/A</v>
      </c>
      <c r="F355" s="33" t="e">
        <f>VLOOKUP($B355,大盤與近月台指!$A$4:$I$499,5,FALSE)</f>
        <v>#N/A</v>
      </c>
      <c r="G355" s="49" t="e">
        <f>VLOOKUP($B355,三大法人買賣超!$A$4:$I$500,3,FALSE)</f>
        <v>#N/A</v>
      </c>
      <c r="H355" s="34" t="e">
        <f>VLOOKUP($B355,三大法人買賣超!$A$4:$I$500,5,FALSE)</f>
        <v>#N/A</v>
      </c>
      <c r="I355" s="27" t="e">
        <f>VLOOKUP($B355,三大法人買賣超!$A$4:$I$500,7,FALSE)</f>
        <v>#N/A</v>
      </c>
      <c r="J355" s="27" t="e">
        <f>VLOOKUP($B355,三大法人買賣超!$A$4:$I$500,9,FALSE)</f>
        <v>#N/A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 t="e">
        <f>VLOOKUP($B355,外資期貨未平倉口數!$A$4:$M$499,4,FALSE)</f>
        <v>#N/A</v>
      </c>
      <c r="O355" s="27" t="e">
        <f>VLOOKUP($B355,外資期貨未平倉口數!$A$4:$M$499,9,FALSE)</f>
        <v>#N/A</v>
      </c>
      <c r="P355" s="27" t="e">
        <f>VLOOKUP($B355,外資期貨未平倉口數!$A$4:$M$499,10,FALSE)</f>
        <v>#N/A</v>
      </c>
      <c r="Q355" s="27" t="e">
        <f>VLOOKUP($B355,外資期貨未平倉口數!$A$4:$M$499,11,FALSE)</f>
        <v>#N/A</v>
      </c>
      <c r="R355" s="64" t="e">
        <f>VLOOKUP($B355,選擇權未平倉餘額!$A$4:$I$500,6,FALSE)</f>
        <v>#N/A</v>
      </c>
      <c r="S355" s="64" t="e">
        <f>VLOOKUP($B355,選擇權未平倉餘額!$A$4:$I$500,7,FALSE)</f>
        <v>#N/A</v>
      </c>
      <c r="T355" s="64" t="e">
        <f>VLOOKUP($B355,選擇權未平倉餘額!$A$4:$I$500,8,FALSE)</f>
        <v>#N/A</v>
      </c>
      <c r="U355" s="64" t="e">
        <f>VLOOKUP($B355,選擇權未平倉餘額!$A$4:$I$500,9,FALSE)</f>
        <v>#N/A</v>
      </c>
      <c r="V355" s="39" t="e">
        <f>VLOOKUP($B355,臺指選擇權P_C_Ratios!$A$4:$C$500,3,FALSE)</f>
        <v>#N/A</v>
      </c>
      <c r="W355" s="41" t="e">
        <f>VLOOKUP($B355,散戶多空比!$A$6:$L$500,12,FALSE)</f>
        <v>#N/A</v>
      </c>
      <c r="X355" s="40" t="e">
        <f>VLOOKUP($B355,期貨大額交易人未沖銷部位!$A$4:$O$499,4,FALSE)</f>
        <v>#N/A</v>
      </c>
      <c r="Y355" s="40" t="e">
        <f>VLOOKUP($B355,期貨大額交易人未沖銷部位!$A$4:$O$499,7,FALSE)</f>
        <v>#N/A</v>
      </c>
      <c r="Z355" s="40" t="e">
        <f>VLOOKUP($B355,期貨大額交易人未沖銷部位!$A$4:$O$499,10,FALSE)</f>
        <v>#N/A</v>
      </c>
      <c r="AA355" s="40" t="e">
        <f>VLOOKUP($B355,期貨大額交易人未沖銷部位!$A$4:$O$499,13,FALSE)</f>
        <v>#N/A</v>
      </c>
      <c r="AB355" s="40" t="e">
        <f>VLOOKUP($B355,期貨大額交易人未沖銷部位!$A$4:$O$499,14,FALSE)</f>
        <v>#N/A</v>
      </c>
      <c r="AC355" s="40" t="e">
        <f>VLOOKUP($B355,期貨大額交易人未沖銷部位!$A$4:$O$499,15,FALSE)</f>
        <v>#N/A</v>
      </c>
      <c r="AD355" s="33" t="e">
        <f>VLOOKUP($B355,三大美股走勢!$A$4:$J$495,4,FALSE)</f>
        <v>#N/A</v>
      </c>
      <c r="AE355" s="33" t="e">
        <f>VLOOKUP($B355,三大美股走勢!$A$4:$J$495,7,FALSE)</f>
        <v>#N/A</v>
      </c>
      <c r="AF355" s="33" t="e">
        <f>VLOOKUP($B355,三大美股走勢!$A$4:$J$495,10,FALSE)</f>
        <v>#N/A</v>
      </c>
    </row>
    <row r="356" spans="2:32">
      <c r="B356" s="32">
        <v>43135</v>
      </c>
      <c r="C356" s="33" t="e">
        <f>VLOOKUP($B356,大盤與近月台指!$A$4:$I$499,2,FALSE)</f>
        <v>#N/A</v>
      </c>
      <c r="D356" s="34" t="e">
        <f>VLOOKUP($B356,大盤與近月台指!$A$4:$I$499,3,FALSE)</f>
        <v>#N/A</v>
      </c>
      <c r="E356" s="35" t="e">
        <f>VLOOKUP($B356,大盤與近月台指!$A$4:$I$499,4,FALSE)</f>
        <v>#N/A</v>
      </c>
      <c r="F356" s="33" t="e">
        <f>VLOOKUP($B356,大盤與近月台指!$A$4:$I$499,5,FALSE)</f>
        <v>#N/A</v>
      </c>
      <c r="G356" s="49" t="e">
        <f>VLOOKUP($B356,三大法人買賣超!$A$4:$I$500,3,FALSE)</f>
        <v>#N/A</v>
      </c>
      <c r="H356" s="34" t="e">
        <f>VLOOKUP($B356,三大法人買賣超!$A$4:$I$500,5,FALSE)</f>
        <v>#N/A</v>
      </c>
      <c r="I356" s="27" t="e">
        <f>VLOOKUP($B356,三大法人買賣超!$A$4:$I$500,7,FALSE)</f>
        <v>#N/A</v>
      </c>
      <c r="J356" s="27" t="e">
        <f>VLOOKUP($B356,三大法人買賣超!$A$4:$I$500,9,FALSE)</f>
        <v>#N/A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 t="e">
        <f>VLOOKUP($B356,外資期貨未平倉口數!$A$4:$M$499,4,FALSE)</f>
        <v>#N/A</v>
      </c>
      <c r="O356" s="27" t="e">
        <f>VLOOKUP($B356,外資期貨未平倉口數!$A$4:$M$499,9,FALSE)</f>
        <v>#N/A</v>
      </c>
      <c r="P356" s="27" t="e">
        <f>VLOOKUP($B356,外資期貨未平倉口數!$A$4:$M$499,10,FALSE)</f>
        <v>#N/A</v>
      </c>
      <c r="Q356" s="27" t="e">
        <f>VLOOKUP($B356,外資期貨未平倉口數!$A$4:$M$499,11,FALSE)</f>
        <v>#N/A</v>
      </c>
      <c r="R356" s="64" t="e">
        <f>VLOOKUP($B356,選擇權未平倉餘額!$A$4:$I$500,6,FALSE)</f>
        <v>#N/A</v>
      </c>
      <c r="S356" s="64" t="e">
        <f>VLOOKUP($B356,選擇權未平倉餘額!$A$4:$I$500,7,FALSE)</f>
        <v>#N/A</v>
      </c>
      <c r="T356" s="64" t="e">
        <f>VLOOKUP($B356,選擇權未平倉餘額!$A$4:$I$500,8,FALSE)</f>
        <v>#N/A</v>
      </c>
      <c r="U356" s="64" t="e">
        <f>VLOOKUP($B356,選擇權未平倉餘額!$A$4:$I$500,9,FALSE)</f>
        <v>#N/A</v>
      </c>
      <c r="V356" s="39" t="e">
        <f>VLOOKUP($B356,臺指選擇權P_C_Ratios!$A$4:$C$500,3,FALSE)</f>
        <v>#N/A</v>
      </c>
      <c r="W356" s="41" t="e">
        <f>VLOOKUP($B356,散戶多空比!$A$6:$L$500,12,FALSE)</f>
        <v>#N/A</v>
      </c>
      <c r="X356" s="40" t="e">
        <f>VLOOKUP($B356,期貨大額交易人未沖銷部位!$A$4:$O$499,4,FALSE)</f>
        <v>#N/A</v>
      </c>
      <c r="Y356" s="40" t="e">
        <f>VLOOKUP($B356,期貨大額交易人未沖銷部位!$A$4:$O$499,7,FALSE)</f>
        <v>#N/A</v>
      </c>
      <c r="Z356" s="40" t="e">
        <f>VLOOKUP($B356,期貨大額交易人未沖銷部位!$A$4:$O$499,10,FALSE)</f>
        <v>#N/A</v>
      </c>
      <c r="AA356" s="40" t="e">
        <f>VLOOKUP($B356,期貨大額交易人未沖銷部位!$A$4:$O$499,13,FALSE)</f>
        <v>#N/A</v>
      </c>
      <c r="AB356" s="40" t="e">
        <f>VLOOKUP($B356,期貨大額交易人未沖銷部位!$A$4:$O$499,14,FALSE)</f>
        <v>#N/A</v>
      </c>
      <c r="AC356" s="40" t="e">
        <f>VLOOKUP($B356,期貨大額交易人未沖銷部位!$A$4:$O$499,15,FALSE)</f>
        <v>#N/A</v>
      </c>
      <c r="AD356" s="33" t="e">
        <f>VLOOKUP($B356,三大美股走勢!$A$4:$J$495,4,FALSE)</f>
        <v>#N/A</v>
      </c>
      <c r="AE356" s="33" t="e">
        <f>VLOOKUP($B356,三大美股走勢!$A$4:$J$495,7,FALSE)</f>
        <v>#N/A</v>
      </c>
      <c r="AF356" s="33" t="e">
        <f>VLOOKUP($B356,三大美股走勢!$A$4:$J$495,10,FALSE)</f>
        <v>#N/A</v>
      </c>
    </row>
    <row r="357" spans="2:32">
      <c r="B357" s="32">
        <v>43136</v>
      </c>
      <c r="C357" s="33" t="e">
        <f>VLOOKUP($B357,大盤與近月台指!$A$4:$I$499,2,FALSE)</f>
        <v>#N/A</v>
      </c>
      <c r="D357" s="34" t="e">
        <f>VLOOKUP($B357,大盤與近月台指!$A$4:$I$499,3,FALSE)</f>
        <v>#N/A</v>
      </c>
      <c r="E357" s="35" t="e">
        <f>VLOOKUP($B357,大盤與近月台指!$A$4:$I$499,4,FALSE)</f>
        <v>#N/A</v>
      </c>
      <c r="F357" s="33" t="e">
        <f>VLOOKUP($B357,大盤與近月台指!$A$4:$I$499,5,FALSE)</f>
        <v>#N/A</v>
      </c>
      <c r="G357" s="49" t="e">
        <f>VLOOKUP($B357,三大法人買賣超!$A$4:$I$500,3,FALSE)</f>
        <v>#N/A</v>
      </c>
      <c r="H357" s="34" t="e">
        <f>VLOOKUP($B357,三大法人買賣超!$A$4:$I$500,5,FALSE)</f>
        <v>#N/A</v>
      </c>
      <c r="I357" s="27" t="e">
        <f>VLOOKUP($B357,三大法人買賣超!$A$4:$I$500,7,FALSE)</f>
        <v>#N/A</v>
      </c>
      <c r="J357" s="27" t="e">
        <f>VLOOKUP($B357,三大法人買賣超!$A$4:$I$500,9,FALSE)</f>
        <v>#N/A</v>
      </c>
      <c r="K357" s="37">
        <f>新台幣匯率美元指數!B358</f>
        <v>0</v>
      </c>
      <c r="L357" s="38">
        <f>新台幣匯率美元指數!C358</f>
        <v>0</v>
      </c>
      <c r="M357" s="39">
        <f>新台幣匯率美元指數!D358</f>
        <v>0</v>
      </c>
      <c r="N357" s="27" t="e">
        <f>VLOOKUP($B357,外資期貨未平倉口數!$A$4:$M$499,4,FALSE)</f>
        <v>#N/A</v>
      </c>
      <c r="O357" s="27" t="e">
        <f>VLOOKUP($B357,外資期貨未平倉口數!$A$4:$M$499,9,FALSE)</f>
        <v>#N/A</v>
      </c>
      <c r="P357" s="27" t="e">
        <f>VLOOKUP($B357,外資期貨未平倉口數!$A$4:$M$499,10,FALSE)</f>
        <v>#N/A</v>
      </c>
      <c r="Q357" s="27" t="e">
        <f>VLOOKUP($B357,外資期貨未平倉口數!$A$4:$M$499,11,FALSE)</f>
        <v>#N/A</v>
      </c>
      <c r="R357" s="64" t="e">
        <f>VLOOKUP($B357,選擇權未平倉餘額!$A$4:$I$500,6,FALSE)</f>
        <v>#N/A</v>
      </c>
      <c r="S357" s="64" t="e">
        <f>VLOOKUP($B357,選擇權未平倉餘額!$A$4:$I$500,7,FALSE)</f>
        <v>#N/A</v>
      </c>
      <c r="T357" s="64" t="e">
        <f>VLOOKUP($B357,選擇權未平倉餘額!$A$4:$I$500,8,FALSE)</f>
        <v>#N/A</v>
      </c>
      <c r="U357" s="64" t="e">
        <f>VLOOKUP($B357,選擇權未平倉餘額!$A$4:$I$500,9,FALSE)</f>
        <v>#N/A</v>
      </c>
      <c r="V357" s="39" t="e">
        <f>VLOOKUP($B357,臺指選擇權P_C_Ratios!$A$4:$C$500,3,FALSE)</f>
        <v>#N/A</v>
      </c>
      <c r="W357" s="41" t="e">
        <f>VLOOKUP($B357,散戶多空比!$A$6:$L$500,12,FALSE)</f>
        <v>#N/A</v>
      </c>
      <c r="X357" s="40" t="e">
        <f>VLOOKUP($B357,期貨大額交易人未沖銷部位!$A$4:$O$499,4,FALSE)</f>
        <v>#N/A</v>
      </c>
      <c r="Y357" s="40" t="e">
        <f>VLOOKUP($B357,期貨大額交易人未沖銷部位!$A$4:$O$499,7,FALSE)</f>
        <v>#N/A</v>
      </c>
      <c r="Z357" s="40" t="e">
        <f>VLOOKUP($B357,期貨大額交易人未沖銷部位!$A$4:$O$499,10,FALSE)</f>
        <v>#N/A</v>
      </c>
      <c r="AA357" s="40" t="e">
        <f>VLOOKUP($B357,期貨大額交易人未沖銷部位!$A$4:$O$499,13,FALSE)</f>
        <v>#N/A</v>
      </c>
      <c r="AB357" s="40" t="e">
        <f>VLOOKUP($B357,期貨大額交易人未沖銷部位!$A$4:$O$499,14,FALSE)</f>
        <v>#N/A</v>
      </c>
      <c r="AC357" s="40" t="e">
        <f>VLOOKUP($B357,期貨大額交易人未沖銷部位!$A$4:$O$499,15,FALSE)</f>
        <v>#N/A</v>
      </c>
      <c r="AD357" s="33" t="e">
        <f>VLOOKUP($B357,三大美股走勢!$A$4:$J$495,4,FALSE)</f>
        <v>#N/A</v>
      </c>
      <c r="AE357" s="33" t="e">
        <f>VLOOKUP($B357,三大美股走勢!$A$4:$J$495,7,FALSE)</f>
        <v>#N/A</v>
      </c>
      <c r="AF357" s="33" t="e">
        <f>VLOOKUP($B357,三大美股走勢!$A$4:$J$495,10,FALSE)</f>
        <v>#N/A</v>
      </c>
    </row>
    <row r="358" spans="2:32">
      <c r="B358" s="32">
        <v>43137</v>
      </c>
      <c r="C358" s="33" t="e">
        <f>VLOOKUP($B358,大盤與近月台指!$A$4:$I$499,2,FALSE)</f>
        <v>#N/A</v>
      </c>
      <c r="D358" s="34" t="e">
        <f>VLOOKUP($B358,大盤與近月台指!$A$4:$I$499,3,FALSE)</f>
        <v>#N/A</v>
      </c>
      <c r="E358" s="35" t="e">
        <f>VLOOKUP($B358,大盤與近月台指!$A$4:$I$499,4,FALSE)</f>
        <v>#N/A</v>
      </c>
      <c r="F358" s="33" t="e">
        <f>VLOOKUP($B358,大盤與近月台指!$A$4:$I$499,5,FALSE)</f>
        <v>#N/A</v>
      </c>
      <c r="G358" s="49" t="e">
        <f>VLOOKUP($B358,三大法人買賣超!$A$4:$I$500,3,FALSE)</f>
        <v>#N/A</v>
      </c>
      <c r="H358" s="34" t="e">
        <f>VLOOKUP($B358,三大法人買賣超!$A$4:$I$500,5,FALSE)</f>
        <v>#N/A</v>
      </c>
      <c r="I358" s="27" t="e">
        <f>VLOOKUP($B358,三大法人買賣超!$A$4:$I$500,7,FALSE)</f>
        <v>#N/A</v>
      </c>
      <c r="J358" s="27" t="e">
        <f>VLOOKUP($B358,三大法人買賣超!$A$4:$I$500,9,FALSE)</f>
        <v>#N/A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 t="e">
        <f>VLOOKUP($B358,外資期貨未平倉口數!$A$4:$M$499,4,FALSE)</f>
        <v>#N/A</v>
      </c>
      <c r="O358" s="27" t="e">
        <f>VLOOKUP($B358,外資期貨未平倉口數!$A$4:$M$499,9,FALSE)</f>
        <v>#N/A</v>
      </c>
      <c r="P358" s="27" t="e">
        <f>VLOOKUP($B358,外資期貨未平倉口數!$A$4:$M$499,10,FALSE)</f>
        <v>#N/A</v>
      </c>
      <c r="Q358" s="27" t="e">
        <f>VLOOKUP($B358,外資期貨未平倉口數!$A$4:$M$499,11,FALSE)</f>
        <v>#N/A</v>
      </c>
      <c r="R358" s="64" t="e">
        <f>VLOOKUP($B358,選擇權未平倉餘額!$A$4:$I$500,6,FALSE)</f>
        <v>#N/A</v>
      </c>
      <c r="S358" s="64" t="e">
        <f>VLOOKUP($B358,選擇權未平倉餘額!$A$4:$I$500,7,FALSE)</f>
        <v>#N/A</v>
      </c>
      <c r="T358" s="64" t="e">
        <f>VLOOKUP($B358,選擇權未平倉餘額!$A$4:$I$500,8,FALSE)</f>
        <v>#N/A</v>
      </c>
      <c r="U358" s="64" t="e">
        <f>VLOOKUP($B358,選擇權未平倉餘額!$A$4:$I$500,9,FALSE)</f>
        <v>#N/A</v>
      </c>
      <c r="V358" s="39" t="e">
        <f>VLOOKUP($B358,臺指選擇權P_C_Ratios!$A$4:$C$500,3,FALSE)</f>
        <v>#N/A</v>
      </c>
      <c r="W358" s="41" t="e">
        <f>VLOOKUP($B358,散戶多空比!$A$6:$L$500,12,FALSE)</f>
        <v>#N/A</v>
      </c>
      <c r="X358" s="40" t="e">
        <f>VLOOKUP($B358,期貨大額交易人未沖銷部位!$A$4:$O$499,4,FALSE)</f>
        <v>#N/A</v>
      </c>
      <c r="Y358" s="40" t="e">
        <f>VLOOKUP($B358,期貨大額交易人未沖銷部位!$A$4:$O$499,7,FALSE)</f>
        <v>#N/A</v>
      </c>
      <c r="Z358" s="40" t="e">
        <f>VLOOKUP($B358,期貨大額交易人未沖銷部位!$A$4:$O$499,10,FALSE)</f>
        <v>#N/A</v>
      </c>
      <c r="AA358" s="40" t="e">
        <f>VLOOKUP($B358,期貨大額交易人未沖銷部位!$A$4:$O$499,13,FALSE)</f>
        <v>#N/A</v>
      </c>
      <c r="AB358" s="40" t="e">
        <f>VLOOKUP($B358,期貨大額交易人未沖銷部位!$A$4:$O$499,14,FALSE)</f>
        <v>#N/A</v>
      </c>
      <c r="AC358" s="40" t="e">
        <f>VLOOKUP($B358,期貨大額交易人未沖銷部位!$A$4:$O$499,15,FALSE)</f>
        <v>#N/A</v>
      </c>
      <c r="AD358" s="33" t="e">
        <f>VLOOKUP($B358,三大美股走勢!$A$4:$J$495,4,FALSE)</f>
        <v>#N/A</v>
      </c>
      <c r="AE358" s="33" t="e">
        <f>VLOOKUP($B358,三大美股走勢!$A$4:$J$495,7,FALSE)</f>
        <v>#N/A</v>
      </c>
      <c r="AF358" s="33" t="e">
        <f>VLOOKUP($B358,三大美股走勢!$A$4:$J$495,10,FALSE)</f>
        <v>#N/A</v>
      </c>
    </row>
    <row r="359" spans="2:32">
      <c r="B359" s="32">
        <v>43138</v>
      </c>
      <c r="C359" s="33" t="e">
        <f>VLOOKUP($B359,大盤與近月台指!$A$4:$I$499,2,FALSE)</f>
        <v>#N/A</v>
      </c>
      <c r="D359" s="34" t="e">
        <f>VLOOKUP($B359,大盤與近月台指!$A$4:$I$499,3,FALSE)</f>
        <v>#N/A</v>
      </c>
      <c r="E359" s="35" t="e">
        <f>VLOOKUP($B359,大盤與近月台指!$A$4:$I$499,4,FALSE)</f>
        <v>#N/A</v>
      </c>
      <c r="F359" s="33" t="e">
        <f>VLOOKUP($B359,大盤與近月台指!$A$4:$I$499,5,FALSE)</f>
        <v>#N/A</v>
      </c>
      <c r="G359" s="49" t="e">
        <f>VLOOKUP($B359,三大法人買賣超!$A$4:$I$500,3,FALSE)</f>
        <v>#N/A</v>
      </c>
      <c r="H359" s="34" t="e">
        <f>VLOOKUP($B359,三大法人買賣超!$A$4:$I$500,5,FALSE)</f>
        <v>#N/A</v>
      </c>
      <c r="I359" s="27" t="e">
        <f>VLOOKUP($B359,三大法人買賣超!$A$4:$I$500,7,FALSE)</f>
        <v>#N/A</v>
      </c>
      <c r="J359" s="27" t="e">
        <f>VLOOKUP($B359,三大法人買賣超!$A$4:$I$500,9,FALSE)</f>
        <v>#N/A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 t="e">
        <f>VLOOKUP($B359,外資期貨未平倉口數!$A$4:$M$499,4,FALSE)</f>
        <v>#N/A</v>
      </c>
      <c r="O359" s="27" t="e">
        <f>VLOOKUP($B359,外資期貨未平倉口數!$A$4:$M$499,9,FALSE)</f>
        <v>#N/A</v>
      </c>
      <c r="P359" s="27" t="e">
        <f>VLOOKUP($B359,外資期貨未平倉口數!$A$4:$M$499,10,FALSE)</f>
        <v>#N/A</v>
      </c>
      <c r="Q359" s="27" t="e">
        <f>VLOOKUP($B359,外資期貨未平倉口數!$A$4:$M$499,11,FALSE)</f>
        <v>#N/A</v>
      </c>
      <c r="R359" s="64" t="e">
        <f>VLOOKUP($B359,選擇權未平倉餘額!$A$4:$I$500,6,FALSE)</f>
        <v>#N/A</v>
      </c>
      <c r="S359" s="64" t="e">
        <f>VLOOKUP($B359,選擇權未平倉餘額!$A$4:$I$500,7,FALSE)</f>
        <v>#N/A</v>
      </c>
      <c r="T359" s="64" t="e">
        <f>VLOOKUP($B359,選擇權未平倉餘額!$A$4:$I$500,8,FALSE)</f>
        <v>#N/A</v>
      </c>
      <c r="U359" s="64" t="e">
        <f>VLOOKUP($B359,選擇權未平倉餘額!$A$4:$I$500,9,FALSE)</f>
        <v>#N/A</v>
      </c>
      <c r="V359" s="39" t="e">
        <f>VLOOKUP($B359,臺指選擇權P_C_Ratios!$A$4:$C$500,3,FALSE)</f>
        <v>#N/A</v>
      </c>
      <c r="W359" s="41" t="e">
        <f>VLOOKUP($B359,散戶多空比!$A$6:$L$500,12,FALSE)</f>
        <v>#N/A</v>
      </c>
      <c r="X359" s="40" t="e">
        <f>VLOOKUP($B359,期貨大額交易人未沖銷部位!$A$4:$O$499,4,FALSE)</f>
        <v>#N/A</v>
      </c>
      <c r="Y359" s="40" t="e">
        <f>VLOOKUP($B359,期貨大額交易人未沖銷部位!$A$4:$O$499,7,FALSE)</f>
        <v>#N/A</v>
      </c>
      <c r="Z359" s="40" t="e">
        <f>VLOOKUP($B359,期貨大額交易人未沖銷部位!$A$4:$O$499,10,FALSE)</f>
        <v>#N/A</v>
      </c>
      <c r="AA359" s="40" t="e">
        <f>VLOOKUP($B359,期貨大額交易人未沖銷部位!$A$4:$O$499,13,FALSE)</f>
        <v>#N/A</v>
      </c>
      <c r="AB359" s="40" t="e">
        <f>VLOOKUP($B359,期貨大額交易人未沖銷部位!$A$4:$O$499,14,FALSE)</f>
        <v>#N/A</v>
      </c>
      <c r="AC359" s="40" t="e">
        <f>VLOOKUP($B359,期貨大額交易人未沖銷部位!$A$4:$O$499,15,FALSE)</f>
        <v>#N/A</v>
      </c>
      <c r="AD359" s="33" t="e">
        <f>VLOOKUP($B359,三大美股走勢!$A$4:$J$495,4,FALSE)</f>
        <v>#N/A</v>
      </c>
      <c r="AE359" s="33" t="e">
        <f>VLOOKUP($B359,三大美股走勢!$A$4:$J$495,7,FALSE)</f>
        <v>#N/A</v>
      </c>
      <c r="AF359" s="33" t="e">
        <f>VLOOKUP($B359,三大美股走勢!$A$4:$J$495,10,FALSE)</f>
        <v>#N/A</v>
      </c>
    </row>
    <row r="360" spans="2:32">
      <c r="B360" s="32">
        <v>43139</v>
      </c>
      <c r="C360" s="33" t="e">
        <f>VLOOKUP($B360,大盤與近月台指!$A$4:$I$499,2,FALSE)</f>
        <v>#N/A</v>
      </c>
      <c r="D360" s="34" t="e">
        <f>VLOOKUP($B360,大盤與近月台指!$A$4:$I$499,3,FALSE)</f>
        <v>#N/A</v>
      </c>
      <c r="E360" s="35" t="e">
        <f>VLOOKUP($B360,大盤與近月台指!$A$4:$I$499,4,FALSE)</f>
        <v>#N/A</v>
      </c>
      <c r="F360" s="33" t="e">
        <f>VLOOKUP($B360,大盤與近月台指!$A$4:$I$499,5,FALSE)</f>
        <v>#N/A</v>
      </c>
      <c r="G360" s="49" t="e">
        <f>VLOOKUP($B360,三大法人買賣超!$A$4:$I$500,3,FALSE)</f>
        <v>#N/A</v>
      </c>
      <c r="H360" s="34" t="e">
        <f>VLOOKUP($B360,三大法人買賣超!$A$4:$I$500,5,FALSE)</f>
        <v>#N/A</v>
      </c>
      <c r="I360" s="27" t="e">
        <f>VLOOKUP($B360,三大法人買賣超!$A$4:$I$500,7,FALSE)</f>
        <v>#N/A</v>
      </c>
      <c r="J360" s="27" t="e">
        <f>VLOOKUP($B360,三大法人買賣超!$A$4:$I$500,9,FALSE)</f>
        <v>#N/A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0</v>
      </c>
      <c r="N360" s="27" t="e">
        <f>VLOOKUP($B360,外資期貨未平倉口數!$A$4:$M$499,4,FALSE)</f>
        <v>#N/A</v>
      </c>
      <c r="O360" s="27" t="e">
        <f>VLOOKUP($B360,外資期貨未平倉口數!$A$4:$M$499,9,FALSE)</f>
        <v>#N/A</v>
      </c>
      <c r="P360" s="27" t="e">
        <f>VLOOKUP($B360,外資期貨未平倉口數!$A$4:$M$499,10,FALSE)</f>
        <v>#N/A</v>
      </c>
      <c r="Q360" s="27" t="e">
        <f>VLOOKUP($B360,外資期貨未平倉口數!$A$4:$M$499,11,FALSE)</f>
        <v>#N/A</v>
      </c>
      <c r="R360" s="64" t="e">
        <f>VLOOKUP($B360,選擇權未平倉餘額!$A$4:$I$500,6,FALSE)</f>
        <v>#N/A</v>
      </c>
      <c r="S360" s="64" t="e">
        <f>VLOOKUP($B360,選擇權未平倉餘額!$A$4:$I$500,7,FALSE)</f>
        <v>#N/A</v>
      </c>
      <c r="T360" s="64" t="e">
        <f>VLOOKUP($B360,選擇權未平倉餘額!$A$4:$I$500,8,FALSE)</f>
        <v>#N/A</v>
      </c>
      <c r="U360" s="64" t="e">
        <f>VLOOKUP($B360,選擇權未平倉餘額!$A$4:$I$500,9,FALSE)</f>
        <v>#N/A</v>
      </c>
      <c r="V360" s="39" t="e">
        <f>VLOOKUP($B360,臺指選擇權P_C_Ratios!$A$4:$C$500,3,FALSE)</f>
        <v>#N/A</v>
      </c>
      <c r="W360" s="41" t="e">
        <f>VLOOKUP($B360,散戶多空比!$A$6:$L$500,12,FALSE)</f>
        <v>#N/A</v>
      </c>
      <c r="X360" s="40" t="e">
        <f>VLOOKUP($B360,期貨大額交易人未沖銷部位!$A$4:$O$499,4,FALSE)</f>
        <v>#N/A</v>
      </c>
      <c r="Y360" s="40" t="e">
        <f>VLOOKUP($B360,期貨大額交易人未沖銷部位!$A$4:$O$499,7,FALSE)</f>
        <v>#N/A</v>
      </c>
      <c r="Z360" s="40" t="e">
        <f>VLOOKUP($B360,期貨大額交易人未沖銷部位!$A$4:$O$499,10,FALSE)</f>
        <v>#N/A</v>
      </c>
      <c r="AA360" s="40" t="e">
        <f>VLOOKUP($B360,期貨大額交易人未沖銷部位!$A$4:$O$499,13,FALSE)</f>
        <v>#N/A</v>
      </c>
      <c r="AB360" s="40" t="e">
        <f>VLOOKUP($B360,期貨大額交易人未沖銷部位!$A$4:$O$499,14,FALSE)</f>
        <v>#N/A</v>
      </c>
      <c r="AC360" s="40" t="e">
        <f>VLOOKUP($B360,期貨大額交易人未沖銷部位!$A$4:$O$499,15,FALSE)</f>
        <v>#N/A</v>
      </c>
      <c r="AD360" s="33" t="e">
        <f>VLOOKUP($B360,三大美股走勢!$A$4:$J$495,4,FALSE)</f>
        <v>#N/A</v>
      </c>
      <c r="AE360" s="33" t="e">
        <f>VLOOKUP($B360,三大美股走勢!$A$4:$J$495,7,FALSE)</f>
        <v>#N/A</v>
      </c>
      <c r="AF360" s="33" t="e">
        <f>VLOOKUP($B360,三大美股走勢!$A$4:$J$495,10,FALSE)</f>
        <v>#N/A</v>
      </c>
    </row>
    <row r="361" spans="2:32">
      <c r="B361" s="32">
        <v>43140</v>
      </c>
      <c r="C361" s="33" t="e">
        <f>VLOOKUP($B361,大盤與近月台指!$A$4:$I$499,2,FALSE)</f>
        <v>#N/A</v>
      </c>
      <c r="D361" s="34" t="e">
        <f>VLOOKUP($B361,大盤與近月台指!$A$4:$I$499,3,FALSE)</f>
        <v>#N/A</v>
      </c>
      <c r="E361" s="35" t="e">
        <f>VLOOKUP($B361,大盤與近月台指!$A$4:$I$499,4,FALSE)</f>
        <v>#N/A</v>
      </c>
      <c r="F361" s="33" t="e">
        <f>VLOOKUP($B361,大盤與近月台指!$A$4:$I$499,5,FALSE)</f>
        <v>#N/A</v>
      </c>
      <c r="G361" s="49" t="e">
        <f>VLOOKUP($B361,三大法人買賣超!$A$4:$I$500,3,FALSE)</f>
        <v>#N/A</v>
      </c>
      <c r="H361" s="34" t="e">
        <f>VLOOKUP($B361,三大法人買賣超!$A$4:$I$500,5,FALSE)</f>
        <v>#N/A</v>
      </c>
      <c r="I361" s="27" t="e">
        <f>VLOOKUP($B361,三大法人買賣超!$A$4:$I$500,7,FALSE)</f>
        <v>#N/A</v>
      </c>
      <c r="J361" s="27" t="e">
        <f>VLOOKUP($B361,三大法人買賣超!$A$4:$I$500,9,FALSE)</f>
        <v>#N/A</v>
      </c>
      <c r="K361" s="37">
        <f>新台幣匯率美元指數!B362</f>
        <v>0</v>
      </c>
      <c r="L361" s="38">
        <f>新台幣匯率美元指數!C362</f>
        <v>0</v>
      </c>
      <c r="M361" s="39">
        <f>新台幣匯率美元指數!D362</f>
        <v>0</v>
      </c>
      <c r="N361" s="27" t="e">
        <f>VLOOKUP($B361,外資期貨未平倉口數!$A$4:$M$499,4,FALSE)</f>
        <v>#N/A</v>
      </c>
      <c r="O361" s="27" t="e">
        <f>VLOOKUP($B361,外資期貨未平倉口數!$A$4:$M$499,9,FALSE)</f>
        <v>#N/A</v>
      </c>
      <c r="P361" s="27" t="e">
        <f>VLOOKUP($B361,外資期貨未平倉口數!$A$4:$M$499,10,FALSE)</f>
        <v>#N/A</v>
      </c>
      <c r="Q361" s="27" t="e">
        <f>VLOOKUP($B361,外資期貨未平倉口數!$A$4:$M$499,11,FALSE)</f>
        <v>#N/A</v>
      </c>
      <c r="R361" s="64" t="e">
        <f>VLOOKUP($B361,選擇權未平倉餘額!$A$4:$I$500,6,FALSE)</f>
        <v>#N/A</v>
      </c>
      <c r="S361" s="64" t="e">
        <f>VLOOKUP($B361,選擇權未平倉餘額!$A$4:$I$500,7,FALSE)</f>
        <v>#N/A</v>
      </c>
      <c r="T361" s="64" t="e">
        <f>VLOOKUP($B361,選擇權未平倉餘額!$A$4:$I$500,8,FALSE)</f>
        <v>#N/A</v>
      </c>
      <c r="U361" s="64" t="e">
        <f>VLOOKUP($B361,選擇權未平倉餘額!$A$4:$I$500,9,FALSE)</f>
        <v>#N/A</v>
      </c>
      <c r="V361" s="39" t="e">
        <f>VLOOKUP($B361,臺指選擇權P_C_Ratios!$A$4:$C$500,3,FALSE)</f>
        <v>#N/A</v>
      </c>
      <c r="W361" s="41" t="e">
        <f>VLOOKUP($B361,散戶多空比!$A$6:$L$500,12,FALSE)</f>
        <v>#N/A</v>
      </c>
      <c r="X361" s="40" t="e">
        <f>VLOOKUP($B361,期貨大額交易人未沖銷部位!$A$4:$O$499,4,FALSE)</f>
        <v>#N/A</v>
      </c>
      <c r="Y361" s="40" t="e">
        <f>VLOOKUP($B361,期貨大額交易人未沖銷部位!$A$4:$O$499,7,FALSE)</f>
        <v>#N/A</v>
      </c>
      <c r="Z361" s="40" t="e">
        <f>VLOOKUP($B361,期貨大額交易人未沖銷部位!$A$4:$O$499,10,FALSE)</f>
        <v>#N/A</v>
      </c>
      <c r="AA361" s="40" t="e">
        <f>VLOOKUP($B361,期貨大額交易人未沖銷部位!$A$4:$O$499,13,FALSE)</f>
        <v>#N/A</v>
      </c>
      <c r="AB361" s="40" t="e">
        <f>VLOOKUP($B361,期貨大額交易人未沖銷部位!$A$4:$O$499,14,FALSE)</f>
        <v>#N/A</v>
      </c>
      <c r="AC361" s="40" t="e">
        <f>VLOOKUP($B361,期貨大額交易人未沖銷部位!$A$4:$O$499,15,FALSE)</f>
        <v>#N/A</v>
      </c>
      <c r="AD361" s="33" t="e">
        <f>VLOOKUP($B361,三大美股走勢!$A$4:$J$495,4,FALSE)</f>
        <v>#N/A</v>
      </c>
      <c r="AE361" s="33" t="e">
        <f>VLOOKUP($B361,三大美股走勢!$A$4:$J$495,7,FALSE)</f>
        <v>#N/A</v>
      </c>
      <c r="AF361" s="33" t="e">
        <f>VLOOKUP($B361,三大美股走勢!$A$4:$J$495,10,FALSE)</f>
        <v>#N/A</v>
      </c>
    </row>
    <row r="362" spans="2:32">
      <c r="B362" s="32">
        <v>43141</v>
      </c>
      <c r="C362" s="33" t="e">
        <f>VLOOKUP($B362,大盤與近月台指!$A$4:$I$499,2,FALSE)</f>
        <v>#N/A</v>
      </c>
      <c r="D362" s="34" t="e">
        <f>VLOOKUP($B362,大盤與近月台指!$A$4:$I$499,3,FALSE)</f>
        <v>#N/A</v>
      </c>
      <c r="E362" s="35" t="e">
        <f>VLOOKUP($B362,大盤與近月台指!$A$4:$I$499,4,FALSE)</f>
        <v>#N/A</v>
      </c>
      <c r="F362" s="33" t="e">
        <f>VLOOKUP($B362,大盤與近月台指!$A$4:$I$499,5,FALSE)</f>
        <v>#N/A</v>
      </c>
      <c r="G362" s="49" t="e">
        <f>VLOOKUP($B362,三大法人買賣超!$A$4:$I$500,3,FALSE)</f>
        <v>#N/A</v>
      </c>
      <c r="H362" s="34" t="e">
        <f>VLOOKUP($B362,三大法人買賣超!$A$4:$I$500,5,FALSE)</f>
        <v>#N/A</v>
      </c>
      <c r="I362" s="27" t="e">
        <f>VLOOKUP($B362,三大法人買賣超!$A$4:$I$500,7,FALSE)</f>
        <v>#N/A</v>
      </c>
      <c r="J362" s="27" t="e">
        <f>VLOOKUP($B362,三大法人買賣超!$A$4:$I$500,9,FALSE)</f>
        <v>#N/A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 t="e">
        <f>VLOOKUP($B362,外資期貨未平倉口數!$A$4:$M$499,4,FALSE)</f>
        <v>#N/A</v>
      </c>
      <c r="O362" s="27" t="e">
        <f>VLOOKUP($B362,外資期貨未平倉口數!$A$4:$M$499,9,FALSE)</f>
        <v>#N/A</v>
      </c>
      <c r="P362" s="27" t="e">
        <f>VLOOKUP($B362,外資期貨未平倉口數!$A$4:$M$499,10,FALSE)</f>
        <v>#N/A</v>
      </c>
      <c r="Q362" s="27" t="e">
        <f>VLOOKUP($B362,外資期貨未平倉口數!$A$4:$M$499,11,FALSE)</f>
        <v>#N/A</v>
      </c>
      <c r="R362" s="64" t="e">
        <f>VLOOKUP($B362,選擇權未平倉餘額!$A$4:$I$500,6,FALSE)</f>
        <v>#N/A</v>
      </c>
      <c r="S362" s="64" t="e">
        <f>VLOOKUP($B362,選擇權未平倉餘額!$A$4:$I$500,7,FALSE)</f>
        <v>#N/A</v>
      </c>
      <c r="T362" s="64" t="e">
        <f>VLOOKUP($B362,選擇權未平倉餘額!$A$4:$I$500,8,FALSE)</f>
        <v>#N/A</v>
      </c>
      <c r="U362" s="64" t="e">
        <f>VLOOKUP($B362,選擇權未平倉餘額!$A$4:$I$500,9,FALSE)</f>
        <v>#N/A</v>
      </c>
      <c r="V362" s="39" t="e">
        <f>VLOOKUP($B362,臺指選擇權P_C_Ratios!$A$4:$C$500,3,FALSE)</f>
        <v>#N/A</v>
      </c>
      <c r="W362" s="41" t="e">
        <f>VLOOKUP($B362,散戶多空比!$A$6:$L$500,12,FALSE)</f>
        <v>#N/A</v>
      </c>
      <c r="X362" s="40" t="e">
        <f>VLOOKUP($B362,期貨大額交易人未沖銷部位!$A$4:$O$499,4,FALSE)</f>
        <v>#N/A</v>
      </c>
      <c r="Y362" s="40" t="e">
        <f>VLOOKUP($B362,期貨大額交易人未沖銷部位!$A$4:$O$499,7,FALSE)</f>
        <v>#N/A</v>
      </c>
      <c r="Z362" s="40" t="e">
        <f>VLOOKUP($B362,期貨大額交易人未沖銷部位!$A$4:$O$499,10,FALSE)</f>
        <v>#N/A</v>
      </c>
      <c r="AA362" s="40" t="e">
        <f>VLOOKUP($B362,期貨大額交易人未沖銷部位!$A$4:$O$499,13,FALSE)</f>
        <v>#N/A</v>
      </c>
      <c r="AB362" s="40" t="e">
        <f>VLOOKUP($B362,期貨大額交易人未沖銷部位!$A$4:$O$499,14,FALSE)</f>
        <v>#N/A</v>
      </c>
      <c r="AC362" s="40" t="e">
        <f>VLOOKUP($B362,期貨大額交易人未沖銷部位!$A$4:$O$499,15,FALSE)</f>
        <v>#N/A</v>
      </c>
      <c r="AD362" s="33" t="e">
        <f>VLOOKUP($B362,三大美股走勢!$A$4:$J$495,4,FALSE)</f>
        <v>#N/A</v>
      </c>
      <c r="AE362" s="33" t="e">
        <f>VLOOKUP($B362,三大美股走勢!$A$4:$J$495,7,FALSE)</f>
        <v>#N/A</v>
      </c>
      <c r="AF362" s="33" t="e">
        <f>VLOOKUP($B362,三大美股走勢!$A$4:$J$495,10,FALSE)</f>
        <v>#N/A</v>
      </c>
    </row>
    <row r="363" spans="2:32">
      <c r="B363" s="32">
        <v>43142</v>
      </c>
      <c r="C363" s="33" t="e">
        <f>VLOOKUP($B363,大盤與近月台指!$A$4:$I$499,2,FALSE)</f>
        <v>#N/A</v>
      </c>
      <c r="D363" s="34" t="e">
        <f>VLOOKUP($B363,大盤與近月台指!$A$4:$I$499,3,FALSE)</f>
        <v>#N/A</v>
      </c>
      <c r="E363" s="35" t="e">
        <f>VLOOKUP($B363,大盤與近月台指!$A$4:$I$499,4,FALSE)</f>
        <v>#N/A</v>
      </c>
      <c r="F363" s="33" t="e">
        <f>VLOOKUP($B363,大盤與近月台指!$A$4:$I$499,5,FALSE)</f>
        <v>#N/A</v>
      </c>
      <c r="G363" s="49" t="e">
        <f>VLOOKUP($B363,三大法人買賣超!$A$4:$I$500,3,FALSE)</f>
        <v>#N/A</v>
      </c>
      <c r="H363" s="34" t="e">
        <f>VLOOKUP($B363,三大法人買賣超!$A$4:$I$500,5,FALSE)</f>
        <v>#N/A</v>
      </c>
      <c r="I363" s="27" t="e">
        <f>VLOOKUP($B363,三大法人買賣超!$A$4:$I$500,7,FALSE)</f>
        <v>#N/A</v>
      </c>
      <c r="J363" s="27" t="e">
        <f>VLOOKUP($B363,三大法人買賣超!$A$4:$I$500,9,FALSE)</f>
        <v>#N/A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 t="e">
        <f>VLOOKUP($B363,外資期貨未平倉口數!$A$4:$M$499,4,FALSE)</f>
        <v>#N/A</v>
      </c>
      <c r="O363" s="27" t="e">
        <f>VLOOKUP($B363,外資期貨未平倉口數!$A$4:$M$499,9,FALSE)</f>
        <v>#N/A</v>
      </c>
      <c r="P363" s="27" t="e">
        <f>VLOOKUP($B363,外資期貨未平倉口數!$A$4:$M$499,10,FALSE)</f>
        <v>#N/A</v>
      </c>
      <c r="Q363" s="27" t="e">
        <f>VLOOKUP($B363,外資期貨未平倉口數!$A$4:$M$499,11,FALSE)</f>
        <v>#N/A</v>
      </c>
      <c r="R363" s="64" t="e">
        <f>VLOOKUP($B363,選擇權未平倉餘額!$A$4:$I$500,6,FALSE)</f>
        <v>#N/A</v>
      </c>
      <c r="S363" s="64" t="e">
        <f>VLOOKUP($B363,選擇權未平倉餘額!$A$4:$I$500,7,FALSE)</f>
        <v>#N/A</v>
      </c>
      <c r="T363" s="64" t="e">
        <f>VLOOKUP($B363,選擇權未平倉餘額!$A$4:$I$500,8,FALSE)</f>
        <v>#N/A</v>
      </c>
      <c r="U363" s="64" t="e">
        <f>VLOOKUP($B363,選擇權未平倉餘額!$A$4:$I$500,9,FALSE)</f>
        <v>#N/A</v>
      </c>
      <c r="V363" s="39" t="e">
        <f>VLOOKUP($B363,臺指選擇權P_C_Ratios!$A$4:$C$500,3,FALSE)</f>
        <v>#N/A</v>
      </c>
      <c r="W363" s="41" t="e">
        <f>VLOOKUP($B363,散戶多空比!$A$6:$L$500,12,FALSE)</f>
        <v>#N/A</v>
      </c>
      <c r="X363" s="40" t="e">
        <f>VLOOKUP($B363,期貨大額交易人未沖銷部位!$A$4:$O$499,4,FALSE)</f>
        <v>#N/A</v>
      </c>
      <c r="Y363" s="40" t="e">
        <f>VLOOKUP($B363,期貨大額交易人未沖銷部位!$A$4:$O$499,7,FALSE)</f>
        <v>#N/A</v>
      </c>
      <c r="Z363" s="40" t="e">
        <f>VLOOKUP($B363,期貨大額交易人未沖銷部位!$A$4:$O$499,10,FALSE)</f>
        <v>#N/A</v>
      </c>
      <c r="AA363" s="40" t="e">
        <f>VLOOKUP($B363,期貨大額交易人未沖銷部位!$A$4:$O$499,13,FALSE)</f>
        <v>#N/A</v>
      </c>
      <c r="AB363" s="40" t="e">
        <f>VLOOKUP($B363,期貨大額交易人未沖銷部位!$A$4:$O$499,14,FALSE)</f>
        <v>#N/A</v>
      </c>
      <c r="AC363" s="40" t="e">
        <f>VLOOKUP($B363,期貨大額交易人未沖銷部位!$A$4:$O$499,15,FALSE)</f>
        <v>#N/A</v>
      </c>
      <c r="AD363" s="33" t="e">
        <f>VLOOKUP($B363,三大美股走勢!$A$4:$J$495,4,FALSE)</f>
        <v>#N/A</v>
      </c>
      <c r="AE363" s="33" t="e">
        <f>VLOOKUP($B363,三大美股走勢!$A$4:$J$495,7,FALSE)</f>
        <v>#N/A</v>
      </c>
      <c r="AF363" s="33" t="e">
        <f>VLOOKUP($B363,三大美股走勢!$A$4:$J$495,10,FALSE)</f>
        <v>#N/A</v>
      </c>
    </row>
    <row r="364" spans="2:32">
      <c r="B364" s="32">
        <v>43143</v>
      </c>
      <c r="C364" s="33" t="e">
        <f>VLOOKUP($B364,大盤與近月台指!$A$4:$I$499,2,FALSE)</f>
        <v>#N/A</v>
      </c>
      <c r="D364" s="34" t="e">
        <f>VLOOKUP($B364,大盤與近月台指!$A$4:$I$499,3,FALSE)</f>
        <v>#N/A</v>
      </c>
      <c r="E364" s="35" t="e">
        <f>VLOOKUP($B364,大盤與近月台指!$A$4:$I$499,4,FALSE)</f>
        <v>#N/A</v>
      </c>
      <c r="F364" s="33" t="e">
        <f>VLOOKUP($B364,大盤與近月台指!$A$4:$I$499,5,FALSE)</f>
        <v>#N/A</v>
      </c>
      <c r="G364" s="49" t="e">
        <f>VLOOKUP($B364,三大法人買賣超!$A$4:$I$500,3,FALSE)</f>
        <v>#N/A</v>
      </c>
      <c r="H364" s="34" t="e">
        <f>VLOOKUP($B364,三大法人買賣超!$A$4:$I$500,5,FALSE)</f>
        <v>#N/A</v>
      </c>
      <c r="I364" s="27" t="e">
        <f>VLOOKUP($B364,三大法人買賣超!$A$4:$I$500,7,FALSE)</f>
        <v>#N/A</v>
      </c>
      <c r="J364" s="27" t="e">
        <f>VLOOKUP($B364,三大法人買賣超!$A$4:$I$500,9,FALSE)</f>
        <v>#N/A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 t="e">
        <f>VLOOKUP($B364,外資期貨未平倉口數!$A$4:$M$499,4,FALSE)</f>
        <v>#N/A</v>
      </c>
      <c r="O364" s="27" t="e">
        <f>VLOOKUP($B364,外資期貨未平倉口數!$A$4:$M$499,9,FALSE)</f>
        <v>#N/A</v>
      </c>
      <c r="P364" s="27" t="e">
        <f>VLOOKUP($B364,外資期貨未平倉口數!$A$4:$M$499,10,FALSE)</f>
        <v>#N/A</v>
      </c>
      <c r="Q364" s="27" t="e">
        <f>VLOOKUP($B364,外資期貨未平倉口數!$A$4:$M$499,11,FALSE)</f>
        <v>#N/A</v>
      </c>
      <c r="R364" s="64" t="e">
        <f>VLOOKUP($B364,選擇權未平倉餘額!$A$4:$I$500,6,FALSE)</f>
        <v>#N/A</v>
      </c>
      <c r="S364" s="64" t="e">
        <f>VLOOKUP($B364,選擇權未平倉餘額!$A$4:$I$500,7,FALSE)</f>
        <v>#N/A</v>
      </c>
      <c r="T364" s="64" t="e">
        <f>VLOOKUP($B364,選擇權未平倉餘額!$A$4:$I$500,8,FALSE)</f>
        <v>#N/A</v>
      </c>
      <c r="U364" s="64" t="e">
        <f>VLOOKUP($B364,選擇權未平倉餘額!$A$4:$I$500,9,FALSE)</f>
        <v>#N/A</v>
      </c>
      <c r="V364" s="39" t="e">
        <f>VLOOKUP($B364,臺指選擇權P_C_Ratios!$A$4:$C$500,3,FALSE)</f>
        <v>#N/A</v>
      </c>
      <c r="W364" s="41" t="e">
        <f>VLOOKUP($B364,散戶多空比!$A$6:$L$500,12,FALSE)</f>
        <v>#N/A</v>
      </c>
      <c r="X364" s="40" t="e">
        <f>VLOOKUP($B364,期貨大額交易人未沖銷部位!$A$4:$O$499,4,FALSE)</f>
        <v>#N/A</v>
      </c>
      <c r="Y364" s="40" t="e">
        <f>VLOOKUP($B364,期貨大額交易人未沖銷部位!$A$4:$O$499,7,FALSE)</f>
        <v>#N/A</v>
      </c>
      <c r="Z364" s="40" t="e">
        <f>VLOOKUP($B364,期貨大額交易人未沖銷部位!$A$4:$O$499,10,FALSE)</f>
        <v>#N/A</v>
      </c>
      <c r="AA364" s="40" t="e">
        <f>VLOOKUP($B364,期貨大額交易人未沖銷部位!$A$4:$O$499,13,FALSE)</f>
        <v>#N/A</v>
      </c>
      <c r="AB364" s="40" t="e">
        <f>VLOOKUP($B364,期貨大額交易人未沖銷部位!$A$4:$O$499,14,FALSE)</f>
        <v>#N/A</v>
      </c>
      <c r="AC364" s="40" t="e">
        <f>VLOOKUP($B364,期貨大額交易人未沖銷部位!$A$4:$O$499,15,FALSE)</f>
        <v>#N/A</v>
      </c>
      <c r="AD364" s="33" t="e">
        <f>VLOOKUP($B364,三大美股走勢!$A$4:$J$495,4,FALSE)</f>
        <v>#N/A</v>
      </c>
      <c r="AE364" s="33" t="e">
        <f>VLOOKUP($B364,三大美股走勢!$A$4:$J$495,7,FALSE)</f>
        <v>#N/A</v>
      </c>
      <c r="AF364" s="33" t="e">
        <f>VLOOKUP($B364,三大美股走勢!$A$4:$J$495,10,FALSE)</f>
        <v>#N/A</v>
      </c>
    </row>
    <row r="365" spans="2:32">
      <c r="B365" s="32">
        <v>43144</v>
      </c>
      <c r="C365" s="33" t="e">
        <f>VLOOKUP($B365,大盤與近月台指!$A$4:$I$499,2,FALSE)</f>
        <v>#N/A</v>
      </c>
      <c r="D365" s="34" t="e">
        <f>VLOOKUP($B365,大盤與近月台指!$A$4:$I$499,3,FALSE)</f>
        <v>#N/A</v>
      </c>
      <c r="E365" s="35" t="e">
        <f>VLOOKUP($B365,大盤與近月台指!$A$4:$I$499,4,FALSE)</f>
        <v>#N/A</v>
      </c>
      <c r="F365" s="33" t="e">
        <f>VLOOKUP($B365,大盤與近月台指!$A$4:$I$499,5,FALSE)</f>
        <v>#N/A</v>
      </c>
      <c r="G365" s="49" t="e">
        <f>VLOOKUP($B365,三大法人買賣超!$A$4:$I$500,3,FALSE)</f>
        <v>#N/A</v>
      </c>
      <c r="H365" s="34" t="e">
        <f>VLOOKUP($B365,三大法人買賣超!$A$4:$I$500,5,FALSE)</f>
        <v>#N/A</v>
      </c>
      <c r="I365" s="27" t="e">
        <f>VLOOKUP($B365,三大法人買賣超!$A$4:$I$500,7,FALSE)</f>
        <v>#N/A</v>
      </c>
      <c r="J365" s="27" t="e">
        <f>VLOOKUP($B365,三大法人買賣超!$A$4:$I$500,9,FALSE)</f>
        <v>#N/A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 t="e">
        <f>VLOOKUP($B365,外資期貨未平倉口數!$A$4:$M$499,4,FALSE)</f>
        <v>#N/A</v>
      </c>
      <c r="O365" s="27" t="e">
        <f>VLOOKUP($B365,外資期貨未平倉口數!$A$4:$M$499,9,FALSE)</f>
        <v>#N/A</v>
      </c>
      <c r="P365" s="27" t="e">
        <f>VLOOKUP($B365,外資期貨未平倉口數!$A$4:$M$499,10,FALSE)</f>
        <v>#N/A</v>
      </c>
      <c r="Q365" s="27" t="e">
        <f>VLOOKUP($B365,外資期貨未平倉口數!$A$4:$M$499,11,FALSE)</f>
        <v>#N/A</v>
      </c>
      <c r="R365" s="64" t="e">
        <f>VLOOKUP($B365,選擇權未平倉餘額!$A$4:$I$500,6,FALSE)</f>
        <v>#N/A</v>
      </c>
      <c r="S365" s="64" t="e">
        <f>VLOOKUP($B365,選擇權未平倉餘額!$A$4:$I$500,7,FALSE)</f>
        <v>#N/A</v>
      </c>
      <c r="T365" s="64" t="e">
        <f>VLOOKUP($B365,選擇權未平倉餘額!$A$4:$I$500,8,FALSE)</f>
        <v>#N/A</v>
      </c>
      <c r="U365" s="64" t="e">
        <f>VLOOKUP($B365,選擇權未平倉餘額!$A$4:$I$500,9,FALSE)</f>
        <v>#N/A</v>
      </c>
      <c r="V365" s="39" t="e">
        <f>VLOOKUP($B365,臺指選擇權P_C_Ratios!$A$4:$C$500,3,FALSE)</f>
        <v>#N/A</v>
      </c>
      <c r="W365" s="41" t="e">
        <f>VLOOKUP($B365,散戶多空比!$A$6:$L$500,12,FALSE)</f>
        <v>#N/A</v>
      </c>
      <c r="X365" s="40" t="e">
        <f>VLOOKUP($B365,期貨大額交易人未沖銷部位!$A$4:$O$499,4,FALSE)</f>
        <v>#N/A</v>
      </c>
      <c r="Y365" s="40" t="e">
        <f>VLOOKUP($B365,期貨大額交易人未沖銷部位!$A$4:$O$499,7,FALSE)</f>
        <v>#N/A</v>
      </c>
      <c r="Z365" s="40" t="e">
        <f>VLOOKUP($B365,期貨大額交易人未沖銷部位!$A$4:$O$499,10,FALSE)</f>
        <v>#N/A</v>
      </c>
      <c r="AA365" s="40" t="e">
        <f>VLOOKUP($B365,期貨大額交易人未沖銷部位!$A$4:$O$499,13,FALSE)</f>
        <v>#N/A</v>
      </c>
      <c r="AB365" s="40" t="e">
        <f>VLOOKUP($B365,期貨大額交易人未沖銷部位!$A$4:$O$499,14,FALSE)</f>
        <v>#N/A</v>
      </c>
      <c r="AC365" s="40" t="e">
        <f>VLOOKUP($B365,期貨大額交易人未沖銷部位!$A$4:$O$499,15,FALSE)</f>
        <v>#N/A</v>
      </c>
      <c r="AD365" s="33" t="e">
        <f>VLOOKUP($B365,三大美股走勢!$A$4:$J$495,4,FALSE)</f>
        <v>#N/A</v>
      </c>
      <c r="AE365" s="33" t="e">
        <f>VLOOKUP($B365,三大美股走勢!$A$4:$J$495,7,FALSE)</f>
        <v>#N/A</v>
      </c>
      <c r="AF365" s="33" t="e">
        <f>VLOOKUP($B365,三大美股走勢!$A$4:$J$495,10,FALSE)</f>
        <v>#N/A</v>
      </c>
    </row>
    <row r="366" spans="2:32">
      <c r="B366" s="32">
        <v>43145</v>
      </c>
      <c r="C366" s="33" t="e">
        <f>VLOOKUP($B366,大盤與近月台指!$A$4:$I$499,2,FALSE)</f>
        <v>#N/A</v>
      </c>
      <c r="D366" s="34" t="e">
        <f>VLOOKUP($B366,大盤與近月台指!$A$4:$I$499,3,FALSE)</f>
        <v>#N/A</v>
      </c>
      <c r="E366" s="35" t="e">
        <f>VLOOKUP($B366,大盤與近月台指!$A$4:$I$499,4,FALSE)</f>
        <v>#N/A</v>
      </c>
      <c r="F366" s="33" t="e">
        <f>VLOOKUP($B366,大盤與近月台指!$A$4:$I$499,5,FALSE)</f>
        <v>#N/A</v>
      </c>
      <c r="G366" s="49" t="e">
        <f>VLOOKUP($B366,三大法人買賣超!$A$4:$I$500,3,FALSE)</f>
        <v>#N/A</v>
      </c>
      <c r="H366" s="34" t="e">
        <f>VLOOKUP($B366,三大法人買賣超!$A$4:$I$500,5,FALSE)</f>
        <v>#N/A</v>
      </c>
      <c r="I366" s="27" t="e">
        <f>VLOOKUP($B366,三大法人買賣超!$A$4:$I$500,7,FALSE)</f>
        <v>#N/A</v>
      </c>
      <c r="J366" s="27" t="e">
        <f>VLOOKUP($B366,三大法人買賣超!$A$4:$I$500,9,FALSE)</f>
        <v>#N/A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 t="e">
        <f>VLOOKUP($B366,外資期貨未平倉口數!$A$4:$M$499,4,FALSE)</f>
        <v>#N/A</v>
      </c>
      <c r="O366" s="27" t="e">
        <f>VLOOKUP($B366,外資期貨未平倉口數!$A$4:$M$499,9,FALSE)</f>
        <v>#N/A</v>
      </c>
      <c r="P366" s="27" t="e">
        <f>VLOOKUP($B366,外資期貨未平倉口數!$A$4:$M$499,10,FALSE)</f>
        <v>#N/A</v>
      </c>
      <c r="Q366" s="27" t="e">
        <f>VLOOKUP($B366,外資期貨未平倉口數!$A$4:$M$499,11,FALSE)</f>
        <v>#N/A</v>
      </c>
      <c r="R366" s="64" t="e">
        <f>VLOOKUP($B366,選擇權未平倉餘額!$A$4:$I$500,6,FALSE)</f>
        <v>#N/A</v>
      </c>
      <c r="S366" s="64" t="e">
        <f>VLOOKUP($B366,選擇權未平倉餘額!$A$4:$I$500,7,FALSE)</f>
        <v>#N/A</v>
      </c>
      <c r="T366" s="64" t="e">
        <f>VLOOKUP($B366,選擇權未平倉餘額!$A$4:$I$500,8,FALSE)</f>
        <v>#N/A</v>
      </c>
      <c r="U366" s="64" t="e">
        <f>VLOOKUP($B366,選擇權未平倉餘額!$A$4:$I$500,9,FALSE)</f>
        <v>#N/A</v>
      </c>
      <c r="V366" s="39" t="e">
        <f>VLOOKUP($B366,臺指選擇權P_C_Ratios!$A$4:$C$500,3,FALSE)</f>
        <v>#N/A</v>
      </c>
      <c r="W366" s="41" t="e">
        <f>VLOOKUP($B366,散戶多空比!$A$6:$L$500,12,FALSE)</f>
        <v>#N/A</v>
      </c>
      <c r="X366" s="40" t="e">
        <f>VLOOKUP($B366,期貨大額交易人未沖銷部位!$A$4:$O$499,4,FALSE)</f>
        <v>#N/A</v>
      </c>
      <c r="Y366" s="40" t="e">
        <f>VLOOKUP($B366,期貨大額交易人未沖銷部位!$A$4:$O$499,7,FALSE)</f>
        <v>#N/A</v>
      </c>
      <c r="Z366" s="40" t="e">
        <f>VLOOKUP($B366,期貨大額交易人未沖銷部位!$A$4:$O$499,10,FALSE)</f>
        <v>#N/A</v>
      </c>
      <c r="AA366" s="40" t="e">
        <f>VLOOKUP($B366,期貨大額交易人未沖銷部位!$A$4:$O$499,13,FALSE)</f>
        <v>#N/A</v>
      </c>
      <c r="AB366" s="40" t="e">
        <f>VLOOKUP($B366,期貨大額交易人未沖銷部位!$A$4:$O$499,14,FALSE)</f>
        <v>#N/A</v>
      </c>
      <c r="AC366" s="40" t="e">
        <f>VLOOKUP($B366,期貨大額交易人未沖銷部位!$A$4:$O$499,15,FALSE)</f>
        <v>#N/A</v>
      </c>
      <c r="AD366" s="33" t="e">
        <f>VLOOKUP($B366,三大美股走勢!$A$4:$J$495,4,FALSE)</f>
        <v>#N/A</v>
      </c>
      <c r="AE366" s="33" t="e">
        <f>VLOOKUP($B366,三大美股走勢!$A$4:$J$495,7,FALSE)</f>
        <v>#N/A</v>
      </c>
      <c r="AF366" s="33" t="e">
        <f>VLOOKUP($B366,三大美股走勢!$A$4:$J$495,10,FALSE)</f>
        <v>#N/A</v>
      </c>
    </row>
    <row r="367" spans="2:32">
      <c r="B367" s="32">
        <v>43146</v>
      </c>
      <c r="C367" s="33" t="e">
        <f>VLOOKUP($B367,大盤與近月台指!$A$4:$I$499,2,FALSE)</f>
        <v>#N/A</v>
      </c>
      <c r="D367" s="34" t="e">
        <f>VLOOKUP($B367,大盤與近月台指!$A$4:$I$499,3,FALSE)</f>
        <v>#N/A</v>
      </c>
      <c r="E367" s="35" t="e">
        <f>VLOOKUP($B367,大盤與近月台指!$A$4:$I$499,4,FALSE)</f>
        <v>#N/A</v>
      </c>
      <c r="F367" s="33" t="e">
        <f>VLOOKUP($B367,大盤與近月台指!$A$4:$I$499,5,FALSE)</f>
        <v>#N/A</v>
      </c>
      <c r="G367" s="49" t="e">
        <f>VLOOKUP($B367,三大法人買賣超!$A$4:$I$500,3,FALSE)</f>
        <v>#N/A</v>
      </c>
      <c r="H367" s="34" t="e">
        <f>VLOOKUP($B367,三大法人買賣超!$A$4:$I$500,5,FALSE)</f>
        <v>#N/A</v>
      </c>
      <c r="I367" s="27" t="e">
        <f>VLOOKUP($B367,三大法人買賣超!$A$4:$I$500,7,FALSE)</f>
        <v>#N/A</v>
      </c>
      <c r="J367" s="27" t="e">
        <f>VLOOKUP($B367,三大法人買賣超!$A$4:$I$500,9,FALSE)</f>
        <v>#N/A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 t="e">
        <f>VLOOKUP($B367,外資期貨未平倉口數!$A$4:$M$499,4,FALSE)</f>
        <v>#N/A</v>
      </c>
      <c r="O367" s="27" t="e">
        <f>VLOOKUP($B367,外資期貨未平倉口數!$A$4:$M$499,9,FALSE)</f>
        <v>#N/A</v>
      </c>
      <c r="P367" s="27" t="e">
        <f>VLOOKUP($B367,外資期貨未平倉口數!$A$4:$M$499,10,FALSE)</f>
        <v>#N/A</v>
      </c>
      <c r="Q367" s="27" t="e">
        <f>VLOOKUP($B367,外資期貨未平倉口數!$A$4:$M$499,11,FALSE)</f>
        <v>#N/A</v>
      </c>
      <c r="R367" s="64" t="e">
        <f>VLOOKUP($B367,選擇權未平倉餘額!$A$4:$I$500,6,FALSE)</f>
        <v>#N/A</v>
      </c>
      <c r="S367" s="64" t="e">
        <f>VLOOKUP($B367,選擇權未平倉餘額!$A$4:$I$500,7,FALSE)</f>
        <v>#N/A</v>
      </c>
      <c r="T367" s="64" t="e">
        <f>VLOOKUP($B367,選擇權未平倉餘額!$A$4:$I$500,8,FALSE)</f>
        <v>#N/A</v>
      </c>
      <c r="U367" s="64" t="e">
        <f>VLOOKUP($B367,選擇權未平倉餘額!$A$4:$I$500,9,FALSE)</f>
        <v>#N/A</v>
      </c>
      <c r="V367" s="39" t="e">
        <f>VLOOKUP($B367,臺指選擇權P_C_Ratios!$A$4:$C$500,3,FALSE)</f>
        <v>#N/A</v>
      </c>
      <c r="W367" s="41" t="e">
        <f>VLOOKUP($B367,散戶多空比!$A$6:$L$500,12,FALSE)</f>
        <v>#N/A</v>
      </c>
      <c r="X367" s="40" t="e">
        <f>VLOOKUP($B367,期貨大額交易人未沖銷部位!$A$4:$O$499,4,FALSE)</f>
        <v>#N/A</v>
      </c>
      <c r="Y367" s="40" t="e">
        <f>VLOOKUP($B367,期貨大額交易人未沖銷部位!$A$4:$O$499,7,FALSE)</f>
        <v>#N/A</v>
      </c>
      <c r="Z367" s="40" t="e">
        <f>VLOOKUP($B367,期貨大額交易人未沖銷部位!$A$4:$O$499,10,FALSE)</f>
        <v>#N/A</v>
      </c>
      <c r="AA367" s="40" t="e">
        <f>VLOOKUP($B367,期貨大額交易人未沖銷部位!$A$4:$O$499,13,FALSE)</f>
        <v>#N/A</v>
      </c>
      <c r="AB367" s="40" t="e">
        <f>VLOOKUP($B367,期貨大額交易人未沖銷部位!$A$4:$O$499,14,FALSE)</f>
        <v>#N/A</v>
      </c>
      <c r="AC367" s="40" t="e">
        <f>VLOOKUP($B367,期貨大額交易人未沖銷部位!$A$4:$O$499,15,FALSE)</f>
        <v>#N/A</v>
      </c>
      <c r="AD367" s="33" t="e">
        <f>VLOOKUP($B367,三大美股走勢!$A$4:$J$495,4,FALSE)</f>
        <v>#N/A</v>
      </c>
      <c r="AE367" s="33" t="e">
        <f>VLOOKUP($B367,三大美股走勢!$A$4:$J$495,7,FALSE)</f>
        <v>#N/A</v>
      </c>
      <c r="AF367" s="33" t="e">
        <f>VLOOKUP($B367,三大美股走勢!$A$4:$J$495,10,FALSE)</f>
        <v>#N/A</v>
      </c>
    </row>
    <row r="368" spans="2:32">
      <c r="B368" s="32">
        <v>43147</v>
      </c>
      <c r="C368" s="33" t="e">
        <f>VLOOKUP($B368,大盤與近月台指!$A$4:$I$499,2,FALSE)</f>
        <v>#N/A</v>
      </c>
      <c r="D368" s="34" t="e">
        <f>VLOOKUP($B368,大盤與近月台指!$A$4:$I$499,3,FALSE)</f>
        <v>#N/A</v>
      </c>
      <c r="E368" s="35" t="e">
        <f>VLOOKUP($B368,大盤與近月台指!$A$4:$I$499,4,FALSE)</f>
        <v>#N/A</v>
      </c>
      <c r="F368" s="33" t="e">
        <f>VLOOKUP($B368,大盤與近月台指!$A$4:$I$499,5,FALSE)</f>
        <v>#N/A</v>
      </c>
      <c r="G368" s="49" t="e">
        <f>VLOOKUP($B368,三大法人買賣超!$A$4:$I$500,3,FALSE)</f>
        <v>#N/A</v>
      </c>
      <c r="H368" s="34" t="e">
        <f>VLOOKUP($B368,三大法人買賣超!$A$4:$I$500,5,FALSE)</f>
        <v>#N/A</v>
      </c>
      <c r="I368" s="27" t="e">
        <f>VLOOKUP($B368,三大法人買賣超!$A$4:$I$500,7,FALSE)</f>
        <v>#N/A</v>
      </c>
      <c r="J368" s="27" t="e">
        <f>VLOOKUP($B368,三大法人買賣超!$A$4:$I$500,9,FALSE)</f>
        <v>#N/A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 t="e">
        <f>VLOOKUP($B368,外資期貨未平倉口數!$A$4:$M$499,4,FALSE)</f>
        <v>#N/A</v>
      </c>
      <c r="O368" s="27" t="e">
        <f>VLOOKUP($B368,外資期貨未平倉口數!$A$4:$M$499,9,FALSE)</f>
        <v>#N/A</v>
      </c>
      <c r="P368" s="27" t="e">
        <f>VLOOKUP($B368,外資期貨未平倉口數!$A$4:$M$499,10,FALSE)</f>
        <v>#N/A</v>
      </c>
      <c r="Q368" s="27" t="e">
        <f>VLOOKUP($B368,外資期貨未平倉口數!$A$4:$M$499,11,FALSE)</f>
        <v>#N/A</v>
      </c>
      <c r="R368" s="64" t="e">
        <f>VLOOKUP($B368,選擇權未平倉餘額!$A$4:$I$500,6,FALSE)</f>
        <v>#N/A</v>
      </c>
      <c r="S368" s="64" t="e">
        <f>VLOOKUP($B368,選擇權未平倉餘額!$A$4:$I$500,7,FALSE)</f>
        <v>#N/A</v>
      </c>
      <c r="T368" s="64" t="e">
        <f>VLOOKUP($B368,選擇權未平倉餘額!$A$4:$I$500,8,FALSE)</f>
        <v>#N/A</v>
      </c>
      <c r="U368" s="64" t="e">
        <f>VLOOKUP($B368,選擇權未平倉餘額!$A$4:$I$500,9,FALSE)</f>
        <v>#N/A</v>
      </c>
      <c r="V368" s="39" t="e">
        <f>VLOOKUP($B368,臺指選擇權P_C_Ratios!$A$4:$C$500,3,FALSE)</f>
        <v>#N/A</v>
      </c>
      <c r="W368" s="41" t="e">
        <f>VLOOKUP($B368,散戶多空比!$A$6:$L$500,12,FALSE)</f>
        <v>#N/A</v>
      </c>
      <c r="X368" s="40" t="e">
        <f>VLOOKUP($B368,期貨大額交易人未沖銷部位!$A$4:$O$499,4,FALSE)</f>
        <v>#N/A</v>
      </c>
      <c r="Y368" s="40" t="e">
        <f>VLOOKUP($B368,期貨大額交易人未沖銷部位!$A$4:$O$499,7,FALSE)</f>
        <v>#N/A</v>
      </c>
      <c r="Z368" s="40" t="e">
        <f>VLOOKUP($B368,期貨大額交易人未沖銷部位!$A$4:$O$499,10,FALSE)</f>
        <v>#N/A</v>
      </c>
      <c r="AA368" s="40" t="e">
        <f>VLOOKUP($B368,期貨大額交易人未沖銷部位!$A$4:$O$499,13,FALSE)</f>
        <v>#N/A</v>
      </c>
      <c r="AB368" s="40" t="e">
        <f>VLOOKUP($B368,期貨大額交易人未沖銷部位!$A$4:$O$499,14,FALSE)</f>
        <v>#N/A</v>
      </c>
      <c r="AC368" s="40" t="e">
        <f>VLOOKUP($B368,期貨大額交易人未沖銷部位!$A$4:$O$499,15,FALSE)</f>
        <v>#N/A</v>
      </c>
      <c r="AD368" s="33" t="e">
        <f>VLOOKUP($B368,三大美股走勢!$A$4:$J$495,4,FALSE)</f>
        <v>#N/A</v>
      </c>
      <c r="AE368" s="33" t="e">
        <f>VLOOKUP($B368,三大美股走勢!$A$4:$J$495,7,FALSE)</f>
        <v>#N/A</v>
      </c>
      <c r="AF368" s="33" t="e">
        <f>VLOOKUP($B368,三大美股走勢!$A$4:$J$495,10,FALSE)</f>
        <v>#N/A</v>
      </c>
    </row>
    <row r="369" spans="2:32">
      <c r="B369" s="32">
        <v>43148</v>
      </c>
      <c r="C369" s="33" t="e">
        <f>VLOOKUP($B369,大盤與近月台指!$A$4:$I$499,2,FALSE)</f>
        <v>#N/A</v>
      </c>
      <c r="D369" s="34" t="e">
        <f>VLOOKUP($B369,大盤與近月台指!$A$4:$I$499,3,FALSE)</f>
        <v>#N/A</v>
      </c>
      <c r="E369" s="35" t="e">
        <f>VLOOKUP($B369,大盤與近月台指!$A$4:$I$499,4,FALSE)</f>
        <v>#N/A</v>
      </c>
      <c r="F369" s="33" t="e">
        <f>VLOOKUP($B369,大盤與近月台指!$A$4:$I$499,5,FALSE)</f>
        <v>#N/A</v>
      </c>
      <c r="G369" s="49" t="e">
        <f>VLOOKUP($B369,三大法人買賣超!$A$4:$I$500,3,FALSE)</f>
        <v>#N/A</v>
      </c>
      <c r="H369" s="34" t="e">
        <f>VLOOKUP($B369,三大法人買賣超!$A$4:$I$500,5,FALSE)</f>
        <v>#N/A</v>
      </c>
      <c r="I369" s="27" t="e">
        <f>VLOOKUP($B369,三大法人買賣超!$A$4:$I$500,7,FALSE)</f>
        <v>#N/A</v>
      </c>
      <c r="J369" s="27" t="e">
        <f>VLOOKUP($B369,三大法人買賣超!$A$4:$I$500,9,FALSE)</f>
        <v>#N/A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 t="e">
        <f>VLOOKUP($B369,外資期貨未平倉口數!$A$4:$M$499,4,FALSE)</f>
        <v>#N/A</v>
      </c>
      <c r="O369" s="27" t="e">
        <f>VLOOKUP($B369,外資期貨未平倉口數!$A$4:$M$499,9,FALSE)</f>
        <v>#N/A</v>
      </c>
      <c r="P369" s="27" t="e">
        <f>VLOOKUP($B369,外資期貨未平倉口數!$A$4:$M$499,10,FALSE)</f>
        <v>#N/A</v>
      </c>
      <c r="Q369" s="27" t="e">
        <f>VLOOKUP($B369,外資期貨未平倉口數!$A$4:$M$499,11,FALSE)</f>
        <v>#N/A</v>
      </c>
      <c r="R369" s="64" t="e">
        <f>VLOOKUP($B369,選擇權未平倉餘額!$A$4:$I$500,6,FALSE)</f>
        <v>#N/A</v>
      </c>
      <c r="S369" s="64" t="e">
        <f>VLOOKUP($B369,選擇權未平倉餘額!$A$4:$I$500,7,FALSE)</f>
        <v>#N/A</v>
      </c>
      <c r="T369" s="64" t="e">
        <f>VLOOKUP($B369,選擇權未平倉餘額!$A$4:$I$500,8,FALSE)</f>
        <v>#N/A</v>
      </c>
      <c r="U369" s="64" t="e">
        <f>VLOOKUP($B369,選擇權未平倉餘額!$A$4:$I$500,9,FALSE)</f>
        <v>#N/A</v>
      </c>
      <c r="V369" s="39" t="e">
        <f>VLOOKUP($B369,臺指選擇權P_C_Ratios!$A$4:$C$500,3,FALSE)</f>
        <v>#N/A</v>
      </c>
      <c r="W369" s="41" t="e">
        <f>VLOOKUP($B369,散戶多空比!$A$6:$L$500,12,FALSE)</f>
        <v>#N/A</v>
      </c>
      <c r="X369" s="40" t="e">
        <f>VLOOKUP($B369,期貨大額交易人未沖銷部位!$A$4:$O$499,4,FALSE)</f>
        <v>#N/A</v>
      </c>
      <c r="Y369" s="40" t="e">
        <f>VLOOKUP($B369,期貨大額交易人未沖銷部位!$A$4:$O$499,7,FALSE)</f>
        <v>#N/A</v>
      </c>
      <c r="Z369" s="40" t="e">
        <f>VLOOKUP($B369,期貨大額交易人未沖銷部位!$A$4:$O$499,10,FALSE)</f>
        <v>#N/A</v>
      </c>
      <c r="AA369" s="40" t="e">
        <f>VLOOKUP($B369,期貨大額交易人未沖銷部位!$A$4:$O$499,13,FALSE)</f>
        <v>#N/A</v>
      </c>
      <c r="AB369" s="40" t="e">
        <f>VLOOKUP($B369,期貨大額交易人未沖銷部位!$A$4:$O$499,14,FALSE)</f>
        <v>#N/A</v>
      </c>
      <c r="AC369" s="40" t="e">
        <f>VLOOKUP($B369,期貨大額交易人未沖銷部位!$A$4:$O$499,15,FALSE)</f>
        <v>#N/A</v>
      </c>
      <c r="AD369" s="33" t="e">
        <f>VLOOKUP($B369,三大美股走勢!$A$4:$J$495,4,FALSE)</f>
        <v>#N/A</v>
      </c>
      <c r="AE369" s="33" t="e">
        <f>VLOOKUP($B369,三大美股走勢!$A$4:$J$495,7,FALSE)</f>
        <v>#N/A</v>
      </c>
      <c r="AF369" s="33" t="e">
        <f>VLOOKUP($B369,三大美股走勢!$A$4:$J$495,10,FALSE)</f>
        <v>#N/A</v>
      </c>
    </row>
    <row r="370" spans="2:32">
      <c r="B370" s="32">
        <v>43149</v>
      </c>
      <c r="C370" s="33" t="e">
        <f>VLOOKUP($B370,大盤與近月台指!$A$4:$I$499,2,FALSE)</f>
        <v>#N/A</v>
      </c>
      <c r="D370" s="34" t="e">
        <f>VLOOKUP($B370,大盤與近月台指!$A$4:$I$499,3,FALSE)</f>
        <v>#N/A</v>
      </c>
      <c r="E370" s="35" t="e">
        <f>VLOOKUP($B370,大盤與近月台指!$A$4:$I$499,4,FALSE)</f>
        <v>#N/A</v>
      </c>
      <c r="F370" s="33" t="e">
        <f>VLOOKUP($B370,大盤與近月台指!$A$4:$I$499,5,FALSE)</f>
        <v>#N/A</v>
      </c>
      <c r="G370" s="49" t="e">
        <f>VLOOKUP($B370,三大法人買賣超!$A$4:$I$500,3,FALSE)</f>
        <v>#N/A</v>
      </c>
      <c r="H370" s="34" t="e">
        <f>VLOOKUP($B370,三大法人買賣超!$A$4:$I$500,5,FALSE)</f>
        <v>#N/A</v>
      </c>
      <c r="I370" s="27" t="e">
        <f>VLOOKUP($B370,三大法人買賣超!$A$4:$I$500,7,FALSE)</f>
        <v>#N/A</v>
      </c>
      <c r="J370" s="27" t="e">
        <f>VLOOKUP($B370,三大法人買賣超!$A$4:$I$500,9,FALSE)</f>
        <v>#N/A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 t="e">
        <f>VLOOKUP($B370,外資期貨未平倉口數!$A$4:$M$499,4,FALSE)</f>
        <v>#N/A</v>
      </c>
      <c r="O370" s="27" t="e">
        <f>VLOOKUP($B370,外資期貨未平倉口數!$A$4:$M$499,9,FALSE)</f>
        <v>#N/A</v>
      </c>
      <c r="P370" s="27" t="e">
        <f>VLOOKUP($B370,外資期貨未平倉口數!$A$4:$M$499,10,FALSE)</f>
        <v>#N/A</v>
      </c>
      <c r="Q370" s="27" t="e">
        <f>VLOOKUP($B370,外資期貨未平倉口數!$A$4:$M$499,11,FALSE)</f>
        <v>#N/A</v>
      </c>
      <c r="R370" s="64" t="e">
        <f>VLOOKUP($B370,選擇權未平倉餘額!$A$4:$I$500,6,FALSE)</f>
        <v>#N/A</v>
      </c>
      <c r="S370" s="64" t="e">
        <f>VLOOKUP($B370,選擇權未平倉餘額!$A$4:$I$500,7,FALSE)</f>
        <v>#N/A</v>
      </c>
      <c r="T370" s="64" t="e">
        <f>VLOOKUP($B370,選擇權未平倉餘額!$A$4:$I$500,8,FALSE)</f>
        <v>#N/A</v>
      </c>
      <c r="U370" s="64" t="e">
        <f>VLOOKUP($B370,選擇權未平倉餘額!$A$4:$I$500,9,FALSE)</f>
        <v>#N/A</v>
      </c>
      <c r="V370" s="39" t="e">
        <f>VLOOKUP($B370,臺指選擇權P_C_Ratios!$A$4:$C$500,3,FALSE)</f>
        <v>#N/A</v>
      </c>
      <c r="W370" s="41" t="e">
        <f>VLOOKUP($B370,散戶多空比!$A$6:$L$500,12,FALSE)</f>
        <v>#N/A</v>
      </c>
      <c r="X370" s="40" t="e">
        <f>VLOOKUP($B370,期貨大額交易人未沖銷部位!$A$4:$O$499,4,FALSE)</f>
        <v>#N/A</v>
      </c>
      <c r="Y370" s="40" t="e">
        <f>VLOOKUP($B370,期貨大額交易人未沖銷部位!$A$4:$O$499,7,FALSE)</f>
        <v>#N/A</v>
      </c>
      <c r="Z370" s="40" t="e">
        <f>VLOOKUP($B370,期貨大額交易人未沖銷部位!$A$4:$O$499,10,FALSE)</f>
        <v>#N/A</v>
      </c>
      <c r="AA370" s="40" t="e">
        <f>VLOOKUP($B370,期貨大額交易人未沖銷部位!$A$4:$O$499,13,FALSE)</f>
        <v>#N/A</v>
      </c>
      <c r="AB370" s="40" t="e">
        <f>VLOOKUP($B370,期貨大額交易人未沖銷部位!$A$4:$O$499,14,FALSE)</f>
        <v>#N/A</v>
      </c>
      <c r="AC370" s="40" t="e">
        <f>VLOOKUP($B370,期貨大額交易人未沖銷部位!$A$4:$O$499,15,FALSE)</f>
        <v>#N/A</v>
      </c>
      <c r="AD370" s="33" t="e">
        <f>VLOOKUP($B370,三大美股走勢!$A$4:$J$495,4,FALSE)</f>
        <v>#N/A</v>
      </c>
      <c r="AE370" s="33" t="e">
        <f>VLOOKUP($B370,三大美股走勢!$A$4:$J$495,7,FALSE)</f>
        <v>#N/A</v>
      </c>
      <c r="AF370" s="33" t="e">
        <f>VLOOKUP($B370,三大美股走勢!$A$4:$J$495,10,FALSE)</f>
        <v>#N/A</v>
      </c>
    </row>
    <row r="371" spans="2:32">
      <c r="B371" s="32">
        <v>43150</v>
      </c>
      <c r="C371" s="33" t="e">
        <f>VLOOKUP($B371,大盤與近月台指!$A$4:$I$499,2,FALSE)</f>
        <v>#N/A</v>
      </c>
      <c r="D371" s="34" t="e">
        <f>VLOOKUP($B371,大盤與近月台指!$A$4:$I$499,3,FALSE)</f>
        <v>#N/A</v>
      </c>
      <c r="E371" s="35" t="e">
        <f>VLOOKUP($B371,大盤與近月台指!$A$4:$I$499,4,FALSE)</f>
        <v>#N/A</v>
      </c>
      <c r="F371" s="33" t="e">
        <f>VLOOKUP($B371,大盤與近月台指!$A$4:$I$499,5,FALSE)</f>
        <v>#N/A</v>
      </c>
      <c r="G371" s="49" t="e">
        <f>VLOOKUP($B371,三大法人買賣超!$A$4:$I$500,3,FALSE)</f>
        <v>#N/A</v>
      </c>
      <c r="H371" s="34" t="e">
        <f>VLOOKUP($B371,三大法人買賣超!$A$4:$I$500,5,FALSE)</f>
        <v>#N/A</v>
      </c>
      <c r="I371" s="27" t="e">
        <f>VLOOKUP($B371,三大法人買賣超!$A$4:$I$500,7,FALSE)</f>
        <v>#N/A</v>
      </c>
      <c r="J371" s="27" t="e">
        <f>VLOOKUP($B371,三大法人買賣超!$A$4:$I$500,9,FALSE)</f>
        <v>#N/A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 t="e">
        <f>VLOOKUP($B371,外資期貨未平倉口數!$A$4:$M$499,4,FALSE)</f>
        <v>#N/A</v>
      </c>
      <c r="O371" s="27" t="e">
        <f>VLOOKUP($B371,外資期貨未平倉口數!$A$4:$M$499,9,FALSE)</f>
        <v>#N/A</v>
      </c>
      <c r="P371" s="27" t="e">
        <f>VLOOKUP($B371,外資期貨未平倉口數!$A$4:$M$499,10,FALSE)</f>
        <v>#N/A</v>
      </c>
      <c r="Q371" s="27" t="e">
        <f>VLOOKUP($B371,外資期貨未平倉口數!$A$4:$M$499,11,FALSE)</f>
        <v>#N/A</v>
      </c>
      <c r="R371" s="64" t="e">
        <f>VLOOKUP($B371,選擇權未平倉餘額!$A$4:$I$500,6,FALSE)</f>
        <v>#N/A</v>
      </c>
      <c r="S371" s="64" t="e">
        <f>VLOOKUP($B371,選擇權未平倉餘額!$A$4:$I$500,7,FALSE)</f>
        <v>#N/A</v>
      </c>
      <c r="T371" s="64" t="e">
        <f>VLOOKUP($B371,選擇權未平倉餘額!$A$4:$I$500,8,FALSE)</f>
        <v>#N/A</v>
      </c>
      <c r="U371" s="64" t="e">
        <f>VLOOKUP($B371,選擇權未平倉餘額!$A$4:$I$500,9,FALSE)</f>
        <v>#N/A</v>
      </c>
      <c r="V371" s="39" t="e">
        <f>VLOOKUP($B371,臺指選擇權P_C_Ratios!$A$4:$C$500,3,FALSE)</f>
        <v>#N/A</v>
      </c>
      <c r="W371" s="41" t="e">
        <f>VLOOKUP($B371,散戶多空比!$A$6:$L$500,12,FALSE)</f>
        <v>#N/A</v>
      </c>
      <c r="X371" s="40" t="e">
        <f>VLOOKUP($B371,期貨大額交易人未沖銷部位!$A$4:$O$499,4,FALSE)</f>
        <v>#N/A</v>
      </c>
      <c r="Y371" s="40" t="e">
        <f>VLOOKUP($B371,期貨大額交易人未沖銷部位!$A$4:$O$499,7,FALSE)</f>
        <v>#N/A</v>
      </c>
      <c r="Z371" s="40" t="e">
        <f>VLOOKUP($B371,期貨大額交易人未沖銷部位!$A$4:$O$499,10,FALSE)</f>
        <v>#N/A</v>
      </c>
      <c r="AA371" s="40" t="e">
        <f>VLOOKUP($B371,期貨大額交易人未沖銷部位!$A$4:$O$499,13,FALSE)</f>
        <v>#N/A</v>
      </c>
      <c r="AB371" s="40" t="e">
        <f>VLOOKUP($B371,期貨大額交易人未沖銷部位!$A$4:$O$499,14,FALSE)</f>
        <v>#N/A</v>
      </c>
      <c r="AC371" s="40" t="e">
        <f>VLOOKUP($B371,期貨大額交易人未沖銷部位!$A$4:$O$499,15,FALSE)</f>
        <v>#N/A</v>
      </c>
      <c r="AD371" s="33" t="e">
        <f>VLOOKUP($B371,三大美股走勢!$A$4:$J$495,4,FALSE)</f>
        <v>#N/A</v>
      </c>
      <c r="AE371" s="33" t="e">
        <f>VLOOKUP($B371,三大美股走勢!$A$4:$J$495,7,FALSE)</f>
        <v>#N/A</v>
      </c>
      <c r="AF371" s="33" t="e">
        <f>VLOOKUP($B371,三大美股走勢!$A$4:$J$495,10,FALSE)</f>
        <v>#N/A</v>
      </c>
    </row>
    <row r="372" spans="2:32">
      <c r="B372" s="32">
        <v>43151</v>
      </c>
      <c r="C372" s="33" t="e">
        <f>VLOOKUP($B372,大盤與近月台指!$A$4:$I$499,2,FALSE)</f>
        <v>#N/A</v>
      </c>
      <c r="D372" s="34" t="e">
        <f>VLOOKUP($B372,大盤與近月台指!$A$4:$I$499,3,FALSE)</f>
        <v>#N/A</v>
      </c>
      <c r="E372" s="35" t="e">
        <f>VLOOKUP($B372,大盤與近月台指!$A$4:$I$499,4,FALSE)</f>
        <v>#N/A</v>
      </c>
      <c r="F372" s="33" t="e">
        <f>VLOOKUP($B372,大盤與近月台指!$A$4:$I$499,5,FALSE)</f>
        <v>#N/A</v>
      </c>
      <c r="G372" s="49" t="e">
        <f>VLOOKUP($B372,三大法人買賣超!$A$4:$I$500,3,FALSE)</f>
        <v>#N/A</v>
      </c>
      <c r="H372" s="34" t="e">
        <f>VLOOKUP($B372,三大法人買賣超!$A$4:$I$500,5,FALSE)</f>
        <v>#N/A</v>
      </c>
      <c r="I372" s="27" t="e">
        <f>VLOOKUP($B372,三大法人買賣超!$A$4:$I$500,7,FALSE)</f>
        <v>#N/A</v>
      </c>
      <c r="J372" s="27" t="e">
        <f>VLOOKUP($B372,三大法人買賣超!$A$4:$I$500,9,FALSE)</f>
        <v>#N/A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0</v>
      </c>
      <c r="N372" s="27" t="e">
        <f>VLOOKUP($B372,外資期貨未平倉口數!$A$4:$M$499,4,FALSE)</f>
        <v>#N/A</v>
      </c>
      <c r="O372" s="27" t="e">
        <f>VLOOKUP($B372,外資期貨未平倉口數!$A$4:$M$499,9,FALSE)</f>
        <v>#N/A</v>
      </c>
      <c r="P372" s="27" t="e">
        <f>VLOOKUP($B372,外資期貨未平倉口數!$A$4:$M$499,10,FALSE)</f>
        <v>#N/A</v>
      </c>
      <c r="Q372" s="27" t="e">
        <f>VLOOKUP($B372,外資期貨未平倉口數!$A$4:$M$499,11,FALSE)</f>
        <v>#N/A</v>
      </c>
      <c r="R372" s="64" t="e">
        <f>VLOOKUP($B372,選擇權未平倉餘額!$A$4:$I$500,6,FALSE)</f>
        <v>#N/A</v>
      </c>
      <c r="S372" s="64" t="e">
        <f>VLOOKUP($B372,選擇權未平倉餘額!$A$4:$I$500,7,FALSE)</f>
        <v>#N/A</v>
      </c>
      <c r="T372" s="64" t="e">
        <f>VLOOKUP($B372,選擇權未平倉餘額!$A$4:$I$500,8,FALSE)</f>
        <v>#N/A</v>
      </c>
      <c r="U372" s="64" t="e">
        <f>VLOOKUP($B372,選擇權未平倉餘額!$A$4:$I$500,9,FALSE)</f>
        <v>#N/A</v>
      </c>
      <c r="V372" s="39" t="e">
        <f>VLOOKUP($B372,臺指選擇權P_C_Ratios!$A$4:$C$500,3,FALSE)</f>
        <v>#N/A</v>
      </c>
      <c r="W372" s="41" t="e">
        <f>VLOOKUP($B372,散戶多空比!$A$6:$L$500,12,FALSE)</f>
        <v>#N/A</v>
      </c>
      <c r="X372" s="40" t="e">
        <f>VLOOKUP($B372,期貨大額交易人未沖銷部位!$A$4:$O$499,4,FALSE)</f>
        <v>#N/A</v>
      </c>
      <c r="Y372" s="40" t="e">
        <f>VLOOKUP($B372,期貨大額交易人未沖銷部位!$A$4:$O$499,7,FALSE)</f>
        <v>#N/A</v>
      </c>
      <c r="Z372" s="40" t="e">
        <f>VLOOKUP($B372,期貨大額交易人未沖銷部位!$A$4:$O$499,10,FALSE)</f>
        <v>#N/A</v>
      </c>
      <c r="AA372" s="40" t="e">
        <f>VLOOKUP($B372,期貨大額交易人未沖銷部位!$A$4:$O$499,13,FALSE)</f>
        <v>#N/A</v>
      </c>
      <c r="AB372" s="40" t="e">
        <f>VLOOKUP($B372,期貨大額交易人未沖銷部位!$A$4:$O$499,14,FALSE)</f>
        <v>#N/A</v>
      </c>
      <c r="AC372" s="40" t="e">
        <f>VLOOKUP($B372,期貨大額交易人未沖銷部位!$A$4:$O$499,15,FALSE)</f>
        <v>#N/A</v>
      </c>
      <c r="AD372" s="33" t="e">
        <f>VLOOKUP($B372,三大美股走勢!$A$4:$J$495,4,FALSE)</f>
        <v>#N/A</v>
      </c>
      <c r="AE372" s="33" t="e">
        <f>VLOOKUP($B372,三大美股走勢!$A$4:$J$495,7,FALSE)</f>
        <v>#N/A</v>
      </c>
      <c r="AF372" s="33" t="e">
        <f>VLOOKUP($B372,三大美股走勢!$A$4:$J$495,10,FALSE)</f>
        <v>#N/A</v>
      </c>
    </row>
    <row r="373" spans="2:32">
      <c r="B373" s="32">
        <v>43152</v>
      </c>
      <c r="C373" s="33" t="e">
        <f>VLOOKUP($B373,大盤與近月台指!$A$4:$I$499,2,FALSE)</f>
        <v>#N/A</v>
      </c>
      <c r="D373" s="34" t="e">
        <f>VLOOKUP($B373,大盤與近月台指!$A$4:$I$499,3,FALSE)</f>
        <v>#N/A</v>
      </c>
      <c r="E373" s="35" t="e">
        <f>VLOOKUP($B373,大盤與近月台指!$A$4:$I$499,4,FALSE)</f>
        <v>#N/A</v>
      </c>
      <c r="F373" s="33" t="e">
        <f>VLOOKUP($B373,大盤與近月台指!$A$4:$I$499,5,FALSE)</f>
        <v>#N/A</v>
      </c>
      <c r="G373" s="49" t="e">
        <f>VLOOKUP($B373,三大法人買賣超!$A$4:$I$500,3,FALSE)</f>
        <v>#N/A</v>
      </c>
      <c r="H373" s="34" t="e">
        <f>VLOOKUP($B373,三大法人買賣超!$A$4:$I$500,5,FALSE)</f>
        <v>#N/A</v>
      </c>
      <c r="I373" s="27" t="e">
        <f>VLOOKUP($B373,三大法人買賣超!$A$4:$I$500,7,FALSE)</f>
        <v>#N/A</v>
      </c>
      <c r="J373" s="27" t="e">
        <f>VLOOKUP($B373,三大法人買賣超!$A$4:$I$500,9,FALSE)</f>
        <v>#N/A</v>
      </c>
      <c r="K373" s="37">
        <f>新台幣匯率美元指數!B374</f>
        <v>0</v>
      </c>
      <c r="L373" s="38">
        <f>新台幣匯率美元指數!C374</f>
        <v>0</v>
      </c>
      <c r="M373" s="39">
        <f>新台幣匯率美元指數!D374</f>
        <v>0</v>
      </c>
      <c r="N373" s="27" t="e">
        <f>VLOOKUP($B373,外資期貨未平倉口數!$A$4:$M$499,4,FALSE)</f>
        <v>#N/A</v>
      </c>
      <c r="O373" s="27" t="e">
        <f>VLOOKUP($B373,外資期貨未平倉口數!$A$4:$M$499,9,FALSE)</f>
        <v>#N/A</v>
      </c>
      <c r="P373" s="27" t="e">
        <f>VLOOKUP($B373,外資期貨未平倉口數!$A$4:$M$499,10,FALSE)</f>
        <v>#N/A</v>
      </c>
      <c r="Q373" s="27" t="e">
        <f>VLOOKUP($B373,外資期貨未平倉口數!$A$4:$M$499,11,FALSE)</f>
        <v>#N/A</v>
      </c>
      <c r="R373" s="64" t="e">
        <f>VLOOKUP($B373,選擇權未平倉餘額!$A$4:$I$500,6,FALSE)</f>
        <v>#N/A</v>
      </c>
      <c r="S373" s="64" t="e">
        <f>VLOOKUP($B373,選擇權未平倉餘額!$A$4:$I$500,7,FALSE)</f>
        <v>#N/A</v>
      </c>
      <c r="T373" s="64" t="e">
        <f>VLOOKUP($B373,選擇權未平倉餘額!$A$4:$I$500,8,FALSE)</f>
        <v>#N/A</v>
      </c>
      <c r="U373" s="64" t="e">
        <f>VLOOKUP($B373,選擇權未平倉餘額!$A$4:$I$500,9,FALSE)</f>
        <v>#N/A</v>
      </c>
      <c r="V373" s="39" t="e">
        <f>VLOOKUP($B373,臺指選擇權P_C_Ratios!$A$4:$C$500,3,FALSE)</f>
        <v>#N/A</v>
      </c>
      <c r="W373" s="41" t="e">
        <f>VLOOKUP($B373,散戶多空比!$A$6:$L$500,12,FALSE)</f>
        <v>#N/A</v>
      </c>
      <c r="X373" s="40" t="e">
        <f>VLOOKUP($B373,期貨大額交易人未沖銷部位!$A$4:$O$499,4,FALSE)</f>
        <v>#N/A</v>
      </c>
      <c r="Y373" s="40" t="e">
        <f>VLOOKUP($B373,期貨大額交易人未沖銷部位!$A$4:$O$499,7,FALSE)</f>
        <v>#N/A</v>
      </c>
      <c r="Z373" s="40" t="e">
        <f>VLOOKUP($B373,期貨大額交易人未沖銷部位!$A$4:$O$499,10,FALSE)</f>
        <v>#N/A</v>
      </c>
      <c r="AA373" s="40" t="e">
        <f>VLOOKUP($B373,期貨大額交易人未沖銷部位!$A$4:$O$499,13,FALSE)</f>
        <v>#N/A</v>
      </c>
      <c r="AB373" s="40" t="e">
        <f>VLOOKUP($B373,期貨大額交易人未沖銷部位!$A$4:$O$499,14,FALSE)</f>
        <v>#N/A</v>
      </c>
      <c r="AC373" s="40" t="e">
        <f>VLOOKUP($B373,期貨大額交易人未沖銷部位!$A$4:$O$499,15,FALSE)</f>
        <v>#N/A</v>
      </c>
      <c r="AD373" s="33" t="e">
        <f>VLOOKUP($B373,三大美股走勢!$A$4:$J$495,4,FALSE)</f>
        <v>#N/A</v>
      </c>
      <c r="AE373" s="33" t="e">
        <f>VLOOKUP($B373,三大美股走勢!$A$4:$J$495,7,FALSE)</f>
        <v>#N/A</v>
      </c>
      <c r="AF373" s="33" t="e">
        <f>VLOOKUP($B373,三大美股走勢!$A$4:$J$495,10,FALSE)</f>
        <v>#N/A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 t="e">
        <f>VLOOKUP($B374,外資期貨未平倉口數!$A$4:$M$499,4,FALSE)</f>
        <v>#N/A</v>
      </c>
      <c r="O374" s="27" t="e">
        <f>VLOOKUP($B374,外資期貨未平倉口數!$A$4:$M$499,9,FALSE)</f>
        <v>#N/A</v>
      </c>
      <c r="P374" s="27" t="e">
        <f>VLOOKUP($B374,外資期貨未平倉口數!$A$4:$M$499,10,FALSE)</f>
        <v>#N/A</v>
      </c>
      <c r="Q374" s="27" t="e">
        <f>VLOOKUP($B374,外資期貨未平倉口數!$A$4:$M$499,11,FALSE)</f>
        <v>#N/A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VLOOKUP($B375,外資期貨未平倉口數!$A$4:$M$499,4,FALSE)</f>
        <v>#N/A</v>
      </c>
      <c r="O375" s="27" t="e">
        <f>VLOOKUP($B375,外資期貨未平倉口數!$A$4:$M$499,9,FALSE)</f>
        <v>#N/A</v>
      </c>
      <c r="P375" s="27" t="e">
        <f>VLOOKUP($B375,外資期貨未平倉口數!$A$4:$M$499,10,FALSE)</f>
        <v>#N/A</v>
      </c>
      <c r="Q375" s="27" t="e">
        <f>VLOOKUP($B375,外資期貨未平倉口數!$A$4:$M$499,11,FALSE)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VLOOKUP($B376,外資期貨未平倉口數!$A$4:$M$499,4,FALSE)</f>
        <v>#N/A</v>
      </c>
      <c r="O376" s="27" t="e">
        <f>VLOOKUP($B376,外資期貨未平倉口數!$A$4:$M$499,9,FALSE)</f>
        <v>#N/A</v>
      </c>
      <c r="P376" s="27" t="e">
        <f>VLOOKUP($B376,外資期貨未平倉口數!$A$4:$M$499,10,FALSE)</f>
        <v>#N/A</v>
      </c>
      <c r="Q376" s="27" t="e">
        <f>VLOOKUP($B376,外資期貨未平倉口數!$A$4:$M$499,11,FALSE)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VLOOKUP($B377,外資期貨未平倉口數!$A$4:$M$499,4,FALSE)</f>
        <v>#N/A</v>
      </c>
      <c r="O377" s="27" t="e">
        <f>VLOOKUP($B377,外資期貨未平倉口數!$A$4:$M$499,9,FALSE)</f>
        <v>#N/A</v>
      </c>
      <c r="P377" s="27" t="e">
        <f>VLOOKUP($B377,外資期貨未平倉口數!$A$4:$M$499,10,FALSE)</f>
        <v>#N/A</v>
      </c>
      <c r="Q377" s="27" t="e">
        <f>VLOOKUP($B377,外資期貨未平倉口數!$A$4:$M$499,11,FALSE)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VLOOKUP($B378,外資期貨未平倉口數!$A$4:$M$499,4,FALSE)</f>
        <v>#N/A</v>
      </c>
      <c r="O378" s="27" t="e">
        <f>VLOOKUP($B378,外資期貨未平倉口數!$A$4:$M$499,9,FALSE)</f>
        <v>#N/A</v>
      </c>
      <c r="P378" s="27" t="e">
        <f>VLOOKUP($B378,外資期貨未平倉口數!$A$4:$M$499,10,FALSE)</f>
        <v>#N/A</v>
      </c>
      <c r="Q378" s="27" t="e">
        <f>VLOOKUP($B378,外資期貨未平倉口數!$A$4:$M$499,11,FALSE)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VLOOKUP($B379,外資期貨未平倉口數!$A$4:$M$499,4,FALSE)</f>
        <v>#N/A</v>
      </c>
      <c r="O379" s="27" t="e">
        <f>VLOOKUP($B379,外資期貨未平倉口數!$A$4:$M$499,9,FALSE)</f>
        <v>#N/A</v>
      </c>
      <c r="P379" s="27" t="e">
        <f>VLOOKUP($B379,外資期貨未平倉口數!$A$4:$M$499,10,FALSE)</f>
        <v>#N/A</v>
      </c>
      <c r="Q379" s="27" t="e">
        <f>VLOOKUP($B379,外資期貨未平倉口數!$A$4:$M$499,11,FALSE)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55"/>
  <sheetViews>
    <sheetView zoomScaleNormal="100" workbookViewId="0">
      <pane ySplit="3" topLeftCell="A347" activePane="bottomLeft" state="frozen"/>
      <selection pane="bottomLeft" activeCell="L353" sqref="L353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1" t="s">
        <v>40</v>
      </c>
      <c r="B2" s="122" t="s">
        <v>44</v>
      </c>
      <c r="C2" s="123"/>
      <c r="D2" s="123"/>
      <c r="E2" s="123"/>
      <c r="F2" s="123"/>
      <c r="G2" s="123"/>
      <c r="H2" s="123"/>
      <c r="I2" s="123"/>
    </row>
    <row r="3" spans="1:9">
      <c r="A3" s="121"/>
      <c r="B3" s="124" t="s">
        <v>41</v>
      </c>
      <c r="C3" s="121"/>
      <c r="D3" s="121"/>
      <c r="E3" s="121"/>
      <c r="F3" s="121"/>
      <c r="G3" s="121"/>
      <c r="H3" s="121"/>
      <c r="I3" s="121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230</v>
      </c>
      <c r="F332" s="72">
        <v>10774</v>
      </c>
      <c r="G332" s="21">
        <v>-36</v>
      </c>
      <c r="H332" s="44">
        <v>-3.3E-3</v>
      </c>
      <c r="I332" s="42" t="s">
        <v>231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232</v>
      </c>
      <c r="F333" s="72">
        <v>10792</v>
      </c>
      <c r="G333" s="21">
        <v>-7</v>
      </c>
      <c r="H333" s="44">
        <v>-5.9999999999999995E-4</v>
      </c>
      <c r="I333" s="42" t="s">
        <v>233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234</v>
      </c>
      <c r="F334" s="72">
        <v>10916</v>
      </c>
      <c r="G334" s="21">
        <v>40</v>
      </c>
      <c r="H334" s="44">
        <v>3.7000000000000002E-3</v>
      </c>
      <c r="I334" s="42" t="s">
        <v>235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236</v>
      </c>
      <c r="F337" s="72">
        <v>10943</v>
      </c>
      <c r="G337" s="21">
        <v>-13</v>
      </c>
      <c r="H337" s="44">
        <v>-1.1999999999999999E-3</v>
      </c>
      <c r="I337" s="42" t="s">
        <v>237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238</v>
      </c>
      <c r="F338" s="72">
        <v>11010</v>
      </c>
      <c r="G338" s="21">
        <v>27</v>
      </c>
      <c r="H338" s="44">
        <v>2.5000000000000001E-3</v>
      </c>
      <c r="I338" s="42" t="s">
        <v>239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240</v>
      </c>
      <c r="F339" s="72">
        <v>11008</v>
      </c>
      <c r="G339" s="21">
        <v>19</v>
      </c>
      <c r="H339" s="44">
        <v>1.6999999999999999E-3</v>
      </c>
      <c r="I339" s="42" t="s">
        <v>241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243</v>
      </c>
      <c r="F340" s="72">
        <v>11068</v>
      </c>
      <c r="G340" s="21">
        <v>10</v>
      </c>
      <c r="H340" s="44">
        <v>8.9999999999999998E-4</v>
      </c>
      <c r="I340" s="42" t="s">
        <v>244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245</v>
      </c>
      <c r="F341" s="72">
        <v>11180</v>
      </c>
      <c r="G341" s="21">
        <v>42</v>
      </c>
      <c r="H341" s="44">
        <v>3.8E-3</v>
      </c>
      <c r="I341" s="42" t="s">
        <v>246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256</v>
      </c>
      <c r="F344" s="72">
        <v>11201</v>
      </c>
      <c r="G344" s="21">
        <v>-21</v>
      </c>
      <c r="H344" s="44">
        <v>-1.9E-3</v>
      </c>
      <c r="I344" s="42" t="s">
        <v>257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264</v>
      </c>
      <c r="F345" s="72">
        <v>11204</v>
      </c>
      <c r="G345" s="21">
        <v>-21</v>
      </c>
      <c r="H345" s="44">
        <v>-1.9E-3</v>
      </c>
      <c r="I345" s="42" t="s">
        <v>265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266</v>
      </c>
      <c r="F346" s="72">
        <v>11140</v>
      </c>
      <c r="G346" s="21">
        <v>15</v>
      </c>
      <c r="H346" s="44">
        <v>1.2999999999999999E-3</v>
      </c>
      <c r="I346" s="42" t="s">
        <v>267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268</v>
      </c>
      <c r="F347" s="72">
        <v>11164</v>
      </c>
      <c r="G347" s="21">
        <v>15</v>
      </c>
      <c r="H347" s="44">
        <v>1.2999999999999999E-3</v>
      </c>
      <c r="I347" s="42" t="s">
        <v>269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270</v>
      </c>
      <c r="F348" s="72">
        <v>11151</v>
      </c>
      <c r="G348" s="21">
        <v>7</v>
      </c>
      <c r="H348" s="44">
        <v>5.9999999999999995E-4</v>
      </c>
      <c r="I348" s="42" t="s">
        <v>271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338</v>
      </c>
      <c r="F351" s="72">
        <v>11173</v>
      </c>
      <c r="G351" s="21">
        <v>-24</v>
      </c>
      <c r="H351" s="44">
        <v>-2.0999999999999999E-3</v>
      </c>
      <c r="I351" s="42" t="s">
        <v>339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340</v>
      </c>
      <c r="F353" s="72">
        <v>11115</v>
      </c>
      <c r="G353" s="21">
        <v>17</v>
      </c>
      <c r="H353" s="44">
        <v>1.5E-3</v>
      </c>
      <c r="I353" s="42" t="s">
        <v>341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342</v>
      </c>
      <c r="F354" s="72">
        <v>11143</v>
      </c>
      <c r="G354" s="21">
        <v>-17</v>
      </c>
      <c r="H354" s="44">
        <v>-1.5E-3</v>
      </c>
      <c r="I354" s="42" t="s">
        <v>343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344</v>
      </c>
      <c r="F355" s="72">
        <v>11074</v>
      </c>
      <c r="G355" s="21">
        <v>-40</v>
      </c>
      <c r="H355" s="44">
        <v>-3.5999999999999999E-3</v>
      </c>
      <c r="I355" s="42" t="s">
        <v>345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55"/>
  <sheetViews>
    <sheetView workbookViewId="0">
      <pane ySplit="3" topLeftCell="A344" activePane="bottomLeft" state="frozen"/>
      <selection pane="bottomLeft" activeCell="H361" sqref="H361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8" t="s">
        <v>97</v>
      </c>
      <c r="C1" s="129"/>
      <c r="D1" s="129"/>
      <c r="E1" s="129"/>
      <c r="F1" s="129"/>
      <c r="G1" s="129"/>
      <c r="H1" s="129"/>
      <c r="I1" s="130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1" t="s">
        <v>45</v>
      </c>
      <c r="C2" s="132"/>
      <c r="D2" s="133" t="s">
        <v>6</v>
      </c>
      <c r="E2" s="134"/>
      <c r="F2" s="133" t="s">
        <v>7</v>
      </c>
      <c r="G2" s="134"/>
      <c r="H2" s="133" t="s">
        <v>242</v>
      </c>
      <c r="I2" s="134"/>
      <c r="J2" s="1">
        <v>1</v>
      </c>
      <c r="K2" s="1" t="s">
        <v>193</v>
      </c>
      <c r="L2" s="94" t="s">
        <v>249</v>
      </c>
    </row>
    <row r="3" spans="1:12" ht="16.8" thickBot="1">
      <c r="A3" s="59" t="s">
        <v>40</v>
      </c>
      <c r="B3" s="125" t="s">
        <v>132</v>
      </c>
      <c r="C3" s="126"/>
      <c r="D3" s="126"/>
      <c r="E3" s="126"/>
      <c r="F3" s="126"/>
      <c r="G3" s="126"/>
      <c r="H3" s="126"/>
      <c r="I3" s="127"/>
      <c r="K3" s="2" t="s">
        <v>248</v>
      </c>
      <c r="L3" s="2" t="s">
        <v>247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68">
        <v>-143377683</v>
      </c>
      <c r="C344" s="98">
        <f t="shared" si="228"/>
        <v>-1.43377683</v>
      </c>
      <c r="D344" s="168">
        <v>215596682</v>
      </c>
      <c r="E344" s="95">
        <f t="shared" si="229"/>
        <v>2.1559668200000002</v>
      </c>
      <c r="F344" s="168">
        <v>-401375019</v>
      </c>
      <c r="G344" s="98">
        <f t="shared" si="230"/>
        <v>-4.0137501899999997</v>
      </c>
      <c r="H344" s="168">
        <v>2554998464</v>
      </c>
      <c r="I344" s="98">
        <f t="shared" si="231"/>
        <v>25.549984640000002</v>
      </c>
    </row>
    <row r="345" spans="1:9">
      <c r="A345" s="92">
        <v>43123</v>
      </c>
      <c r="B345" s="168">
        <v>-492623700</v>
      </c>
      <c r="C345" s="98">
        <f t="shared" si="228"/>
        <v>-4.9262370000000004</v>
      </c>
      <c r="D345" s="168">
        <v>858311941</v>
      </c>
      <c r="E345" s="95">
        <f t="shared" si="229"/>
        <v>8.5831194100000001</v>
      </c>
      <c r="F345" s="168">
        <v>-343119387</v>
      </c>
      <c r="G345" s="98">
        <f t="shared" si="230"/>
        <v>-3.43119387</v>
      </c>
      <c r="H345" s="168">
        <v>5162810185</v>
      </c>
      <c r="I345" s="98">
        <f t="shared" si="231"/>
        <v>51.62810185</v>
      </c>
    </row>
    <row r="346" spans="1:9">
      <c r="A346" s="92">
        <v>43124</v>
      </c>
      <c r="B346" s="168">
        <v>-97647010</v>
      </c>
      <c r="C346" s="98">
        <f t="shared" si="228"/>
        <v>-0.97647010000000001</v>
      </c>
      <c r="D346" s="168">
        <v>642944215</v>
      </c>
      <c r="E346" s="95">
        <f t="shared" si="229"/>
        <v>6.4294421499999999</v>
      </c>
      <c r="F346" s="168">
        <v>-551457011</v>
      </c>
      <c r="G346" s="98">
        <f t="shared" si="230"/>
        <v>-5.5145701100000002</v>
      </c>
      <c r="H346" s="168">
        <v>3523203831</v>
      </c>
      <c r="I346" s="98">
        <f t="shared" si="231"/>
        <v>35.23203831</v>
      </c>
    </row>
    <row r="347" spans="1:9">
      <c r="A347" s="92">
        <v>43125</v>
      </c>
      <c r="B347" s="168">
        <v>-429016825</v>
      </c>
      <c r="C347" s="98">
        <f t="shared" si="228"/>
        <v>-4.2901682499999998</v>
      </c>
      <c r="D347" s="168">
        <v>-1827931745</v>
      </c>
      <c r="E347" s="95">
        <f t="shared" si="229"/>
        <v>-18.279317450000001</v>
      </c>
      <c r="F347" s="168">
        <v>-149495537</v>
      </c>
      <c r="G347" s="98">
        <f t="shared" si="230"/>
        <v>-1.49495537</v>
      </c>
      <c r="H347" s="168">
        <v>5814233621</v>
      </c>
      <c r="I347" s="98">
        <f t="shared" si="231"/>
        <v>58.142336210000003</v>
      </c>
    </row>
    <row r="348" spans="1:9">
      <c r="A348" s="92">
        <v>43126</v>
      </c>
      <c r="B348" s="168">
        <v>-72674431</v>
      </c>
      <c r="C348" s="98">
        <f t="shared" ref="C348" si="232">B348/100000000</f>
        <v>-0.72674430999999995</v>
      </c>
      <c r="D348" s="168">
        <v>684072386</v>
      </c>
      <c r="E348" s="95">
        <f t="shared" ref="E348" si="233">D348/100000000</f>
        <v>6.8407238599999998</v>
      </c>
      <c r="F348" s="168">
        <v>-1914861281</v>
      </c>
      <c r="G348" s="98">
        <f t="shared" ref="G348" si="234">F348/100000000</f>
        <v>-19.148612809999999</v>
      </c>
      <c r="H348" s="168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68"/>
      <c r="C349" s="98">
        <f t="shared" ref="C349:C351" si="236">B349/100000000</f>
        <v>0</v>
      </c>
      <c r="D349" s="168"/>
      <c r="E349" s="95">
        <f t="shared" ref="E349:E351" si="237">D349/100000000</f>
        <v>0</v>
      </c>
      <c r="F349" s="168"/>
      <c r="G349" s="98">
        <f t="shared" ref="G349:G351" si="238">F349/100000000</f>
        <v>0</v>
      </c>
      <c r="H349" s="168"/>
      <c r="I349" s="98">
        <f t="shared" ref="I349:I351" si="239">H349/100000000</f>
        <v>0</v>
      </c>
    </row>
    <row r="350" spans="1:9">
      <c r="A350" s="92">
        <v>43128</v>
      </c>
      <c r="B350" s="168"/>
      <c r="C350" s="98">
        <f t="shared" si="236"/>
        <v>0</v>
      </c>
      <c r="D350" s="168"/>
      <c r="E350" s="95">
        <f t="shared" si="237"/>
        <v>0</v>
      </c>
      <c r="F350" s="168"/>
      <c r="G350" s="98">
        <f t="shared" si="238"/>
        <v>0</v>
      </c>
      <c r="H350" s="168"/>
      <c r="I350" s="98">
        <f t="shared" si="239"/>
        <v>0</v>
      </c>
    </row>
    <row r="351" spans="1:9">
      <c r="A351" s="92">
        <v>43129</v>
      </c>
      <c r="B351" s="168">
        <v>212495950</v>
      </c>
      <c r="C351" s="98">
        <f t="shared" si="236"/>
        <v>2.1249595000000001</v>
      </c>
      <c r="D351" s="168">
        <v>-538029900</v>
      </c>
      <c r="E351" s="95">
        <f t="shared" si="237"/>
        <v>-5.3802989999999999</v>
      </c>
      <c r="F351" s="168">
        <v>401188432</v>
      </c>
      <c r="G351" s="98">
        <f t="shared" si="238"/>
        <v>4.0118843200000001</v>
      </c>
      <c r="H351" s="168">
        <v>2012535961</v>
      </c>
      <c r="I351" s="98">
        <f t="shared" si="239"/>
        <v>20.12535961</v>
      </c>
    </row>
    <row r="352" spans="1:9">
      <c r="A352" s="92">
        <v>43130</v>
      </c>
      <c r="B352" s="168">
        <v>-446412412</v>
      </c>
      <c r="C352" s="98">
        <f t="shared" ref="C352:C353" si="240">B352/100000000</f>
        <v>-4.4641241200000001</v>
      </c>
      <c r="D352" s="168">
        <v>-1591086318</v>
      </c>
      <c r="E352" s="95">
        <f t="shared" ref="E352:E353" si="241">D352/100000000</f>
        <v>-15.91086318</v>
      </c>
      <c r="F352" s="168">
        <v>127700459</v>
      </c>
      <c r="G352" s="98">
        <f t="shared" ref="G352:G353" si="242">F352/100000000</f>
        <v>1.27700459</v>
      </c>
      <c r="H352" s="168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68">
        <v>839316286</v>
      </c>
      <c r="C353" s="98">
        <f t="shared" si="240"/>
        <v>8.3931628600000003</v>
      </c>
      <c r="D353" s="168">
        <v>2272410837</v>
      </c>
      <c r="E353" s="95">
        <f t="shared" si="241"/>
        <v>22.72410837</v>
      </c>
      <c r="F353" s="168">
        <v>-309754825</v>
      </c>
      <c r="G353" s="98">
        <f t="shared" si="242"/>
        <v>-3.09754825</v>
      </c>
      <c r="H353" s="168">
        <v>2508949548</v>
      </c>
      <c r="I353" s="98">
        <f t="shared" si="243"/>
        <v>25.08949548</v>
      </c>
    </row>
    <row r="354" spans="1:9">
      <c r="A354" s="92">
        <v>43132</v>
      </c>
      <c r="B354" s="168">
        <v>120009456</v>
      </c>
      <c r="C354" s="98">
        <f t="shared" ref="C354" si="244">B354/100000000</f>
        <v>1.2000945599999999</v>
      </c>
      <c r="D354" s="168">
        <v>-233056015</v>
      </c>
      <c r="E354" s="95">
        <f t="shared" ref="E354" si="245">D354/100000000</f>
        <v>-2.3305601500000002</v>
      </c>
      <c r="F354" s="168">
        <v>-175329912</v>
      </c>
      <c r="G354" s="98">
        <f t="shared" ref="G354" si="246">F354/100000000</f>
        <v>-1.7532991200000001</v>
      </c>
      <c r="H354" s="168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68">
        <v>-213580096</v>
      </c>
      <c r="C355" s="98">
        <f t="shared" ref="C355" si="248">B355/100000000</f>
        <v>-2.1358009600000001</v>
      </c>
      <c r="D355" s="168">
        <v>-230592755</v>
      </c>
      <c r="E355" s="95">
        <f t="shared" ref="E355" si="249">D355/100000000</f>
        <v>-2.3059275499999998</v>
      </c>
      <c r="F355" s="168">
        <v>-311314662</v>
      </c>
      <c r="G355" s="98">
        <f t="shared" ref="G355" si="250">F355/100000000</f>
        <v>-3.1131466200000002</v>
      </c>
      <c r="H355" s="168">
        <v>-440378970</v>
      </c>
      <c r="I355" s="98">
        <f t="shared" ref="I355" si="251">H355/100000000</f>
        <v>-4.4037896999999999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56"/>
  <sheetViews>
    <sheetView zoomScale="85" zoomScaleNormal="85" workbookViewId="0">
      <pane ySplit="3" topLeftCell="A352" activePane="bottomLeft" state="frozen"/>
      <selection pane="bottomLeft" activeCell="I360" sqref="I360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5" t="s">
        <v>51</v>
      </c>
      <c r="C1" s="106"/>
      <c r="D1" s="106"/>
      <c r="E1" s="141" t="s">
        <v>49</v>
      </c>
      <c r="F1" s="141" t="s">
        <v>50</v>
      </c>
      <c r="G1" s="137" t="s">
        <v>255</v>
      </c>
      <c r="H1" s="138"/>
      <c r="I1" s="138"/>
      <c r="J1" s="139"/>
      <c r="K1" s="140"/>
      <c r="L1" s="141" t="s">
        <v>52</v>
      </c>
      <c r="M1" s="141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2"/>
      <c r="F2" s="142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2"/>
      <c r="M2" s="142"/>
      <c r="N2" s="1">
        <v>2</v>
      </c>
      <c r="O2" s="1" t="s">
        <v>253</v>
      </c>
      <c r="P2" s="94" t="s">
        <v>194</v>
      </c>
      <c r="Q2" s="94"/>
    </row>
    <row r="3" spans="1:17">
      <c r="A3" s="15" t="s">
        <v>40</v>
      </c>
      <c r="B3" s="124" t="s">
        <v>56</v>
      </c>
      <c r="C3" s="121"/>
      <c r="D3" s="121"/>
      <c r="E3" s="121"/>
      <c r="F3" s="121"/>
      <c r="G3" s="121"/>
      <c r="H3" s="121"/>
      <c r="I3" s="121"/>
      <c r="J3" s="136"/>
      <c r="K3" s="136"/>
      <c r="L3" s="136"/>
      <c r="M3" s="136"/>
      <c r="O3" s="2" t="s">
        <v>254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55"/>
  <sheetViews>
    <sheetView zoomScale="80" zoomScaleNormal="80" workbookViewId="0">
      <pane ySplit="3" topLeftCell="A344" activePane="bottomLeft" state="frozen"/>
      <selection pane="bottomLeft" activeCell="L355" sqref="L355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3" t="s">
        <v>73</v>
      </c>
      <c r="C1" s="109"/>
      <c r="D1" s="109"/>
      <c r="E1" s="144" t="s">
        <v>77</v>
      </c>
      <c r="F1" s="145"/>
      <c r="G1" s="145"/>
      <c r="H1" s="143" t="s">
        <v>78</v>
      </c>
      <c r="I1" s="109"/>
      <c r="J1" s="109"/>
      <c r="K1" s="144" t="s">
        <v>79</v>
      </c>
      <c r="L1" s="145"/>
      <c r="M1" s="145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262</v>
      </c>
      <c r="R2" s="94" t="s">
        <v>263</v>
      </c>
    </row>
    <row r="3" spans="1:18" ht="16.2">
      <c r="A3" s="15" t="s">
        <v>40</v>
      </c>
      <c r="B3" s="146" t="s">
        <v>229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55"/>
  <sheetViews>
    <sheetView zoomScale="85" zoomScaleNormal="85" workbookViewId="0">
      <pane ySplit="3" topLeftCell="A344" activePane="bottomLeft" state="frozen"/>
      <selection pane="bottomLeft" activeCell="M352" sqref="M352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4" t="s">
        <v>258</v>
      </c>
      <c r="C1" s="114"/>
      <c r="D1" s="114"/>
      <c r="E1" s="114"/>
      <c r="F1" s="149" t="s">
        <v>89</v>
      </c>
      <c r="G1" s="150"/>
      <c r="H1" s="150"/>
      <c r="I1" s="150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0"/>
      <c r="G2" s="150"/>
      <c r="H2" s="150"/>
      <c r="I2" s="150"/>
    </row>
    <row r="3" spans="1:9">
      <c r="A3" s="15" t="s">
        <v>40</v>
      </c>
      <c r="B3" s="124" t="s">
        <v>69</v>
      </c>
      <c r="C3" s="121"/>
      <c r="D3" s="121"/>
      <c r="E3" s="121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55"/>
  <sheetViews>
    <sheetView zoomScaleNormal="100" workbookViewId="0">
      <pane xSplit="1" ySplit="3" topLeftCell="B334" activePane="bottomRight" state="frozen"/>
      <selection pane="topRight" activeCell="B1" sqref="B1"/>
      <selection pane="bottomLeft" activeCell="A4" sqref="A4"/>
      <selection pane="bottomRight" activeCell="B355" sqref="B355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1" t="s">
        <v>70</v>
      </c>
      <c r="C1" s="148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1" t="s">
        <v>71</v>
      </c>
      <c r="C2" s="148"/>
      <c r="E2" s="1" t="s">
        <v>259</v>
      </c>
      <c r="F2" s="94" t="s">
        <v>261</v>
      </c>
    </row>
    <row r="3" spans="1:6">
      <c r="A3" s="15" t="s">
        <v>40</v>
      </c>
      <c r="B3" s="124" t="s">
        <v>72</v>
      </c>
      <c r="C3" s="121"/>
      <c r="E3" s="2" t="s">
        <v>260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55"/>
  <sheetViews>
    <sheetView workbookViewId="0">
      <pane ySplit="3" topLeftCell="A336" activePane="bottomLeft" state="frozen"/>
      <selection pane="bottomLeft" activeCell="G350" sqref="G350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1" t="s">
        <v>40</v>
      </c>
      <c r="B2" s="152"/>
      <c r="C2" s="121"/>
      <c r="D2" s="121"/>
      <c r="E2" s="1">
        <v>3</v>
      </c>
      <c r="F2" s="1" t="s">
        <v>250</v>
      </c>
      <c r="G2" s="94" t="s">
        <v>251</v>
      </c>
    </row>
    <row r="3" spans="1:7" ht="16.2">
      <c r="A3" s="121"/>
      <c r="B3" s="152" t="s">
        <v>149</v>
      </c>
      <c r="C3" s="121"/>
      <c r="D3" s="121"/>
      <c r="G3" s="2" t="s">
        <v>252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57"/>
  <sheetViews>
    <sheetView zoomScale="85" zoomScaleNormal="85" workbookViewId="0">
      <pane xSplit="1" ySplit="4" topLeftCell="B346" activePane="bottomRight" state="frozen"/>
      <selection pane="topRight" activeCell="B1" sqref="B1"/>
      <selection pane="bottomLeft" activeCell="A5" sqref="A5"/>
      <selection pane="bottomRight" activeCell="J358" sqref="J358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6" t="s">
        <v>58</v>
      </c>
      <c r="C1" s="153" t="s">
        <v>59</v>
      </c>
      <c r="D1" s="110"/>
      <c r="E1" s="110"/>
      <c r="F1" s="77"/>
      <c r="G1" s="80"/>
      <c r="H1" s="154" t="s">
        <v>62</v>
      </c>
      <c r="I1" s="155"/>
      <c r="J1" s="155"/>
      <c r="K1" s="17"/>
      <c r="L1" s="158" t="s">
        <v>64</v>
      </c>
    </row>
    <row r="2" spans="1:12" s="1" customFormat="1">
      <c r="A2" s="15"/>
      <c r="B2" s="157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59"/>
    </row>
    <row r="3" spans="1:12">
      <c r="A3" s="15" t="s">
        <v>40</v>
      </c>
      <c r="B3" s="160" t="s">
        <v>99</v>
      </c>
      <c r="C3" s="161"/>
      <c r="D3" s="161"/>
      <c r="E3" s="161"/>
      <c r="F3" s="161"/>
      <c r="G3" s="161"/>
      <c r="H3" s="161"/>
      <c r="I3" s="161"/>
      <c r="J3" s="161"/>
      <c r="K3" s="161"/>
      <c r="L3" s="162"/>
    </row>
    <row r="4" spans="1:12">
      <c r="A4" s="15" t="s">
        <v>40</v>
      </c>
      <c r="B4" s="160" t="s">
        <v>56</v>
      </c>
      <c r="C4" s="161"/>
      <c r="D4" s="161"/>
      <c r="E4" s="161"/>
      <c r="F4" s="161"/>
      <c r="G4" s="161"/>
      <c r="H4" s="161"/>
      <c r="I4" s="161"/>
      <c r="J4" s="161"/>
      <c r="K4" s="161"/>
      <c r="L4" s="162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55"/>
  <sheetViews>
    <sheetView zoomScaleNormal="100" workbookViewId="0">
      <pane ySplit="3" topLeftCell="A349" activePane="bottomLeft" state="frozen"/>
      <selection pane="bottomLeft" activeCell="G362" sqref="G362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3" t="s">
        <v>84</v>
      </c>
      <c r="C1" s="164"/>
      <c r="D1" s="165"/>
      <c r="E1" s="163" t="s">
        <v>85</v>
      </c>
      <c r="F1" s="164"/>
      <c r="G1" s="165"/>
      <c r="H1" s="163" t="s">
        <v>86</v>
      </c>
      <c r="I1" s="164"/>
      <c r="J1" s="165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6" t="s">
        <v>144</v>
      </c>
      <c r="C3" s="167"/>
      <c r="D3" s="167"/>
      <c r="E3" s="167"/>
      <c r="F3" s="167"/>
      <c r="G3" s="167"/>
      <c r="H3" s="167"/>
      <c r="I3" s="167"/>
      <c r="J3" s="167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/>
      <c r="C355" s="27"/>
      <c r="D355" s="91"/>
      <c r="E355" s="89"/>
      <c r="F355" s="27"/>
      <c r="G355" s="91"/>
      <c r="H355" s="89"/>
      <c r="I355" s="27"/>
      <c r="J355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2018-02-02T12:19:51Z</dcterms:modified>
</cp:coreProperties>
</file>