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 firstSheet="3" activeTab="10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6" i="18" l="1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<sst xmlns="http://schemas.openxmlformats.org/spreadsheetml/2006/main" count="250" uniqueCount="171">
  <si>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</si>
  <si>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</si>
  <si>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</si>
  <si>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</si>
  <si>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</si>
  <si>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</si>
  <si>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</si>
  <si>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</si>
  <si>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</si>
  <si>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</si>
  <si>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</si>
  <si>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</si>
  <si>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</si>
  <si>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</si>
  <si>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</si>
  <si>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</si>
  <si>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</si>
  <si>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</si>
  <si>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</si>
  <si>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</si>
  <si>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</si>
  <si>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</si>
  <si>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</si>
  <si>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</si>
  <si>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</si>
  <si>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</si>
  <si>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</si>
  <si>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</si>
  <si>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</si>
  <si>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</si>
  <si>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</si>
  <si>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</si>
  <si>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</si>
  <si>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</si>
  <si>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</si>
  <si>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</si>
  <si>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</si>
  <si>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</si>
  <si>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</si>
  <si>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</si>
  <si>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</si>
  <si>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</si>
  <si>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</si>
  <si>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</si>
  <si>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</si>
  <si>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</si>
  <si>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</si>
  <si>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</si>
  <si>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</si>
  <si>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</si>
  <si>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</si>
  <si>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</si>
  <si>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</si>
  <si>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</si>
  <si>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</si>
  <si>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</si>
  <si>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</si>
  <si>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</si>
  <si>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</si>
  <si>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</si>
  <si>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</si>
  <si>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</si>
  <si>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</si>
  <si>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</si>
  <si>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</si>
  <si>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</si>
  <si>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</si>
  <si>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</si>
  <si>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</si>
  <si>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</si>
  <si>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</si>
  <si>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</si>
  <si>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</si>
  <si>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</si>
  <si>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</si>
  <si>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</si>
  <si>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</si>
  <si>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</si>
  <si>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</si>
  <si>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</si>
  <si>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</si>
  <si>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</si>
  <si>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</si>
  <si>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</si>
  <si>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</si>
  <si>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</si>
  <si>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</si>
  <si>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</si>
  <si>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</si>
  <si>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</si>
  <si>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</si>
  <si>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</si>
  <si>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</si>
  <si>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</si>
  <si>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</si>
  <si>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</si>
  <si>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</si>
  <si>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</si>
  <si>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</si>
  <si>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</si>
  <si>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</si>
  <si>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</si>
  <si>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</si>
  <si>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</si>
  <si>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</si>
  <si>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</si>
  <si>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</si>
  <si>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</si>
  <si>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</si>
  <si>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</si>
  <si>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</si>
  <si>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</si>
  <si>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</si>
  <si>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</si>
  <si>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</si>
  <si>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</si>
  <si>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</si>
  <si>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</si>
  <si>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</si>
  <si>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</si>
  <si>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</si>
  <si>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</si>
  <si>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</si>
  <si>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</si>
  <si>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</si>
  <si>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</si>
  <si>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</si>
  <si>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</si>
  <si>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</si>
  <si>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</si>
  <si>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</si>
  <si>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</si>
  <si>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</si>
  <si>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</si>
  <si>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</si>
  <si>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</si>
  <si>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</si>
  <si>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</si>
  <si>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</si>
  <si>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</si>
  <si>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</si>
  <si>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</si>
  <si>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</si>
  <si>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</si>
  <si>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</si>
  <si>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</si>
  <si>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</si>
  <si>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</si>
  <si>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</si>
  <si>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</si>
  <si>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</si>
  <si>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</si>
  <si>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</si>
  <si>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</si>
  <si>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</si>
  <si>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</si>
  <si>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</si>
  <si>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</si>
  <si>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</si>
  <si>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</si>
  <si>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</si>
  <si>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</si>
  <si>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</si>
  <si>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</si>
  <si>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</si>
  <si>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</si>
  <si>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</si>
  <si>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>http://www.taifex.com.tw/chinese/3/7_8.asp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</si>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</sst>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75"/>
  <ax:ocxPr ax:name="_ExtentY" ax:value="275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3890817"/>
  <ax:ocxPr ax:name="CurrentDate" ax:value="4306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opLeftCell="B1" zoomScale="110" zoomScaleNormal="110" workbookViewId="0">
      <selection activeCell="E17" sqref="E17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43063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10854.09</v>
      </c>
      <c r="D7" s="37">
        <f>VLOOKUP($B$6,資料整合一覽!$B$3:$AF$500,3,FALSE)</f>
        <v>-0.48</v>
      </c>
      <c r="E7" s="38">
        <f>VLOOKUP($B$6,資料整合一覽!$B$3:$AF$500,4,FALSE)</f>
        <v>0</v>
      </c>
      <c r="F7" s="36" t="str">
        <f>VLOOKUP($B$6,資料整合一覽!$B$3:$AF$500,5,FALSE)</f>
        <v>1251.65億</v>
      </c>
      <c r="G7" s="39">
        <f>VLOOKUP($B$6,資料整合一覽!$B$3:$AF$500,6,FALSE)</f>
        <v>-1.7898050999999999</v>
      </c>
      <c r="H7" s="37">
        <f>VLOOKUP($B$6,資料整合一覽!$B$3:$AF$500,7,FALSE)</f>
        <v>-7.4737114599999996</v>
      </c>
      <c r="I7" s="37">
        <f>VLOOKUP($B$6,資料整合一覽!$B$3:$AF$500,8,FALSE)</f>
        <v>-2.1035349999999999</v>
      </c>
      <c r="J7" s="37">
        <f>VLOOKUP($B$6,資料整合一覽!$B$3:$AF$500,9,FALSE)</f>
        <v>-30.595918449999999</v>
      </c>
      <c r="K7" s="40">
        <f>VLOOKUP($B$6,資料整合一覽!$B$3:$AF$500,10,FALSE)</f>
        <v>30.01</v>
      </c>
      <c r="L7" s="41">
        <f>VLOOKUP($B$6,資料整合一覽!$B$3:$AF$500,11,FALSE)</f>
        <v>3.0000000000000001E-3</v>
      </c>
      <c r="M7" s="42">
        <f>VLOOKUP($B$6,資料整合一覽!$B$3:$AF$500,12,FALSE)</f>
        <v>92.781999999999996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2367.75</v>
      </c>
      <c r="D11" s="29">
        <f>VLOOKUP($B$6,資料整合一覽!$B$3:$AF$500,14,FALSE)</f>
        <v>48151</v>
      </c>
      <c r="E11" s="67">
        <f>VLOOKUP($B$6,資料整合一覽!$B$3:$AF$500,17,FALSE)</f>
        <v>-17.216899999999999</v>
      </c>
      <c r="F11" s="67">
        <f>VLOOKUP($B$6,資料整合一覽!$B$3:$AF$500,18,FALSE)</f>
        <v>0.27360000000000001</v>
      </c>
      <c r="G11" s="67">
        <f>VLOOKUP($B$6,資料整合一覽!$B$3:$AF$500,19,FALSE)</f>
        <v>70.3887</v>
      </c>
      <c r="H11" s="67">
        <f>VLOOKUP($B$6,資料整合一覽!$B$3:$AF$500,20,FALSE)</f>
        <v>17.2852</v>
      </c>
      <c r="I11" s="42">
        <f>VLOOKUP($B$6,資料整合一覽!$B$3:$AF$500,21,FALSE)</f>
        <v>1.6412</v>
      </c>
      <c r="J11" s="44">
        <f>VLOOKUP($B$6,資料整合一覽!$B$3:$AF$500,22,FALSE)</f>
        <v>-0.14725792630676948</v>
      </c>
      <c r="K11" s="38">
        <f>VLOOKUP($B$6,資料整合一覽!$B$3:$AF$500,29,FALSE)</f>
        <v>1.4E-3</v>
      </c>
      <c r="L11" s="38">
        <f>VLOOKUP($B$6,資料整合一覽!$B$3:$AF$500,30,FALSE)</f>
        <v>3.2000000000000002E-3</v>
      </c>
      <c r="M11" s="38" t="str">
        <f>VLOOKUP($B$6,資料整合一覽!$B$3:$AF$500,31,FALSE)</f>
        <v xml:space="preserve">0.95%	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8"/>
  <sheetViews>
    <sheetView zoomScale="80" zoomScaleNormal="80" workbookViewId="0">
      <pane ySplit="3" topLeftCell="A276" activePane="bottomLeft" state="frozen"/>
      <selection pane="bottomLeft" activeCell="K296" sqref="K296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167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8"/>
  <sheetViews>
    <sheetView tabSelected="1" zoomScaleNormal="100" workbookViewId="0">
      <pane ySplit="3" topLeftCell="A270" activePane="bottomLeft" state="frozen"/>
      <selection pane="bottomLeft" activeCell="J285" sqref="J285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168</v>
      </c>
      <c r="C285" s="29" t="s">
        <v>169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170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/>
      <c r="C288" s="29"/>
      <c r="D288" s="94"/>
      <c r="E288" s="92"/>
      <c r="F288" s="29"/>
      <c r="G288" s="94"/>
      <c r="H288" s="92"/>
      <c r="I288" s="29"/>
      <c r="J288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0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0</v>
      </c>
      <c r="AE287" s="36">
        <f>VLOOKUP($B287,三大美股走勢!$A$4:$J$495,7,FALSE)</f>
        <v>0</v>
      </c>
      <c r="AF287" s="36">
        <f>VLOOKUP($B287,三大美股走勢!$A$4:$J$495,10,FALSE)</f>
        <v>0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VLOOKUP($B288,三大美股走勢!$A$4:$J$495,4,FALSE)</f>
        <v>#N/A</v>
      </c>
      <c r="AE288" s="36" t="e">
        <f>VLOOKUP($B288,三大美股走勢!$A$4:$J$495,7,FALSE)</f>
        <v>#N/A</v>
      </c>
      <c r="AF288" s="36" t="e">
        <f>VLOOKUP($B288,三大美股走勢!$A$4:$J$495,10,FALSE)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VLOOKUP($B289,三大美股走勢!$A$4:$J$495,4,FALSE)</f>
        <v>#N/A</v>
      </c>
      <c r="AE289" s="36" t="e">
        <f>VLOOKUP($B289,三大美股走勢!$A$4:$J$495,7,FALSE)</f>
        <v>#N/A</v>
      </c>
      <c r="AF289" s="36" t="e">
        <f>VLOOKUP($B289,三大美股走勢!$A$4:$J$495,10,FALSE)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VLOOKUP($B290,三大美股走勢!$A$4:$J$495,4,FALSE)</f>
        <v>#N/A</v>
      </c>
      <c r="AE290" s="36" t="e">
        <f>VLOOKUP($B290,三大美股走勢!$A$4:$J$495,7,FALSE)</f>
        <v>#N/A</v>
      </c>
      <c r="AF290" s="36" t="e">
        <f>VLOOKUP($B290,三大美股走勢!$A$4:$J$495,10,FALSE)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VLOOKUP($B291,三大美股走勢!$A$4:$J$495,4,FALSE)</f>
        <v>#N/A</v>
      </c>
      <c r="AE291" s="36" t="e">
        <f>VLOOKUP($B291,三大美股走勢!$A$4:$J$495,7,FALSE)</f>
        <v>#N/A</v>
      </c>
      <c r="AF291" s="36" t="e">
        <f>VLOOKUP($B291,三大美股走勢!$A$4:$J$495,10,FALSE)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VLOOKUP($B292,三大美股走勢!$A$4:$J$495,4,FALSE)</f>
        <v>#N/A</v>
      </c>
      <c r="AE292" s="36" t="e">
        <f>VLOOKUP($B292,三大美股走勢!$A$4:$J$495,7,FALSE)</f>
        <v>#N/A</v>
      </c>
      <c r="AF292" s="36" t="e">
        <f>VLOOKUP($B292,三大美股走勢!$A$4:$J$495,10,FALSE)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VLOOKUP($B293,三大美股走勢!$A$4:$J$495,4,FALSE)</f>
        <v>#N/A</v>
      </c>
      <c r="AE293" s="36" t="e">
        <f>VLOOKUP($B293,三大美股走勢!$A$4:$J$495,7,FALSE)</f>
        <v>#N/A</v>
      </c>
      <c r="AF293" s="36" t="e">
        <f>VLOOKUP($B293,三大美股走勢!$A$4:$J$495,10,FALSE)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VLOOKUP($B294,三大美股走勢!$A$4:$J$495,4,FALSE)</f>
        <v>#N/A</v>
      </c>
      <c r="AE294" s="36" t="e">
        <f>VLOOKUP($B294,三大美股走勢!$A$4:$J$495,7,FALSE)</f>
        <v>#N/A</v>
      </c>
      <c r="AF294" s="36" t="e">
        <f>VLOOKUP($B294,三大美股走勢!$A$4:$J$495,10,FALSE)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VLOOKUP($B295,三大美股走勢!$A$4:$J$495,4,FALSE)</f>
        <v>#N/A</v>
      </c>
      <c r="AE295" s="36" t="e">
        <f>VLOOKUP($B295,三大美股走勢!$A$4:$J$495,7,FALSE)</f>
        <v>#N/A</v>
      </c>
      <c r="AF295" s="36" t="e">
        <f>VLOOKUP($B295,三大美股走勢!$A$4:$J$495,10,FALSE)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8"/>
  <sheetViews>
    <sheetView workbookViewId="0">
      <pane ySplit="3" topLeftCell="A275" activePane="bottomLeft" state="frozen"/>
      <selection pane="bottomLeft" activeCell="H291" sqref="H291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8"/>
  <sheetViews>
    <sheetView workbookViewId="0">
      <pane ySplit="3" topLeftCell="A284" activePane="bottomLeft" state="frozen"/>
      <selection pane="bottomLeft" activeCell="H288" sqref="H288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6:C288" si="112">B288/100000000</f>
        <v>-6.0746008299999996</v>
      </c>
      <c r="D288" s="49">
        <v>-1306801986</v>
      </c>
      <c r="E288" s="10">
        <f t="shared" ref="E286:E288" si="113">D288/100000000</f>
        <v>-13.06801986</v>
      </c>
      <c r="F288" s="49">
        <v>-621094498</v>
      </c>
      <c r="G288" s="10">
        <f t="shared" ref="G286:G288" si="114">F288/100000000</f>
        <v>-6.2109449799999998</v>
      </c>
      <c r="H288" s="49">
        <v>-8288538861</v>
      </c>
      <c r="I288" s="10">
        <f t="shared" ref="I286:I288" si="115">H288/100000000</f>
        <v>-82.885388610000007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8"/>
  <sheetViews>
    <sheetView workbookViewId="0">
      <pane ySplit="3" topLeftCell="A279" activePane="bottomLeft" state="frozen"/>
      <selection pane="bottomLeft" activeCell="I289" sqref="I289:I290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9"/>
  <sheetViews>
    <sheetView zoomScale="85" zoomScaleNormal="85" workbookViewId="0">
      <pane ySplit="3" topLeftCell="A275" activePane="bottomLeft" state="frozen"/>
      <selection pane="bottomLeft" activeCell="J289" sqref="J28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7: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7: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8"/>
  <sheetViews>
    <sheetView zoomScale="85" zoomScaleNormal="85" workbookViewId="0">
      <pane ySplit="3" topLeftCell="A280" activePane="bottomLeft" state="frozen"/>
      <selection pane="bottomLeft" activeCell="G299" sqref="G29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6:F288" si="119">B288/10000</f>
        <v>-12.101800000000001</v>
      </c>
      <c r="G288" s="24">
        <f t="shared" ref="G286:G288" si="120">C288/10000</f>
        <v>2.3119000000000001</v>
      </c>
      <c r="H288" s="24">
        <f t="shared" ref="H286:H288" si="121">D288/10000</f>
        <v>49.163499999999999</v>
      </c>
      <c r="I288" s="24">
        <f t="shared" ref="I286:I288" si="122">E288/10000</f>
        <v>27.650500000000001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0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K294" sqref="K29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88: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88:K290" si="82">B290-SUM(H290:J290)</f>
        <v>30863</v>
      </c>
      <c r="L290" s="22">
        <f t="shared" ref="L288:L290" si="83">(F290-K290)/B290</f>
        <v>5.4563333257106265E-2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8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8" sqref="B28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6:C288" si="28">B288/100</f>
        <v>1.4731999999999998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2017-11-27T14:15:55Z</dcterms:modified>
</cp:coreProperties>
</file>