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18" l="1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<sst xmlns="http://schemas.openxmlformats.org/spreadsheetml/2006/main" count="294" uniqueCount="212">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</sst>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27803137"/>
  <ax:ocxPr ax:name="CurrentDate" ax:value="4309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5" sqref="D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7" t="s">
        <v>2</v>
      </c>
      <c r="D5" s="107"/>
      <c r="E5" s="107"/>
      <c r="F5" s="107"/>
      <c r="G5" s="108" t="s">
        <v>34</v>
      </c>
      <c r="H5" s="109"/>
      <c r="I5" s="109"/>
      <c r="J5" s="109"/>
      <c r="K5" s="110" t="s">
        <v>9</v>
      </c>
      <c r="L5" s="111"/>
      <c r="M5" s="111"/>
    </row>
    <row r="6" spans="2:13" ht="31.2">
      <c r="B6" s="106">
        <v>43090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3"/>
      <c r="C7" s="33">
        <f>VLOOKUP($B$6,資料整合一覽!$B$3:$AF$500,2,FALSE)</f>
        <v>10488.97</v>
      </c>
      <c r="D7" s="34">
        <f>VLOOKUP($B$6,資料整合一覽!$B$3:$AF$500,3,FALSE)</f>
        <v>-15.55</v>
      </c>
      <c r="E7" s="35">
        <f>VLOOKUP($B$6,資料整合一覽!$B$3:$AF$500,4,FALSE)</f>
        <v>-1.5E-3</v>
      </c>
      <c r="F7" s="33" t="str">
        <f>VLOOKUP($B$6,資料整合一覽!$B$3:$AF$500,5,FALSE)</f>
        <v>981.69億</v>
      </c>
      <c r="G7" s="36">
        <f>VLOOKUP($B$6,資料整合一覽!$B$3:$AF$500,6,FALSE)</f>
        <v>2.52457865</v>
      </c>
      <c r="H7" s="34">
        <f>VLOOKUP($B$6,資料整合一覽!$B$3:$AF$500,7,FALSE)</f>
        <v>6.6729418599999999</v>
      </c>
      <c r="I7" s="34">
        <f>VLOOKUP($B$6,資料整合一覽!$B$3:$AF$500,8,FALSE)</f>
        <v>2.8107913099999999</v>
      </c>
      <c r="J7" s="34">
        <f>VLOOKUP($B$6,資料整合一覽!$B$3:$AF$500,9,FALSE)</f>
        <v>-24.5820379</v>
      </c>
      <c r="K7" s="37">
        <f>VLOOKUP($B$6,資料整合一覽!$B$3:$AF$500,10,FALSE)</f>
        <v>29.988</v>
      </c>
      <c r="L7" s="38">
        <f>VLOOKUP($B$6,資料整合一覽!$B$3:$AF$500,11,FALSE)</f>
        <v>-2E-3</v>
      </c>
      <c r="M7" s="39">
        <f>VLOOKUP($B$6,資料整合一覽!$B$3:$AF$500,12,FALSE)</f>
        <v>0</v>
      </c>
    </row>
    <row r="8" spans="2:13" ht="3" customHeight="1">
      <c r="B8" s="103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3"/>
      <c r="C9" s="104" t="s">
        <v>35</v>
      </c>
      <c r="D9" s="105"/>
      <c r="E9" s="112" t="s">
        <v>42</v>
      </c>
      <c r="F9" s="113"/>
      <c r="G9" s="113"/>
      <c r="H9" s="113"/>
      <c r="I9" s="5" t="s">
        <v>20</v>
      </c>
      <c r="J9" s="102" t="s">
        <v>22</v>
      </c>
      <c r="K9" s="100" t="s">
        <v>33</v>
      </c>
      <c r="L9" s="101"/>
      <c r="M9" s="101"/>
    </row>
    <row r="10" spans="2:13" ht="31.2">
      <c r="B10" s="103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3"/>
      <c r="K10" s="7" t="s">
        <v>104</v>
      </c>
      <c r="L10" s="7" t="s">
        <v>31</v>
      </c>
      <c r="M10" s="7" t="s">
        <v>32</v>
      </c>
    </row>
    <row r="11" spans="2:13" ht="32.4" customHeight="1">
      <c r="B11" s="103"/>
      <c r="C11" s="27">
        <f>VLOOKUP($B$6,資料整合一覽!$B$3:$AF$500,13,FALSE)</f>
        <v>-5523</v>
      </c>
      <c r="D11" s="27">
        <f>VLOOKUP($B$6,資料整合一覽!$B$3:$AF$500,14,FALSE)</f>
        <v>43552.25</v>
      </c>
      <c r="E11" s="64">
        <f>VLOOKUP($B$6,資料整合一覽!$B$3:$AF$500,17,FALSE)</f>
        <v>9.0197000000000003</v>
      </c>
      <c r="F11" s="64">
        <f>VLOOKUP($B$6,資料整合一覽!$B$3:$AF$500,18,FALSE)</f>
        <v>-21.171500000000002</v>
      </c>
      <c r="G11" s="64">
        <f>VLOOKUP($B$6,資料整合一覽!$B$3:$AF$500,19,FALSE)</f>
        <v>4.2827999999999999</v>
      </c>
      <c r="H11" s="64">
        <f>VLOOKUP($B$6,資料整合一覽!$B$3:$AF$500,20,FALSE)</f>
        <v>43.047600000000003</v>
      </c>
      <c r="I11" s="39">
        <f>VLOOKUP($B$6,資料整合一覽!$B$3:$AF$500,21,FALSE)</f>
        <v>1.5425</v>
      </c>
      <c r="J11" s="41">
        <f>VLOOKUP($B$6,資料整合一覽!$B$3:$AF$500,22,FALSE)</f>
        <v>0.1391176387356029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2"/>
  <sheetViews>
    <sheetView zoomScale="80" zoomScaleNormal="80" workbookViewId="0">
      <pane ySplit="3" topLeftCell="A296" activePane="bottomLeft" state="frozen"/>
      <selection pane="bottomLeft" activeCell="L316" sqref="L316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6" t="s">
        <v>75</v>
      </c>
      <c r="C1" s="107"/>
      <c r="D1" s="107"/>
      <c r="E1" s="157" t="s">
        <v>79</v>
      </c>
      <c r="F1" s="158"/>
      <c r="G1" s="158"/>
      <c r="H1" s="156" t="s">
        <v>80</v>
      </c>
      <c r="I1" s="107"/>
      <c r="J1" s="107"/>
      <c r="K1" s="157" t="s">
        <v>81</v>
      </c>
      <c r="L1" s="158"/>
      <c r="M1" s="158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59" t="s">
        <v>174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5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1"/>
  <sheetViews>
    <sheetView zoomScaleNormal="100" workbookViewId="0">
      <pane ySplit="3" topLeftCell="A302" activePane="bottomLeft" state="frozen"/>
      <selection pane="bottomLeft" activeCell="H317" sqref="H317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1" t="s">
        <v>86</v>
      </c>
      <c r="C1" s="162"/>
      <c r="D1" s="163"/>
      <c r="E1" s="161" t="s">
        <v>87</v>
      </c>
      <c r="F1" s="162"/>
      <c r="G1" s="163"/>
      <c r="H1" s="161" t="s">
        <v>88</v>
      </c>
      <c r="I1" s="162"/>
      <c r="J1" s="163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4" t="s">
        <v>146</v>
      </c>
      <c r="C3" s="165"/>
      <c r="D3" s="165"/>
      <c r="E3" s="165"/>
      <c r="F3" s="165"/>
      <c r="G3" s="165"/>
      <c r="H3" s="165"/>
      <c r="I3" s="165"/>
      <c r="J3" s="165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4" t="s">
        <v>0</v>
      </c>
      <c r="B1" s="15"/>
      <c r="C1" s="107" t="s">
        <v>2</v>
      </c>
      <c r="D1" s="107"/>
      <c r="E1" s="107"/>
      <c r="F1" s="107"/>
      <c r="G1" s="108" t="s">
        <v>34</v>
      </c>
      <c r="H1" s="109"/>
      <c r="I1" s="109"/>
      <c r="J1" s="109"/>
      <c r="K1" s="110" t="s">
        <v>9</v>
      </c>
      <c r="L1" s="111"/>
      <c r="M1" s="111"/>
      <c r="N1" s="104" t="s">
        <v>35</v>
      </c>
      <c r="O1" s="115"/>
      <c r="P1" s="115"/>
      <c r="Q1" s="115"/>
      <c r="R1" s="112" t="s">
        <v>42</v>
      </c>
      <c r="S1" s="113"/>
      <c r="T1" s="113"/>
      <c r="U1" s="113"/>
      <c r="V1" s="5" t="s">
        <v>20</v>
      </c>
      <c r="W1" s="102" t="s">
        <v>22</v>
      </c>
      <c r="X1" s="117" t="s">
        <v>29</v>
      </c>
      <c r="Y1" s="118"/>
      <c r="Z1" s="118"/>
      <c r="AA1" s="118"/>
      <c r="AB1" s="118"/>
      <c r="AC1" s="118"/>
      <c r="AD1" s="100" t="s">
        <v>33</v>
      </c>
      <c r="AE1" s="101"/>
      <c r="AF1" s="101"/>
    </row>
    <row r="2" spans="1:32" ht="31.2">
      <c r="A2" s="114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6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0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 t="e">
        <f>VLOOKUP($B311,三大美股走勢!$A$4:$J$495,4,FALSE)</f>
        <v>#N/A</v>
      </c>
      <c r="AE311" s="33" t="e">
        <f>VLOOKUP($B311,三大美股走勢!$A$4:$J$495,7,FALSE)</f>
        <v>#N/A</v>
      </c>
      <c r="AF311" s="33" t="e">
        <f>VLOOKUP($B311,三大美股走勢!$A$4:$J$495,10,FALSE)</f>
        <v>#N/A</v>
      </c>
    </row>
    <row r="312" spans="2:32">
      <c r="B312" s="32">
        <v>43091</v>
      </c>
      <c r="C312" s="33" t="e">
        <f>VLOOKUP($B312,大盤與近月台指!$A$4:$I$499,2,FALSE)</f>
        <v>#N/A</v>
      </c>
      <c r="D312" s="34" t="e">
        <f>VLOOKUP($B312,大盤與近月台指!$A$4:$I$499,3,FALSE)</f>
        <v>#N/A</v>
      </c>
      <c r="E312" s="35" t="e">
        <f>VLOOKUP($B312,大盤與近月台指!$A$4:$I$499,4,FALSE)</f>
        <v>#N/A</v>
      </c>
      <c r="F312" s="33" t="e">
        <f>VLOOKUP($B312,大盤與近月台指!$A$4:$I$499,5,FALSE)</f>
        <v>#N/A</v>
      </c>
      <c r="G312" s="49" t="e">
        <f>VLOOKUP($B312,三大法人買賣超!$A$4:$I$500,3,FALSE)</f>
        <v>#N/A</v>
      </c>
      <c r="H312" s="34" t="e">
        <f>VLOOKUP($B312,三大法人買賣超!$A$4:$I$500,5,FALSE)</f>
        <v>#N/A</v>
      </c>
      <c r="I312" s="27" t="e">
        <f>VLOOKUP($B312,三大法人買賣超!$A$4:$I$500,7,FALSE)</f>
        <v>#N/A</v>
      </c>
      <c r="J312" s="27" t="e">
        <f>VLOOKUP($B312,三大法人買賣超!$A$4:$I$500,9,FALSE)</f>
        <v>#N/A</v>
      </c>
      <c r="K312" s="37">
        <f>新台幣匯率美元指數!B313</f>
        <v>0</v>
      </c>
      <c r="L312" s="38">
        <f>新台幣匯率美元指數!C313</f>
        <v>0</v>
      </c>
      <c r="M312" s="39">
        <f>新台幣匯率美元指數!D313</f>
        <v>0</v>
      </c>
      <c r="N312" s="27" t="e">
        <f>VLOOKUP($B312,期貨未平倉口數!$A$4:$M$499,4,FALSE)</f>
        <v>#N/A</v>
      </c>
      <c r="O312" s="27" t="e">
        <f>VLOOKUP($B312,期貨未平倉口數!$A$4:$M$499,9,FALSE)</f>
        <v>#N/A</v>
      </c>
      <c r="P312" s="27" t="e">
        <f>VLOOKUP($B312,期貨未平倉口數!$A$4:$M$499,10,FALSE)</f>
        <v>#N/A</v>
      </c>
      <c r="Q312" s="27" t="e">
        <f>VLOOKUP($B312,期貨未平倉口數!$A$4:$M$499,11,FALSE)</f>
        <v>#N/A</v>
      </c>
      <c r="R312" s="64" t="e">
        <f>VLOOKUP($B312,選擇權未平倉餘額!$A$4:$I$500,6,FALSE)</f>
        <v>#N/A</v>
      </c>
      <c r="S312" s="64" t="e">
        <f>VLOOKUP($B312,選擇權未平倉餘額!$A$4:$I$500,7,FALSE)</f>
        <v>#N/A</v>
      </c>
      <c r="T312" s="64" t="e">
        <f>VLOOKUP($B312,選擇權未平倉餘額!$A$4:$I$500,8,FALSE)</f>
        <v>#N/A</v>
      </c>
      <c r="U312" s="64" t="e">
        <f>VLOOKUP($B312,選擇權未平倉餘額!$A$4:$I$500,9,FALSE)</f>
        <v>#N/A</v>
      </c>
      <c r="V312" s="39" t="e">
        <f>VLOOKUP($B312,臺指選擇權P_C_Ratios!$A$4:$C$500,3,FALSE)</f>
        <v>#N/A</v>
      </c>
      <c r="W312" s="41" t="e">
        <f>VLOOKUP($B312,散戶多空比!$A$6:$L$500,12,FALSE)</f>
        <v>#N/A</v>
      </c>
      <c r="X312" s="40" t="e">
        <f>VLOOKUP($B312,期貨大額交易人未沖銷部位!$A$4:$O$499,4,FALSE)</f>
        <v>#N/A</v>
      </c>
      <c r="Y312" s="40" t="e">
        <f>VLOOKUP($B312,期貨大額交易人未沖銷部位!$A$4:$O$499,7,FALSE)</f>
        <v>#N/A</v>
      </c>
      <c r="Z312" s="40" t="e">
        <f>VLOOKUP($B312,期貨大額交易人未沖銷部位!$A$4:$O$499,10,FALSE)</f>
        <v>#N/A</v>
      </c>
      <c r="AA312" s="40" t="e">
        <f>VLOOKUP($B312,期貨大額交易人未沖銷部位!$A$4:$O$499,13,FALSE)</f>
        <v>#N/A</v>
      </c>
      <c r="AB312" s="40" t="e">
        <f>VLOOKUP($B312,期貨大額交易人未沖銷部位!$A$4:$O$499,14,FALSE)</f>
        <v>#N/A</v>
      </c>
      <c r="AC312" s="40" t="e">
        <f>VLOOKUP($B312,期貨大額交易人未沖銷部位!$A$4:$O$499,15,FALSE)</f>
        <v>#N/A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2"/>
  <sheetViews>
    <sheetView workbookViewId="0">
      <pane ySplit="3" topLeftCell="A308" activePane="bottomLeft" state="frozen"/>
      <selection pane="bottomLeft" activeCell="F316" sqref="F31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3"/>
  <sheetViews>
    <sheetView zoomScale="85" zoomScaleNormal="85" workbookViewId="0">
      <pane ySplit="3" topLeftCell="A308" activePane="bottomLeft" state="frozen"/>
      <selection pane="bottomLeft" activeCell="I320" sqref="I32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29" t="s">
        <v>51</v>
      </c>
      <c r="C1" s="104"/>
      <c r="D1" s="104"/>
      <c r="E1" s="137" t="s">
        <v>49</v>
      </c>
      <c r="F1" s="137" t="s">
        <v>50</v>
      </c>
      <c r="G1" s="133" t="s">
        <v>52</v>
      </c>
      <c r="H1" s="134"/>
      <c r="I1" s="134"/>
      <c r="J1" s="135"/>
      <c r="K1" s="136"/>
      <c r="L1" s="137" t="s">
        <v>53</v>
      </c>
      <c r="M1" s="137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8"/>
      <c r="F2" s="138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8"/>
      <c r="M2" s="138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0" t="s">
        <v>57</v>
      </c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2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2"/>
  <sheetViews>
    <sheetView workbookViewId="0">
      <pane ySplit="3" topLeftCell="A307" activePane="bottomLeft" state="frozen"/>
      <selection pane="bottomLeft" activeCell="I320" sqref="I32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1" t="s">
        <v>40</v>
      </c>
      <c r="B2" s="139" t="s">
        <v>44</v>
      </c>
      <c r="C2" s="140"/>
      <c r="D2" s="140"/>
      <c r="E2" s="140"/>
      <c r="F2" s="140"/>
      <c r="G2" s="140"/>
      <c r="H2" s="140"/>
      <c r="I2" s="140"/>
    </row>
    <row r="3" spans="1:9">
      <c r="A3" s="131"/>
      <c r="B3" s="130" t="s">
        <v>41</v>
      </c>
      <c r="C3" s="131"/>
      <c r="D3" s="131"/>
      <c r="E3" s="131"/>
      <c r="F3" s="131"/>
      <c r="G3" s="131"/>
      <c r="H3" s="131"/>
      <c r="I3" s="131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2"/>
  <sheetViews>
    <sheetView workbookViewId="0">
      <pane ySplit="3" topLeftCell="A307" activePane="bottomLeft" state="frozen"/>
      <selection pane="bottomLeft" activeCell="F322" sqref="F322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1" t="s">
        <v>40</v>
      </c>
      <c r="B2" s="141"/>
      <c r="C2" s="131"/>
      <c r="D2" s="131"/>
    </row>
    <row r="3" spans="1:4" ht="16.2">
      <c r="A3" s="131"/>
      <c r="B3" s="141" t="s">
        <v>151</v>
      </c>
      <c r="C3" s="131"/>
      <c r="D3" s="131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2"/>
  <sheetViews>
    <sheetView zoomScale="85" zoomScaleNormal="85" workbookViewId="0">
      <pane ySplit="3" topLeftCell="A308" activePane="bottomLeft" state="frozen"/>
      <selection pane="bottomLeft" activeCell="F320" sqref="F32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2" t="s">
        <v>66</v>
      </c>
      <c r="C1" s="112"/>
      <c r="D1" s="112"/>
      <c r="E1" s="112"/>
      <c r="F1" s="142" t="s">
        <v>91</v>
      </c>
      <c r="G1" s="143"/>
      <c r="H1" s="143"/>
      <c r="I1" s="143"/>
    </row>
    <row r="2" spans="1:9" s="1" customFormat="1" ht="39.6">
      <c r="A2" s="15" t="s">
        <v>1</v>
      </c>
      <c r="B2" s="166" t="s">
        <v>67</v>
      </c>
      <c r="C2" s="166" t="s">
        <v>68</v>
      </c>
      <c r="D2" s="166" t="s">
        <v>69</v>
      </c>
      <c r="E2" s="166" t="s">
        <v>70</v>
      </c>
      <c r="F2" s="143"/>
      <c r="G2" s="143"/>
      <c r="H2" s="143"/>
      <c r="I2" s="143"/>
    </row>
    <row r="3" spans="1:9">
      <c r="A3" s="15" t="s">
        <v>40</v>
      </c>
      <c r="B3" s="130" t="s">
        <v>71</v>
      </c>
      <c r="C3" s="131"/>
      <c r="D3" s="131"/>
      <c r="E3" s="13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4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15" sqref="J315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7" t="s">
        <v>59</v>
      </c>
      <c r="C1" s="144" t="s">
        <v>60</v>
      </c>
      <c r="D1" s="108"/>
      <c r="E1" s="108"/>
      <c r="F1" s="77"/>
      <c r="G1" s="80"/>
      <c r="H1" s="145" t="s">
        <v>63</v>
      </c>
      <c r="I1" s="146"/>
      <c r="J1" s="146"/>
      <c r="K1" s="17"/>
      <c r="L1" s="149" t="s">
        <v>65</v>
      </c>
    </row>
    <row r="2" spans="1:12" s="1" customFormat="1">
      <c r="A2" s="15"/>
      <c r="B2" s="148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0"/>
    </row>
    <row r="3" spans="1:12">
      <c r="A3" s="15" t="s">
        <v>40</v>
      </c>
      <c r="B3" s="151" t="s">
        <v>101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</row>
    <row r="4" spans="1:12">
      <c r="A4" s="15" t="s">
        <v>40</v>
      </c>
      <c r="B4" s="151" t="s">
        <v>57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2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12" sqref="B31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4" t="s">
        <v>72</v>
      </c>
      <c r="C1" s="155"/>
    </row>
    <row r="2" spans="1:3" s="1" customFormat="1">
      <c r="A2" s="15" t="s">
        <v>1</v>
      </c>
      <c r="B2" s="154" t="s">
        <v>73</v>
      </c>
      <c r="C2" s="155"/>
    </row>
    <row r="3" spans="1:3">
      <c r="A3" s="15" t="s">
        <v>40</v>
      </c>
      <c r="B3" s="130" t="s">
        <v>74</v>
      </c>
      <c r="C3" s="131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2017-12-21T13:06:36Z</dcterms:modified>
</cp:coreProperties>
</file>