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1" l="1"/>
  <c r="D332" i="18"/>
  <c r="G332" i="18"/>
  <c r="J332" i="18"/>
  <c r="M332" i="18"/>
  <c r="C332" i="17"/>
  <c r="F332" i="16"/>
  <c r="G332" i="16"/>
  <c r="H332" i="16"/>
  <c r="I332" i="16"/>
  <c r="K333" i="14"/>
  <c r="D333" i="14"/>
  <c r="I333" i="14"/>
  <c r="J333" i="14" s="1"/>
  <c r="C332" i="12"/>
  <c r="E332" i="12"/>
  <c r="G332" i="12"/>
  <c r="I332" i="12"/>
  <c r="O332" i="18" l="1"/>
  <c r="N332" i="18"/>
  <c r="D331" i="18"/>
  <c r="G331" i="18"/>
  <c r="J331" i="18"/>
  <c r="M331" i="18"/>
  <c r="C331" i="17"/>
  <c r="F333" i="15"/>
  <c r="K333" i="15"/>
  <c r="F331" i="16"/>
  <c r="G331" i="16"/>
  <c r="H331" i="16"/>
  <c r="I331" i="16"/>
  <c r="K332" i="14"/>
  <c r="D332" i="14"/>
  <c r="I332" i="14"/>
  <c r="J332" i="14" s="1"/>
  <c r="C331" i="12"/>
  <c r="E331" i="12"/>
  <c r="G331" i="12"/>
  <c r="I331" i="12"/>
  <c r="O331" i="18" l="1"/>
  <c r="N331" i="18"/>
  <c r="L333" i="15"/>
  <c r="D330" i="18"/>
  <c r="G330" i="18"/>
  <c r="J330" i="18"/>
  <c r="M330" i="18"/>
  <c r="C330" i="17"/>
  <c r="F332" i="15"/>
  <c r="K332" i="15"/>
  <c r="F330" i="16"/>
  <c r="G330" i="16"/>
  <c r="H330" i="16"/>
  <c r="I330" i="16"/>
  <c r="K331" i="14"/>
  <c r="C330" i="12"/>
  <c r="E330" i="12"/>
  <c r="G330" i="12"/>
  <c r="I330" i="12"/>
  <c r="D331" i="14"/>
  <c r="I331" i="14"/>
  <c r="J331" i="14" s="1"/>
  <c r="O330" i="18" l="1"/>
  <c r="N330" i="18"/>
  <c r="L332" i="15"/>
  <c r="D327" i="18"/>
  <c r="G327" i="18"/>
  <c r="J327" i="18"/>
  <c r="M327" i="18"/>
  <c r="C327" i="17"/>
  <c r="F329" i="15"/>
  <c r="K329" i="15"/>
  <c r="F327" i="16"/>
  <c r="G327" i="16"/>
  <c r="H327" i="16"/>
  <c r="I327" i="16"/>
  <c r="D328" i="14"/>
  <c r="I328" i="14"/>
  <c r="J328" i="14" s="1"/>
  <c r="C327" i="12"/>
  <c r="E327" i="12"/>
  <c r="G327" i="12"/>
  <c r="I327" i="12"/>
  <c r="N327" i="18" l="1"/>
  <c r="O327" i="18"/>
  <c r="L329" i="15"/>
  <c r="K328" i="14"/>
  <c r="D326" i="18"/>
  <c r="G326" i="18"/>
  <c r="J326" i="18"/>
  <c r="M326" i="18"/>
  <c r="C326" i="17"/>
  <c r="F328" i="15"/>
  <c r="K328" i="15"/>
  <c r="F326" i="16"/>
  <c r="G326" i="16"/>
  <c r="H326" i="16"/>
  <c r="I326" i="16"/>
  <c r="K327" i="14"/>
  <c r="D327" i="14"/>
  <c r="I327" i="14"/>
  <c r="J327" i="14" s="1"/>
  <c r="C326" i="12"/>
  <c r="E326" i="12"/>
  <c r="G326" i="12"/>
  <c r="I326" i="12"/>
  <c r="N326" i="18" l="1"/>
  <c r="O326" i="18"/>
  <c r="L328" i="15"/>
  <c r="D325" i="18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<sst xmlns="http://schemas.openxmlformats.org/spreadsheetml/2006/main" count="318" uniqueCount="236">
  <si>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</si>
  <si>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</si>
  <si>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</si>
  <si>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</si>
  <si>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</si>
  <si>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</si>
  <si>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</si>
  <si>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</si>
  <si>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</si>
  <si>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</si>
  <si>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</si>
  <si>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</si>
  <si>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</si>
  <si>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</si>
  <si>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</si>
  <si>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</si>
  <si>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</si>
  <si>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</si>
  <si>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</si>
  <si>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</si>
  <si>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</si>
  <si>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</si>
  <si>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</si>
  <si>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</si>
  <si>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</si>
  <si>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</si>
  <si>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</si>
  <si>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</si>
  <si>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</si>
  <si>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</si>
  <si>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</si>
  <si>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</si>
  <si>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</si>
  <si>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</si>
  <si>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</si>
  <si>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</si>
  <si>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</si>
  <si>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</si>
  <si>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</si>
  <si>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</si>
  <si>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</si>
  <si>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</si>
  <si>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</si>
  <si>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</si>
  <si>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</si>
  <si>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</si>
  <si>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</si>
  <si>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</si>
  <si>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</si>
  <si>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</si>
  <si>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</si>
  <si>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</si>
  <si>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</si>
  <si>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</si>
  <si>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</si>
  <si>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</si>
  <si>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</si>
  <si>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</si>
  <si>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</si>
  <si>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</si>
  <si>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</si>
  <si>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</si>
  <si>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</si>
  <si>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</si>
  <si>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</si>
  <si>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</si>
  <si>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</si>
  <si>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</si>
  <si>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</si>
  <si>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</si>
  <si>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</si>
  <si>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</si>
  <si>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</si>
  <si>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</si>
  <si>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</si>
  <si>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</si>
  <si>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</si>
  <si>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</si>
  <si>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</si>
  <si>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</si>
  <si>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</si>
  <si>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</si>
  <si>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</si>
  <si>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</si>
  <si>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</si>
  <si>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</si>
  <si>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</si>
  <si>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</si>
  <si>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</si>
  <si>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</si>
  <si>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</si>
  <si>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</si>
  <si>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</si>
  <si>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</si>
  <si>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</si>
  <si>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</si>
  <si>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</si>
  <si>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</si>
  <si>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</si>
  <si>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</si>
  <si>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</si>
  <si>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</si>
  <si>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</si>
  <si>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</si>
  <si>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</si>
  <si>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</si>
  <si>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</si>
  <si>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</si>
  <si>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</si>
  <si>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</si>
  <si>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</si>
  <si>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</si>
  <si>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</si>
  <si>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</si>
  <si>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</si>
  <si>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</si>
  <si>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</si>
  <si>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</si>
  <si>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</si>
  <si>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</si>
  <si>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</si>
  <si>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</si>
  <si>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</si>
  <si>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</si>
  <si>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</si>
  <si>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</si>
  <si>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</si>
  <si>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</si>
  <si>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</si>
  <si>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</si>
  <si>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</si>
  <si>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</si>
  <si>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</si>
  <si>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</si>
  <si>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</si>
  <si>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</si>
  <si>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</si>
  <si>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</si>
  <si>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</si>
  <si>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</si>
  <si>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</si>
  <si>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</si>
  <si>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</si>
  <si>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</si>
  <si>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</si>
  <si>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</si>
  <si>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</si>
  <si>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</si>
  <si>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</si>
  <si>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</si>
  <si>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</si>
  <si>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</si>
  <si>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</si>
  <si>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</si>
  <si>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</si>
  <si>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</si>
  <si>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</si>
  <si>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</si>
  <si>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</si>
  <si>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</si>
  <si>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</si>
  <si>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</si>
  <si>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</si>
  <si>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</si>
  <si>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</si>
  <si>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</si>
  <si>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</si>
  <si>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</si>
  <si>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</si>
  <si>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</si>
  <si>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</si>
  <si>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</si>
  <si>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</si>
  <si>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</si>
  <si>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</si>
  <si>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</si>
  <si>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</si>
  <si>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</si>
  <si>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</si>
  <si>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</si>
  <si>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</si>
  <si>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</si>
  <si>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</si>
  <si>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</si>
  <si>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</si>
  <si>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</si>
  <si>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</si>
  <si>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</si>
  <si>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</si>
  <si>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</si>
  <si>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</si>
  <si>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</si>
  <si>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</si>
  <si>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</si>
  <si>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</si>
  <si>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</si>
  <si>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</si>
  <si>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</si>
  <si>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</si>
  <si>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</si>
  <si>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</si>
  <si>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</si>
  <si>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</si>
  <si>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</si>
  <si>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</si>
  <si>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</si>
  <si>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</si>
  <si>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</si>
  <si>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</si>
  <si>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</si>
  <si>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</si>
  <si>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</si>
  <si>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</si>
  <si>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</si>
  <si>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</si>
  <si>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</si>
  <si>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</si>
  <si>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</si>
  <si>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</si>
  <si>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</si>
  <si>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</si>
  <si>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</si>
  <si>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</si>
  <si>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</si>
  <si>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</si>
  <si>
    <t>1431.29億</t>
  </si>
  <si>
    <t>4586口</t>
  </si>
  <si>
    <t>1411.61億</t>
  </si>
  <si>
    <t>11114口</t>
  </si>
  <si>
    <t>1370.7億</t>
  </si>
  <si>
    <t>7787口</t>
  </si>
  <si>
    <t>1302.35億</t>
  </si>
  <si>
    <t>4346口</t>
  </si>
  <si>
    <t>http://www.taifex.com.tw/chinese/3/7_8.asp</t>
    <phoneticPr fontId="3" type="noConversion"/>
  </si>
  <si>
    <t>1375.61億</t>
  </si>
  <si>
    <t>10015口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</si>
</sst>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79838721"/>
  <ax:ocxPr ax:name="CurrentDate" ax:value="4311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6" sqref="D16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43110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10831.09</v>
      </c>
      <c r="D7" s="34">
        <f>VLOOKUP($B$6,資料整合一覽!$B$3:$AF$500,3,FALSE)</f>
        <v>-83.8</v>
      </c>
      <c r="E7" s="35">
        <f>VLOOKUP($B$6,資料整合一覽!$B$3:$AF$500,4,FALSE)</f>
        <v>-7.7000000000000002E-3</v>
      </c>
      <c r="F7" s="33" t="str">
        <f>VLOOKUP($B$6,資料整合一覽!$B$3:$AF$500,5,FALSE)</f>
        <v>1375.61億</v>
      </c>
      <c r="G7" s="36">
        <f>VLOOKUP($B$6,資料整合一覽!$B$3:$AF$500,6,FALSE)</f>
        <v>1.75967476</v>
      </c>
      <c r="H7" s="34">
        <f>VLOOKUP($B$6,資料整合一覽!$B$3:$AF$500,7,FALSE)</f>
        <v>-0.72425444000000005</v>
      </c>
      <c r="I7" s="34">
        <f>VLOOKUP($B$6,資料整合一覽!$B$3:$AF$500,8,FALSE)</f>
        <v>5.2650707499999996</v>
      </c>
      <c r="J7" s="34">
        <f>VLOOKUP($B$6,資料整合一覽!$B$3:$AF$500,9,FALSE)</f>
        <v>-32.209586129999998</v>
      </c>
      <c r="K7" s="37">
        <f>VLOOKUP($B$6,資料整合一覽!$B$3:$AF$500,10,FALSE)</f>
        <v>29.600999999999999</v>
      </c>
      <c r="L7" s="38">
        <f>VLOOKUP($B$6,資料整合一覽!$B$3:$AF$500,11,FALSE)</f>
        <v>6.5000000000000002E-2</v>
      </c>
      <c r="M7" s="39">
        <f>VLOOKUP($B$6,資料整合一覽!$B$3:$AF$500,12,FALSE)</f>
        <v>0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-2879.75</v>
      </c>
      <c r="D11" s="27">
        <f>VLOOKUP($B$6,資料整合一覽!$B$3:$AF$500,14,FALSE)</f>
        <v>55577.5</v>
      </c>
      <c r="E11" s="64">
        <f>VLOOKUP($B$6,資料整合一覽!$B$3:$AF$500,17,FALSE)</f>
        <v>23.674299999999999</v>
      </c>
      <c r="F11" s="64">
        <f>VLOOKUP($B$6,資料整合一覽!$B$3:$AF$500,18,FALSE)</f>
        <v>-6.0176999999999996</v>
      </c>
      <c r="G11" s="64">
        <f>VLOOKUP($B$6,資料整合一覽!$B$3:$AF$500,19,FALSE)</f>
        <v>28.134</v>
      </c>
      <c r="H11" s="64">
        <f>VLOOKUP($B$6,資料整合一覽!$B$3:$AF$500,20,FALSE)</f>
        <v>25.4298</v>
      </c>
      <c r="I11" s="39">
        <f>VLOOKUP($B$6,資料整合一覽!$B$3:$AF$500,21,FALSE)</f>
        <v>1.8318000000000001</v>
      </c>
      <c r="J11" s="41" t="e">
        <f>VLOOKUP($B$6,資料整合一覽!$B$3:$AF$500,22,FALSE)</f>
        <v>#N/A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32"/>
  <sheetViews>
    <sheetView zoomScale="80" zoomScaleNormal="80" workbookViewId="0">
      <pane ySplit="3" topLeftCell="A316" activePane="bottomLeft" state="frozen"/>
      <selection pane="bottomLeft" activeCell="K335" sqref="K33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233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  <row r="326" spans="1:15">
      <c r="A326" s="9">
        <v>43104</v>
      </c>
      <c r="B326" s="10">
        <v>49748</v>
      </c>
      <c r="C326" s="10">
        <v>46399</v>
      </c>
      <c r="D326" s="25">
        <f t="shared" ref="D326" si="315">B326-C326</f>
        <v>3349</v>
      </c>
      <c r="E326" s="10">
        <v>61616</v>
      </c>
      <c r="F326" s="10">
        <v>53345</v>
      </c>
      <c r="G326" s="26">
        <f t="shared" ref="G326" si="316">E326-F326</f>
        <v>8271</v>
      </c>
      <c r="H326" s="10">
        <v>50384</v>
      </c>
      <c r="I326" s="10">
        <v>46744</v>
      </c>
      <c r="J326" s="25">
        <f t="shared" ref="J326" si="317">H326-I326</f>
        <v>3640</v>
      </c>
      <c r="K326" s="10">
        <v>64491</v>
      </c>
      <c r="L326" s="10">
        <v>56705</v>
      </c>
      <c r="M326" s="26">
        <f t="shared" ref="M326" si="318">K326-L326</f>
        <v>7786</v>
      </c>
      <c r="N326" s="25">
        <f t="shared" ref="N326" si="319">J326-D326</f>
        <v>291</v>
      </c>
      <c r="O326" s="26">
        <f t="shared" ref="O326" si="320">M326-G326</f>
        <v>-485</v>
      </c>
    </row>
    <row r="327" spans="1:15">
      <c r="A327" s="9">
        <v>43105</v>
      </c>
      <c r="B327" s="10">
        <v>48886</v>
      </c>
      <c r="C327" s="10">
        <v>46006</v>
      </c>
      <c r="D327" s="25">
        <f t="shared" ref="D327" si="321">B327-C327</f>
        <v>2880</v>
      </c>
      <c r="E327" s="10">
        <v>60609</v>
      </c>
      <c r="F327" s="10">
        <v>53356</v>
      </c>
      <c r="G327" s="26">
        <f t="shared" ref="G327" si="322">E327-F327</f>
        <v>7253</v>
      </c>
      <c r="H327" s="10">
        <v>49522</v>
      </c>
      <c r="I327" s="10">
        <v>46504</v>
      </c>
      <c r="J327" s="25">
        <f t="shared" ref="J327" si="323">H327-I327</f>
        <v>3018</v>
      </c>
      <c r="K327" s="10">
        <v>64081</v>
      </c>
      <c r="L327" s="10">
        <v>56763</v>
      </c>
      <c r="M327" s="26">
        <f t="shared" ref="M327" si="324">K327-L327</f>
        <v>7318</v>
      </c>
      <c r="N327" s="25">
        <f t="shared" ref="N327" si="325">J327-D327</f>
        <v>138</v>
      </c>
      <c r="O327" s="26">
        <f t="shared" ref="O327" si="326">M327-G327</f>
        <v>65</v>
      </c>
    </row>
    <row r="328" spans="1:15">
      <c r="A328" s="9">
        <v>43106</v>
      </c>
      <c r="B328" s="10"/>
      <c r="C328" s="10"/>
      <c r="D328" s="25"/>
      <c r="E328" s="10"/>
      <c r="F328" s="10"/>
      <c r="G328" s="26"/>
      <c r="H328" s="10"/>
      <c r="I328" s="10"/>
      <c r="J328" s="25"/>
      <c r="K328" s="10"/>
      <c r="L328" s="10"/>
      <c r="M328" s="26"/>
      <c r="N328" s="25"/>
      <c r="O328" s="26"/>
    </row>
    <row r="329" spans="1:15">
      <c r="A329" s="9">
        <v>43107</v>
      </c>
      <c r="B329" s="10"/>
      <c r="C329" s="10"/>
      <c r="D329" s="25"/>
      <c r="E329" s="10"/>
      <c r="F329" s="10"/>
      <c r="G329" s="26"/>
      <c r="H329" s="10"/>
      <c r="I329" s="10"/>
      <c r="J329" s="25"/>
      <c r="K329" s="10"/>
      <c r="L329" s="10"/>
      <c r="M329" s="26"/>
      <c r="N329" s="25"/>
      <c r="O329" s="26"/>
    </row>
    <row r="330" spans="1:15">
      <c r="A330" s="9">
        <v>43108</v>
      </c>
      <c r="B330" s="10">
        <v>48648</v>
      </c>
      <c r="C330" s="10">
        <v>47413</v>
      </c>
      <c r="D330" s="25">
        <f t="shared" ref="D330" si="327">B330-C330</f>
        <v>1235</v>
      </c>
      <c r="E330" s="10">
        <v>60633</v>
      </c>
      <c r="F330" s="10">
        <v>53938</v>
      </c>
      <c r="G330" s="26">
        <f t="shared" ref="G330" si="328">E330-F330</f>
        <v>6695</v>
      </c>
      <c r="H330" s="10">
        <v>49284</v>
      </c>
      <c r="I330" s="10">
        <v>48031</v>
      </c>
      <c r="J330" s="25">
        <f t="shared" ref="J330" si="329">H330-I330</f>
        <v>1253</v>
      </c>
      <c r="K330" s="10">
        <v>64999</v>
      </c>
      <c r="L330" s="10">
        <v>57153</v>
      </c>
      <c r="M330" s="26">
        <f t="shared" ref="M330" si="330">K330-L330</f>
        <v>7846</v>
      </c>
      <c r="N330" s="25">
        <f t="shared" ref="N330" si="331">J330-D330</f>
        <v>18</v>
      </c>
      <c r="O330" s="26">
        <f t="shared" ref="O330" si="332">M330-G330</f>
        <v>1151</v>
      </c>
    </row>
    <row r="331" spans="1:15">
      <c r="A331" s="9">
        <v>43109</v>
      </c>
      <c r="B331" s="10">
        <v>48853</v>
      </c>
      <c r="C331" s="10">
        <v>46768</v>
      </c>
      <c r="D331" s="25">
        <f t="shared" ref="D331" si="333">B331-C331</f>
        <v>2085</v>
      </c>
      <c r="E331" s="10">
        <v>62078</v>
      </c>
      <c r="F331" s="10">
        <v>53749</v>
      </c>
      <c r="G331" s="26">
        <f t="shared" ref="G331" si="334">E331-F331</f>
        <v>8329</v>
      </c>
      <c r="H331" s="10">
        <v>49791</v>
      </c>
      <c r="I331" s="10">
        <v>47727</v>
      </c>
      <c r="J331" s="25">
        <f t="shared" ref="J331" si="335">H331-I331</f>
        <v>2064</v>
      </c>
      <c r="K331" s="10">
        <v>66542</v>
      </c>
      <c r="L331" s="10">
        <v>56977</v>
      </c>
      <c r="M331" s="26">
        <f t="shared" ref="M331" si="336">K331-L331</f>
        <v>9565</v>
      </c>
      <c r="N331" s="25">
        <f t="shared" ref="N331" si="337">J331-D331</f>
        <v>-21</v>
      </c>
      <c r="O331" s="26">
        <f t="shared" ref="O331" si="338">M331-G331</f>
        <v>1236</v>
      </c>
    </row>
    <row r="332" spans="1:15">
      <c r="A332" s="9">
        <v>43110</v>
      </c>
      <c r="B332" s="10">
        <v>47789</v>
      </c>
      <c r="C332" s="10">
        <v>46474</v>
      </c>
      <c r="D332" s="25">
        <f t="shared" ref="D332" si="339">B332-C332</f>
        <v>1315</v>
      </c>
      <c r="E332" s="10">
        <v>60267</v>
      </c>
      <c r="F332" s="10">
        <v>53626</v>
      </c>
      <c r="G332" s="26">
        <f t="shared" ref="G332" si="340">E332-F332</f>
        <v>6641</v>
      </c>
      <c r="H332" s="10">
        <v>50273</v>
      </c>
      <c r="I332" s="10">
        <v>47338</v>
      </c>
      <c r="J332" s="25">
        <f t="shared" ref="J332" si="341">H332-I332</f>
        <v>2935</v>
      </c>
      <c r="K332" s="10">
        <v>66129</v>
      </c>
      <c r="L332" s="10">
        <v>58525</v>
      </c>
      <c r="M332" s="26">
        <f t="shared" ref="M332" si="342">K332-L332</f>
        <v>7604</v>
      </c>
      <c r="N332" s="25">
        <f t="shared" ref="N332" si="343">J332-D332</f>
        <v>1620</v>
      </c>
      <c r="O332" s="26">
        <f t="shared" ref="O332" si="344">M332-G332</f>
        <v>963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31"/>
  <sheetViews>
    <sheetView zoomScaleNormal="100" workbookViewId="0">
      <pane ySplit="3" topLeftCell="A326" activePane="bottomLeft" state="frozen"/>
      <selection pane="bottomLeft" activeCell="B3" sqref="B3:J3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/>
      <c r="C324" s="27"/>
      <c r="D324" s="91"/>
      <c r="E324" s="89"/>
      <c r="F324" s="27"/>
      <c r="G324" s="91"/>
      <c r="H324" s="89"/>
      <c r="I324" s="27"/>
      <c r="J324" s="91"/>
    </row>
    <row r="325" spans="1:10">
      <c r="A325" s="92">
        <v>43103</v>
      </c>
      <c r="B325" s="89"/>
      <c r="C325" s="27"/>
      <c r="D325" s="91"/>
      <c r="E325" s="89"/>
      <c r="F325" s="27"/>
      <c r="G325" s="91"/>
      <c r="H325" s="89"/>
      <c r="I325" s="27"/>
      <c r="J325" s="91"/>
    </row>
    <row r="326" spans="1:10">
      <c r="A326" s="92">
        <v>43104</v>
      </c>
      <c r="B326" s="89"/>
      <c r="C326" s="27"/>
      <c r="D326" s="91"/>
      <c r="E326" s="89"/>
      <c r="F326" s="27"/>
      <c r="G326" s="91"/>
      <c r="H326" s="89"/>
      <c r="I326" s="27"/>
      <c r="J326" s="91"/>
    </row>
    <row r="327" spans="1:10">
      <c r="A327" s="92">
        <v>43105</v>
      </c>
      <c r="B327" s="89"/>
      <c r="C327" s="27"/>
      <c r="D327" s="91"/>
      <c r="E327" s="89"/>
      <c r="F327" s="27"/>
      <c r="G327" s="91"/>
      <c r="H327" s="89"/>
      <c r="I327" s="27"/>
      <c r="J327" s="91"/>
    </row>
    <row r="328" spans="1:10">
      <c r="A328" s="92">
        <v>43106</v>
      </c>
      <c r="B328" s="89"/>
      <c r="C328" s="27"/>
      <c r="D328" s="91"/>
      <c r="E328" s="89"/>
      <c r="F328" s="27"/>
      <c r="G328" s="91"/>
      <c r="H328" s="89"/>
      <c r="I328" s="27"/>
      <c r="J328" s="91"/>
    </row>
    <row r="329" spans="1:10">
      <c r="A329" s="92">
        <v>43107</v>
      </c>
      <c r="B329" s="89"/>
      <c r="C329" s="27"/>
      <c r="D329" s="91"/>
      <c r="E329" s="89"/>
      <c r="F329" s="27"/>
      <c r="G329" s="91"/>
      <c r="H329" s="89"/>
      <c r="I329" s="27"/>
      <c r="J329" s="91"/>
    </row>
    <row r="330" spans="1:10">
      <c r="A330" s="92">
        <v>43108</v>
      </c>
      <c r="B330" s="89">
        <v>25252.18</v>
      </c>
      <c r="C330" s="27">
        <v>-43.69</v>
      </c>
      <c r="D330" s="91">
        <v>-1.6999999999999999E-3</v>
      </c>
      <c r="E330" s="89">
        <v>7145.09</v>
      </c>
      <c r="F330" s="27">
        <v>8.5299999999999994</v>
      </c>
      <c r="G330" s="91">
        <v>1.1999999999999999E-3</v>
      </c>
      <c r="H330" s="89">
        <v>1328.93</v>
      </c>
      <c r="I330" s="27">
        <v>3.22</v>
      </c>
      <c r="J330" s="91">
        <v>2.3999999999999998E-3</v>
      </c>
    </row>
    <row r="331" spans="1:10">
      <c r="A331" s="92">
        <v>43109</v>
      </c>
      <c r="B331" s="89">
        <v>25252.18</v>
      </c>
      <c r="C331" s="27">
        <v>-43.69</v>
      </c>
      <c r="D331" s="91">
        <v>0.99829999999999997</v>
      </c>
      <c r="E331" s="89">
        <v>7145.09</v>
      </c>
      <c r="F331" s="27">
        <v>8.5299999999999994</v>
      </c>
      <c r="G331" s="91">
        <v>1.0012000000000001</v>
      </c>
      <c r="H331" s="89">
        <v>1328.93</v>
      </c>
      <c r="I331" s="27">
        <v>3.22</v>
      </c>
      <c r="J331" s="91">
        <v>1.0024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VLOOKUP($B318,期貨未平倉口數!$A$4:$M$499,4,FALSE)</f>
        <v>-7500.75</v>
      </c>
      <c r="O318" s="27">
        <f>VLOOKUP($B318,期貨未平倉口數!$A$4:$M$499,9,FALSE)</f>
        <v>52006</v>
      </c>
      <c r="P318" s="27">
        <f>VLOOKUP($B318,期貨未平倉口數!$A$4:$M$499,10,FALSE)</f>
        <v>5960.75</v>
      </c>
      <c r="Q318" s="27">
        <f>VLOOKUP($B318,期貨未平倉口數!$A$4:$M$499,11,FALSE)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VLOOKUP($B319,期貨未平倉口數!$A$4:$M$499,4,FALSE)</f>
        <v>-5388.5</v>
      </c>
      <c r="O319" s="27">
        <f>VLOOKUP($B319,期貨未平倉口數!$A$4:$M$499,9,FALSE)</f>
        <v>49567.25</v>
      </c>
      <c r="P319" s="27">
        <f>VLOOKUP($B319,期貨未平倉口數!$A$4:$M$499,10,FALSE)</f>
        <v>3522</v>
      </c>
      <c r="Q319" s="27">
        <f>VLOOKUP($B319,期貨未平倉口數!$A$4:$M$499,11,FALSE)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VLOOKUP($B320,期貨未平倉口數!$A$4:$M$499,4,FALSE)</f>
        <v>0</v>
      </c>
      <c r="O320" s="27">
        <f>VLOOKUP($B320,期貨未平倉口數!$A$4:$M$499,9,FALSE)</f>
        <v>0</v>
      </c>
      <c r="P320" s="27">
        <f>VLOOKUP($B320,期貨未平倉口數!$A$4:$M$499,10,FALSE)</f>
        <v>0</v>
      </c>
      <c r="Q320" s="27">
        <f>VLOOKUP($B320,期貨未平倉口數!$A$4:$M$499,11,FALSE)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VLOOKUP($B321,期貨未平倉口數!$A$4:$M$499,4,FALSE)</f>
        <v>0</v>
      </c>
      <c r="O321" s="27">
        <f>VLOOKUP($B321,期貨未平倉口數!$A$4:$M$499,9,FALSE)</f>
        <v>0</v>
      </c>
      <c r="P321" s="27">
        <f>VLOOKUP($B321,期貨未平倉口數!$A$4:$M$499,10,FALSE)</f>
        <v>0</v>
      </c>
      <c r="Q321" s="27">
        <f>VLOOKUP($B321,期貨未平倉口數!$A$4:$M$499,11,FALSE)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VLOOKUP($B322,期貨未平倉口數!$A$4:$M$499,4,FALSE)</f>
        <v>0</v>
      </c>
      <c r="O322" s="27">
        <f>VLOOKUP($B322,期貨未平倉口數!$A$4:$M$499,9,FALSE)</f>
        <v>0</v>
      </c>
      <c r="P322" s="27">
        <f>VLOOKUP($B322,期貨未平倉口數!$A$4:$M$499,10,FALSE)</f>
        <v>0</v>
      </c>
      <c r="Q322" s="27">
        <f>VLOOKUP($B322,期貨未平倉口數!$A$4:$M$499,11,FALSE)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VLOOKUP($B323,期貨未平倉口數!$A$4:$M$499,4,FALSE)</f>
        <v>-2666.75</v>
      </c>
      <c r="O323" s="27">
        <f>VLOOKUP($B323,期貨未平倉口數!$A$4:$M$499,9,FALSE)</f>
        <v>53101</v>
      </c>
      <c r="P323" s="27">
        <f>VLOOKUP($B323,期貨未平倉口數!$A$4:$M$499,10,FALSE)</f>
        <v>7055.75</v>
      </c>
      <c r="Q323" s="27">
        <f>VLOOKUP($B323,期貨未平倉口數!$A$4:$M$499,11,FALSE)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0</v>
      </c>
      <c r="AE323" s="33">
        <f>VLOOKUP($B323,三大美股走勢!$A$4:$J$495,7,FALSE)</f>
        <v>0</v>
      </c>
      <c r="AF323" s="33">
        <f>VLOOKUP($B323,三大美股走勢!$A$4:$J$495,10,FALSE)</f>
        <v>0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92.162000000000006</v>
      </c>
      <c r="N324" s="27">
        <f>VLOOKUP($B324,期貨未平倉口數!$A$4:$M$499,4,FALSE)</f>
        <v>-1147.75</v>
      </c>
      <c r="O324" s="27">
        <f>VLOOKUP($B324,期貨未平倉口數!$A$4:$M$499,9,FALSE)</f>
        <v>51933.25</v>
      </c>
      <c r="P324" s="27">
        <f>VLOOKUP($B324,期貨未平倉口數!$A$4:$M$499,10,FALSE)</f>
        <v>5888</v>
      </c>
      <c r="Q324" s="27">
        <f>VLOOKUP($B324,期貨未平倉口數!$A$4:$M$499,11,FALSE)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>
        <f>VLOOKUP($B324,三大美股走勢!$A$4:$J$495,4,FALSE)</f>
        <v>0</v>
      </c>
      <c r="AE324" s="33">
        <f>VLOOKUP($B324,三大美股走勢!$A$4:$J$495,7,FALSE)</f>
        <v>0</v>
      </c>
      <c r="AF324" s="33">
        <f>VLOOKUP($B324,三大美股走勢!$A$4:$J$495,10,FALSE)</f>
        <v>0</v>
      </c>
    </row>
    <row r="325" spans="2:32">
      <c r="B325" s="32">
        <v>43104</v>
      </c>
      <c r="C325" s="33">
        <f>VLOOKUP($B325,大盤與近月台指!$A$4:$I$499,2,FALSE)</f>
        <v>10848.63</v>
      </c>
      <c r="D325" s="34">
        <f>VLOOKUP($B325,大盤與近月台指!$A$4:$I$499,3,FALSE)</f>
        <v>47.06</v>
      </c>
      <c r="E325" s="35">
        <f>VLOOKUP($B325,大盤與近月台指!$A$4:$I$499,4,FALSE)</f>
        <v>4.4000000000000003E-3</v>
      </c>
      <c r="F325" s="33" t="str">
        <f>VLOOKUP($B325,大盤與近月台指!$A$4:$I$499,5,FALSE)</f>
        <v>1431.29億</v>
      </c>
      <c r="G325" s="49">
        <f>VLOOKUP($B325,三大法人買賣超!$A$4:$I$500,3,FALSE)</f>
        <v>10.2002825</v>
      </c>
      <c r="H325" s="34">
        <f>VLOOKUP($B325,三大法人買賣超!$A$4:$I$500,5,FALSE)</f>
        <v>8.17845859</v>
      </c>
      <c r="I325" s="27">
        <f>VLOOKUP($B325,三大法人買賣超!$A$4:$I$500,7,FALSE)</f>
        <v>-1.4165397399999999</v>
      </c>
      <c r="J325" s="27">
        <f>VLOOKUP($B325,三大法人買賣超!$A$4:$I$500,9,FALSE)</f>
        <v>54.74260013</v>
      </c>
      <c r="K325" s="37">
        <f>新台幣匯率美元指數!B326</f>
        <v>29.59</v>
      </c>
      <c r="L325" s="38">
        <f>新台幣匯率美元指數!C326</f>
        <v>-0.01</v>
      </c>
      <c r="M325" s="39">
        <f>新台幣匯率美元指數!D326</f>
        <v>91.852999999999994</v>
      </c>
      <c r="N325" s="27">
        <f>VLOOKUP($B325,期貨未平倉口數!$A$4:$M$499,4,FALSE)</f>
        <v>-100.75</v>
      </c>
      <c r="O325" s="27">
        <f>VLOOKUP($B325,期貨未平倉口數!$A$4:$M$499,9,FALSE)</f>
        <v>53029</v>
      </c>
      <c r="P325" s="27">
        <f>VLOOKUP($B325,期貨未平倉口數!$A$4:$M$499,10,FALSE)</f>
        <v>6983.75</v>
      </c>
      <c r="Q325" s="27">
        <f>VLOOKUP($B325,期貨未平倉口數!$A$4:$M$499,11,FALSE)</f>
        <v>1095.75</v>
      </c>
      <c r="R325" s="64">
        <f>VLOOKUP($B325,選擇權未平倉餘額!$A$4:$I$500,6,FALSE)</f>
        <v>24.318000000000001</v>
      </c>
      <c r="S325" s="64">
        <f>VLOOKUP($B325,選擇權未平倉餘額!$A$4:$I$500,7,FALSE)</f>
        <v>-5.4695999999999998</v>
      </c>
      <c r="T325" s="64">
        <f>VLOOKUP($B325,選擇權未平倉餘額!$A$4:$I$500,8,FALSE)</f>
        <v>34.642299999999999</v>
      </c>
      <c r="U325" s="64">
        <f>VLOOKUP($B325,選擇權未平倉餘額!$A$4:$I$500,9,FALSE)</f>
        <v>20.244800000000001</v>
      </c>
      <c r="V325" s="39">
        <f>VLOOKUP($B325,臺指選擇權P_C_Ratios!$A$4:$C$500,3,FALSE)</f>
        <v>1.7858000000000001</v>
      </c>
      <c r="W325" s="41">
        <f>VLOOKUP($B325,散戶多空比!$A$6:$L$500,12,FALSE)</f>
        <v>-0.17729227724279678</v>
      </c>
      <c r="X325" s="40">
        <f>VLOOKUP($B325,期貨大額交易人未沖銷部位!$A$4:$O$499,4,FALSE)</f>
        <v>3349</v>
      </c>
      <c r="Y325" s="40">
        <f>VLOOKUP($B325,期貨大額交易人未沖銷部位!$A$4:$O$499,7,FALSE)</f>
        <v>8271</v>
      </c>
      <c r="Z325" s="40">
        <f>VLOOKUP($B325,期貨大額交易人未沖銷部位!$A$4:$O$499,10,FALSE)</f>
        <v>3640</v>
      </c>
      <c r="AA325" s="40">
        <f>VLOOKUP($B325,期貨大額交易人未沖銷部位!$A$4:$O$499,13,FALSE)</f>
        <v>7786</v>
      </c>
      <c r="AB325" s="40">
        <f>VLOOKUP($B325,期貨大額交易人未沖銷部位!$A$4:$O$499,14,FALSE)</f>
        <v>291</v>
      </c>
      <c r="AC325" s="40">
        <f>VLOOKUP($B325,期貨大額交易人未沖銷部位!$A$4:$O$499,15,FALSE)</f>
        <v>-485</v>
      </c>
      <c r="AD325" s="33">
        <f>VLOOKUP($B325,三大美股走勢!$A$4:$J$495,4,FALSE)</f>
        <v>0</v>
      </c>
      <c r="AE325" s="33">
        <f>VLOOKUP($B325,三大美股走勢!$A$4:$J$495,7,FALSE)</f>
        <v>0</v>
      </c>
      <c r="AF325" s="33">
        <f>VLOOKUP($B325,三大美股走勢!$A$4:$J$495,10,FALSE)</f>
        <v>0</v>
      </c>
    </row>
    <row r="326" spans="2:32">
      <c r="B326" s="32">
        <v>43105</v>
      </c>
      <c r="C326" s="33">
        <f>VLOOKUP($B326,大盤與近月台指!$A$4:$I$499,2,FALSE)</f>
        <v>10879.8</v>
      </c>
      <c r="D326" s="34">
        <f>VLOOKUP($B326,大盤與近月台指!$A$4:$I$499,3,FALSE)</f>
        <v>31.17</v>
      </c>
      <c r="E326" s="35">
        <f>VLOOKUP($B326,大盤與近月台指!$A$4:$I$499,4,FALSE)</f>
        <v>2.8999999999999998E-3</v>
      </c>
      <c r="F326" s="33" t="str">
        <f>VLOOKUP($B326,大盤與近月台指!$A$4:$I$499,5,FALSE)</f>
        <v>1411.61億</v>
      </c>
      <c r="G326" s="49">
        <f>VLOOKUP($B326,三大法人買賣超!$A$4:$I$500,3,FALSE)</f>
        <v>9.4746193000000005</v>
      </c>
      <c r="H326" s="34">
        <f>VLOOKUP($B326,三大法人買賣超!$A$4:$I$500,5,FALSE)</f>
        <v>6.88283515</v>
      </c>
      <c r="I326" s="27">
        <f>VLOOKUP($B326,三大法人買賣超!$A$4:$I$500,7,FALSE)</f>
        <v>-3.3491968600000002</v>
      </c>
      <c r="J326" s="27">
        <f>VLOOKUP($B326,三大法人買賣超!$A$4:$I$500,9,FALSE)</f>
        <v>34.802673890000001</v>
      </c>
      <c r="K326" s="37">
        <f>新台幣匯率美元指數!B327</f>
        <v>29.523</v>
      </c>
      <c r="L326" s="38">
        <f>新台幣匯率美元指數!C327</f>
        <v>-6.7000000000000004E-2</v>
      </c>
      <c r="M326" s="39">
        <f>新台幣匯率美元指數!D327</f>
        <v>91.948999999999998</v>
      </c>
      <c r="N326" s="27">
        <f>VLOOKUP($B326,期貨未平倉口數!$A$4:$M$499,4,FALSE)</f>
        <v>-432</v>
      </c>
      <c r="O326" s="27">
        <f>VLOOKUP($B326,期貨未平倉口數!$A$4:$M$499,9,FALSE)</f>
        <v>52876.75</v>
      </c>
      <c r="P326" s="27">
        <f>VLOOKUP($B326,期貨未平倉口數!$A$4:$M$499,10,FALSE)</f>
        <v>6831.5</v>
      </c>
      <c r="Q326" s="27">
        <f>VLOOKUP($B326,期貨未平倉口數!$A$4:$M$499,11,FALSE)</f>
        <v>-152.25</v>
      </c>
      <c r="R326" s="64">
        <f>VLOOKUP($B326,選擇權未平倉餘額!$A$4:$I$500,6,FALSE)</f>
        <v>28.931699999999999</v>
      </c>
      <c r="S326" s="64">
        <f>VLOOKUP($B326,選擇權未平倉餘額!$A$4:$I$500,7,FALSE)</f>
        <v>-2.7521</v>
      </c>
      <c r="T326" s="64">
        <f>VLOOKUP($B326,選擇權未平倉餘額!$A$4:$I$500,8,FALSE)</f>
        <v>35.519199999999998</v>
      </c>
      <c r="U326" s="64">
        <f>VLOOKUP($B326,選擇權未平倉餘額!$A$4:$I$500,9,FALSE)</f>
        <v>19.220099999999999</v>
      </c>
      <c r="V326" s="39">
        <f>VLOOKUP($B326,臺指選擇權P_C_Ratios!$A$4:$C$500,3,FALSE)</f>
        <v>1.8472999999999999</v>
      </c>
      <c r="W326" s="41">
        <f>VLOOKUP($B326,散戶多空比!$A$6:$L$500,12,FALSE)</f>
        <v>-0.18299234618781277</v>
      </c>
      <c r="X326" s="40">
        <f>VLOOKUP($B326,期貨大額交易人未沖銷部位!$A$4:$O$499,4,FALSE)</f>
        <v>2880</v>
      </c>
      <c r="Y326" s="40">
        <f>VLOOKUP($B326,期貨大額交易人未沖銷部位!$A$4:$O$499,7,FALSE)</f>
        <v>7253</v>
      </c>
      <c r="Z326" s="40">
        <f>VLOOKUP($B326,期貨大額交易人未沖銷部位!$A$4:$O$499,10,FALSE)</f>
        <v>3018</v>
      </c>
      <c r="AA326" s="40">
        <f>VLOOKUP($B326,期貨大額交易人未沖銷部位!$A$4:$O$499,13,FALSE)</f>
        <v>7318</v>
      </c>
      <c r="AB326" s="40">
        <f>VLOOKUP($B326,期貨大額交易人未沖銷部位!$A$4:$O$499,14,FALSE)</f>
        <v>138</v>
      </c>
      <c r="AC326" s="40">
        <f>VLOOKUP($B326,期貨大額交易人未沖銷部位!$A$4:$O$499,15,FALSE)</f>
        <v>65</v>
      </c>
      <c r="AD326" s="33">
        <f>VLOOKUP($B326,三大美股走勢!$A$4:$J$495,4,FALSE)</f>
        <v>0</v>
      </c>
      <c r="AE326" s="33">
        <f>VLOOKUP($B326,三大美股走勢!$A$4:$J$495,7,FALSE)</f>
        <v>0</v>
      </c>
      <c r="AF326" s="33">
        <f>VLOOKUP($B326,三大美股走勢!$A$4:$J$495,10,FALSE)</f>
        <v>0</v>
      </c>
    </row>
    <row r="327" spans="2:32">
      <c r="B327" s="32">
        <v>43106</v>
      </c>
      <c r="C327" s="33">
        <f>VLOOKUP($B327,大盤與近月台指!$A$4:$I$499,2,FALSE)</f>
        <v>0</v>
      </c>
      <c r="D327" s="34">
        <f>VLOOKUP($B327,大盤與近月台指!$A$4:$I$499,3,FALSE)</f>
        <v>0</v>
      </c>
      <c r="E327" s="35">
        <f>VLOOKUP($B327,大盤與近月台指!$A$4:$I$499,4,FALSE)</f>
        <v>0</v>
      </c>
      <c r="F327" s="33">
        <f>VLOOKUP($B327,大盤與近月台指!$A$4:$I$499,5,FALSE)</f>
        <v>0</v>
      </c>
      <c r="G327" s="49">
        <f>VLOOKUP($B327,三大法人買賣超!$A$4:$I$500,3,FALSE)</f>
        <v>0</v>
      </c>
      <c r="H327" s="34">
        <f>VLOOKUP($B327,三大法人買賣超!$A$4:$I$500,5,FALSE)</f>
        <v>0</v>
      </c>
      <c r="I327" s="27">
        <f>VLOOKUP($B327,三大法人買賣超!$A$4:$I$500,7,FALSE)</f>
        <v>0</v>
      </c>
      <c r="J327" s="27">
        <f>VLOOKUP($B327,三大法人買賣超!$A$4:$I$500,9,FALSE)</f>
        <v>0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>
        <f>VLOOKUP($B327,期貨未平倉口數!$A$4:$M$499,4,FALSE)</f>
        <v>0</v>
      </c>
      <c r="O327" s="27">
        <f>VLOOKUP($B327,期貨未平倉口數!$A$4:$M$499,9,FALSE)</f>
        <v>0</v>
      </c>
      <c r="P327" s="27">
        <f>VLOOKUP($B327,期貨未平倉口數!$A$4:$M$499,10,FALSE)</f>
        <v>0</v>
      </c>
      <c r="Q327" s="27">
        <f>VLOOKUP($B327,期貨未平倉口數!$A$4:$M$499,11,FALSE)</f>
        <v>0</v>
      </c>
      <c r="R327" s="64">
        <f>VLOOKUP($B327,選擇權未平倉餘額!$A$4:$I$500,6,FALSE)</f>
        <v>0</v>
      </c>
      <c r="S327" s="64">
        <f>VLOOKUP($B327,選擇權未平倉餘額!$A$4:$I$500,7,FALSE)</f>
        <v>0</v>
      </c>
      <c r="T327" s="64">
        <f>VLOOKUP($B327,選擇權未平倉餘額!$A$4:$I$500,8,FALSE)</f>
        <v>0</v>
      </c>
      <c r="U327" s="64">
        <f>VLOOKUP($B327,選擇權未平倉餘額!$A$4:$I$500,9,FALSE)</f>
        <v>0</v>
      </c>
      <c r="V327" s="39">
        <f>VLOOKUP($B327,臺指選擇權P_C_Ratios!$A$4:$C$500,3,FALSE)</f>
        <v>0</v>
      </c>
      <c r="W327" s="41">
        <f>VLOOKUP($B327,散戶多空比!$A$6:$L$500,12,FALSE)</f>
        <v>0</v>
      </c>
      <c r="X327" s="40">
        <f>VLOOKUP($B327,期貨大額交易人未沖銷部位!$A$4:$O$499,4,FALSE)</f>
        <v>0</v>
      </c>
      <c r="Y327" s="40">
        <f>VLOOKUP($B327,期貨大額交易人未沖銷部位!$A$4:$O$499,7,FALSE)</f>
        <v>0</v>
      </c>
      <c r="Z327" s="40">
        <f>VLOOKUP($B327,期貨大額交易人未沖銷部位!$A$4:$O$499,10,FALSE)</f>
        <v>0</v>
      </c>
      <c r="AA327" s="40">
        <f>VLOOKUP($B327,期貨大額交易人未沖銷部位!$A$4:$O$499,13,FALSE)</f>
        <v>0</v>
      </c>
      <c r="AB327" s="40">
        <f>VLOOKUP($B327,期貨大額交易人未沖銷部位!$A$4:$O$499,14,FALSE)</f>
        <v>0</v>
      </c>
      <c r="AC327" s="40">
        <f>VLOOKUP($B327,期貨大額交易人未沖銷部位!$A$4:$O$499,15,FALSE)</f>
        <v>0</v>
      </c>
      <c r="AD327" s="33">
        <f>VLOOKUP($B327,三大美股走勢!$A$4:$J$495,4,FALSE)</f>
        <v>0</v>
      </c>
      <c r="AE327" s="33">
        <f>VLOOKUP($B327,三大美股走勢!$A$4:$J$495,7,FALSE)</f>
        <v>0</v>
      </c>
      <c r="AF327" s="33">
        <f>VLOOKUP($B327,三大美股走勢!$A$4:$J$495,10,FALSE)</f>
        <v>0</v>
      </c>
    </row>
    <row r="328" spans="2:32">
      <c r="B328" s="32">
        <v>43107</v>
      </c>
      <c r="C328" s="33">
        <f>VLOOKUP($B328,大盤與近月台指!$A$4:$I$499,2,FALSE)</f>
        <v>0</v>
      </c>
      <c r="D328" s="34">
        <f>VLOOKUP($B328,大盤與近月台指!$A$4:$I$499,3,FALSE)</f>
        <v>0</v>
      </c>
      <c r="E328" s="35">
        <f>VLOOKUP($B328,大盤與近月台指!$A$4:$I$499,4,FALSE)</f>
        <v>0</v>
      </c>
      <c r="F328" s="33">
        <f>VLOOKUP($B328,大盤與近月台指!$A$4:$I$499,5,FALSE)</f>
        <v>0</v>
      </c>
      <c r="G328" s="49">
        <f>VLOOKUP($B328,三大法人買賣超!$A$4:$I$500,3,FALSE)</f>
        <v>0</v>
      </c>
      <c r="H328" s="34">
        <f>VLOOKUP($B328,三大法人買賣超!$A$4:$I$500,5,FALSE)</f>
        <v>0</v>
      </c>
      <c r="I328" s="27">
        <f>VLOOKUP($B328,三大法人買賣超!$A$4:$I$500,7,FALSE)</f>
        <v>0</v>
      </c>
      <c r="J328" s="27">
        <f>VLOOKUP($B328,三大法人買賣超!$A$4:$I$500,9,FALSE)</f>
        <v>0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>
        <f>VLOOKUP($B328,期貨未平倉口數!$A$4:$M$499,4,FALSE)</f>
        <v>0</v>
      </c>
      <c r="O328" s="27">
        <f>VLOOKUP($B328,期貨未平倉口數!$A$4:$M$499,9,FALSE)</f>
        <v>0</v>
      </c>
      <c r="P328" s="27">
        <f>VLOOKUP($B328,期貨未平倉口數!$A$4:$M$499,10,FALSE)</f>
        <v>0</v>
      </c>
      <c r="Q328" s="27">
        <f>VLOOKUP($B328,期貨未平倉口數!$A$4:$M$499,11,FALSE)</f>
        <v>0</v>
      </c>
      <c r="R328" s="64">
        <f>VLOOKUP($B328,選擇權未平倉餘額!$A$4:$I$500,6,FALSE)</f>
        <v>0</v>
      </c>
      <c r="S328" s="64">
        <f>VLOOKUP($B328,選擇權未平倉餘額!$A$4:$I$500,7,FALSE)</f>
        <v>0</v>
      </c>
      <c r="T328" s="64">
        <f>VLOOKUP($B328,選擇權未平倉餘額!$A$4:$I$500,8,FALSE)</f>
        <v>0</v>
      </c>
      <c r="U328" s="64">
        <f>VLOOKUP($B328,選擇權未平倉餘額!$A$4:$I$500,9,FALSE)</f>
        <v>0</v>
      </c>
      <c r="V328" s="39">
        <f>VLOOKUP($B328,臺指選擇權P_C_Ratios!$A$4:$C$500,3,FALSE)</f>
        <v>0</v>
      </c>
      <c r="W328" s="41">
        <f>VLOOKUP($B328,散戶多空比!$A$6:$L$500,12,FALSE)</f>
        <v>0</v>
      </c>
      <c r="X328" s="40">
        <f>VLOOKUP($B328,期貨大額交易人未沖銷部位!$A$4:$O$499,4,FALSE)</f>
        <v>0</v>
      </c>
      <c r="Y328" s="40">
        <f>VLOOKUP($B328,期貨大額交易人未沖銷部位!$A$4:$O$499,7,FALSE)</f>
        <v>0</v>
      </c>
      <c r="Z328" s="40">
        <f>VLOOKUP($B328,期貨大額交易人未沖銷部位!$A$4:$O$499,10,FALSE)</f>
        <v>0</v>
      </c>
      <c r="AA328" s="40">
        <f>VLOOKUP($B328,期貨大額交易人未沖銷部位!$A$4:$O$499,13,FALSE)</f>
        <v>0</v>
      </c>
      <c r="AB328" s="40">
        <f>VLOOKUP($B328,期貨大額交易人未沖銷部位!$A$4:$O$499,14,FALSE)</f>
        <v>0</v>
      </c>
      <c r="AC328" s="40">
        <f>VLOOKUP($B328,期貨大額交易人未沖銷部位!$A$4:$O$499,15,FALSE)</f>
        <v>0</v>
      </c>
      <c r="AD328" s="33">
        <f>VLOOKUP($B328,三大美股走勢!$A$4:$J$495,4,FALSE)</f>
        <v>0</v>
      </c>
      <c r="AE328" s="33">
        <f>VLOOKUP($B328,三大美股走勢!$A$4:$J$495,7,FALSE)</f>
        <v>0</v>
      </c>
      <c r="AF328" s="33">
        <f>VLOOKUP($B328,三大美股走勢!$A$4:$J$495,10,FALSE)</f>
        <v>0</v>
      </c>
    </row>
    <row r="329" spans="2:32">
      <c r="B329" s="32">
        <v>43108</v>
      </c>
      <c r="C329" s="33">
        <f>VLOOKUP($B329,大盤與近月台指!$A$4:$I$499,2,FALSE)</f>
        <v>10915.75</v>
      </c>
      <c r="D329" s="34">
        <f>VLOOKUP($B329,大盤與近月台指!$A$4:$I$499,3,FALSE)</f>
        <v>35.950000000000003</v>
      </c>
      <c r="E329" s="35">
        <f>VLOOKUP($B329,大盤與近月台指!$A$4:$I$499,4,FALSE)</f>
        <v>3.3E-3</v>
      </c>
      <c r="F329" s="33" t="str">
        <f>VLOOKUP($B329,大盤與近月台指!$A$4:$I$499,5,FALSE)</f>
        <v>1370.7億</v>
      </c>
      <c r="G329" s="49">
        <f>VLOOKUP($B329,三大法人買賣超!$A$4:$I$500,3,FALSE)</f>
        <v>5.1892995199999996</v>
      </c>
      <c r="H329" s="34">
        <f>VLOOKUP($B329,三大法人買賣超!$A$4:$I$500,5,FALSE)</f>
        <v>-5.3225891399999998</v>
      </c>
      <c r="I329" s="27">
        <f>VLOOKUP($B329,三大法人買賣超!$A$4:$I$500,7,FALSE)</f>
        <v>9.3456047099999999</v>
      </c>
      <c r="J329" s="27">
        <f>VLOOKUP($B329,三大法人買賣超!$A$4:$I$500,9,FALSE)</f>
        <v>50.095180050000003</v>
      </c>
      <c r="K329" s="37">
        <f>新台幣匯率美元指數!B330</f>
        <v>29.523</v>
      </c>
      <c r="L329" s="38">
        <f>新台幣匯率美元指數!C330</f>
        <v>0</v>
      </c>
      <c r="M329" s="39">
        <f>新台幣匯率美元指數!D330</f>
        <v>92.358000000000004</v>
      </c>
      <c r="N329" s="27">
        <f>VLOOKUP($B329,期貨未平倉口數!$A$4:$M$499,4,FALSE)</f>
        <v>2412.5</v>
      </c>
      <c r="O329" s="27">
        <f>VLOOKUP($B329,期貨未平倉口數!$A$4:$M$499,9,FALSE)</f>
        <v>51202</v>
      </c>
      <c r="P329" s="27">
        <f>VLOOKUP($B329,期貨未平倉口數!$A$4:$M$499,10,FALSE)</f>
        <v>5156.75</v>
      </c>
      <c r="Q329" s="27">
        <f>VLOOKUP($B329,期貨未平倉口數!$A$4:$M$499,11,FALSE)</f>
        <v>-1674.75</v>
      </c>
      <c r="R329" s="64">
        <f>VLOOKUP($B329,選擇權未平倉餘額!$A$4:$I$500,6,FALSE)</f>
        <v>23.018699999999999</v>
      </c>
      <c r="S329" s="64">
        <f>VLOOKUP($B329,選擇權未平倉餘額!$A$4:$I$500,7,FALSE)</f>
        <v>-1.5840000000000001</v>
      </c>
      <c r="T329" s="64">
        <f>VLOOKUP($B329,選擇權未平倉餘額!$A$4:$I$500,8,FALSE)</f>
        <v>38.061599999999999</v>
      </c>
      <c r="U329" s="64">
        <f>VLOOKUP($B329,選擇權未平倉餘額!$A$4:$I$500,9,FALSE)</f>
        <v>18.1738</v>
      </c>
      <c r="V329" s="39">
        <f>VLOOKUP($B329,臺指選擇權P_C_Ratios!$A$4:$C$500,3,FALSE)</f>
        <v>1.8402000000000001</v>
      </c>
      <c r="W329" s="41">
        <f>VLOOKUP($B329,散戶多空比!$A$6:$L$500,12,FALSE)</f>
        <v>-0.20799271766679756</v>
      </c>
      <c r="X329" s="40">
        <f>VLOOKUP($B329,期貨大額交易人未沖銷部位!$A$4:$O$499,4,FALSE)</f>
        <v>1235</v>
      </c>
      <c r="Y329" s="40">
        <f>VLOOKUP($B329,期貨大額交易人未沖銷部位!$A$4:$O$499,7,FALSE)</f>
        <v>6695</v>
      </c>
      <c r="Z329" s="40">
        <f>VLOOKUP($B329,期貨大額交易人未沖銷部位!$A$4:$O$499,10,FALSE)</f>
        <v>1253</v>
      </c>
      <c r="AA329" s="40">
        <f>VLOOKUP($B329,期貨大額交易人未沖銷部位!$A$4:$O$499,13,FALSE)</f>
        <v>7846</v>
      </c>
      <c r="AB329" s="40">
        <f>VLOOKUP($B329,期貨大額交易人未沖銷部位!$A$4:$O$499,14,FALSE)</f>
        <v>18</v>
      </c>
      <c r="AC329" s="40">
        <f>VLOOKUP($B329,期貨大額交易人未沖銷部位!$A$4:$O$499,15,FALSE)</f>
        <v>1151</v>
      </c>
      <c r="AD329" s="33">
        <f>VLOOKUP($B329,三大美股走勢!$A$4:$J$495,4,FALSE)</f>
        <v>-1.6999999999999999E-3</v>
      </c>
      <c r="AE329" s="33">
        <f>VLOOKUP($B329,三大美股走勢!$A$4:$J$495,7,FALSE)</f>
        <v>1.1999999999999999E-3</v>
      </c>
      <c r="AF329" s="33">
        <f>VLOOKUP($B329,三大美股走勢!$A$4:$J$495,10,FALSE)</f>
        <v>2.3999999999999998E-3</v>
      </c>
    </row>
    <row r="330" spans="2:32">
      <c r="B330" s="32">
        <v>43109</v>
      </c>
      <c r="C330" s="33">
        <f>VLOOKUP($B330,大盤與近月台指!$A$4:$I$499,2,FALSE)</f>
        <v>10914.89</v>
      </c>
      <c r="D330" s="34">
        <f>VLOOKUP($B330,大盤與近月台指!$A$4:$I$499,3,FALSE)</f>
        <v>-0.86</v>
      </c>
      <c r="E330" s="35">
        <f>VLOOKUP($B330,大盤與近月台指!$A$4:$I$499,4,FALSE)</f>
        <v>-1E-4</v>
      </c>
      <c r="F330" s="33" t="str">
        <f>VLOOKUP($B330,大盤與近月台指!$A$4:$I$499,5,FALSE)</f>
        <v>1302.35億</v>
      </c>
      <c r="G330" s="49">
        <f>VLOOKUP($B330,三大法人買賣超!$A$4:$I$500,3,FALSE)</f>
        <v>2.15231241</v>
      </c>
      <c r="H330" s="34">
        <f>VLOOKUP($B330,三大法人買賣超!$A$4:$I$500,5,FALSE)</f>
        <v>0.1711405</v>
      </c>
      <c r="I330" s="27">
        <f>VLOOKUP($B330,三大法人買賣超!$A$4:$I$500,7,FALSE)</f>
        <v>4.7612229700000004</v>
      </c>
      <c r="J330" s="27">
        <f>VLOOKUP($B330,三大法人買賣超!$A$4:$I$500,9,FALSE)</f>
        <v>-11.21448341</v>
      </c>
      <c r="K330" s="37">
        <f>新台幣匯率美元指數!B331</f>
        <v>29.536000000000001</v>
      </c>
      <c r="L330" s="38">
        <f>新台幣匯率美元指數!C331</f>
        <v>1.2999999999999999E-2</v>
      </c>
      <c r="M330" s="39">
        <f>新台幣匯率美元指數!D331</f>
        <v>92.528000000000006</v>
      </c>
      <c r="N330" s="27">
        <f>VLOOKUP($B330,期貨未平倉口數!$A$4:$M$499,4,FALSE)</f>
        <v>1561</v>
      </c>
      <c r="O330" s="27">
        <f>VLOOKUP($B330,期貨未平倉口數!$A$4:$M$499,9,FALSE)</f>
        <v>55118</v>
      </c>
      <c r="P330" s="27">
        <f>VLOOKUP($B330,期貨未平倉口數!$A$4:$M$499,10,FALSE)</f>
        <v>9072.75</v>
      </c>
      <c r="Q330" s="27">
        <f>VLOOKUP($B330,期貨未平倉口數!$A$4:$M$499,11,FALSE)</f>
        <v>3916</v>
      </c>
      <c r="R330" s="64">
        <f>VLOOKUP($B330,選擇權未平倉餘額!$A$4:$I$500,6,FALSE)</f>
        <v>22.726400000000002</v>
      </c>
      <c r="S330" s="64">
        <f>VLOOKUP($B330,選擇權未平倉餘額!$A$4:$I$500,7,FALSE)</f>
        <v>-1.8985000000000001</v>
      </c>
      <c r="T330" s="64">
        <f>VLOOKUP($B330,選擇權未平倉餘額!$A$4:$I$500,8,FALSE)</f>
        <v>37.0807</v>
      </c>
      <c r="U330" s="64">
        <f>VLOOKUP($B330,選擇權未平倉餘額!$A$4:$I$500,9,FALSE)</f>
        <v>17.731200000000001</v>
      </c>
      <c r="V330" s="39">
        <f>VLOOKUP($B330,臺指選擇權P_C_Ratios!$A$4:$C$500,3,FALSE)</f>
        <v>1.8297999999999999</v>
      </c>
      <c r="W330" s="41">
        <f>VLOOKUP($B330,散戶多空比!$A$6:$L$500,12,FALSE)</f>
        <v>-0.24104296275871576</v>
      </c>
      <c r="X330" s="40">
        <f>VLOOKUP($B330,期貨大額交易人未沖銷部位!$A$4:$O$499,4,FALSE)</f>
        <v>2085</v>
      </c>
      <c r="Y330" s="40">
        <f>VLOOKUP($B330,期貨大額交易人未沖銷部位!$A$4:$O$499,7,FALSE)</f>
        <v>8329</v>
      </c>
      <c r="Z330" s="40">
        <f>VLOOKUP($B330,期貨大額交易人未沖銷部位!$A$4:$O$499,10,FALSE)</f>
        <v>2064</v>
      </c>
      <c r="AA330" s="40">
        <f>VLOOKUP($B330,期貨大額交易人未沖銷部位!$A$4:$O$499,13,FALSE)</f>
        <v>9565</v>
      </c>
      <c r="AB330" s="40">
        <f>VLOOKUP($B330,期貨大額交易人未沖銷部位!$A$4:$O$499,14,FALSE)</f>
        <v>-21</v>
      </c>
      <c r="AC330" s="40">
        <f>VLOOKUP($B330,期貨大額交易人未沖銷部位!$A$4:$O$499,15,FALSE)</f>
        <v>1236</v>
      </c>
      <c r="AD330" s="33">
        <f>VLOOKUP($B330,三大美股走勢!$A$4:$J$495,4,FALSE)</f>
        <v>0.99829999999999997</v>
      </c>
      <c r="AE330" s="33">
        <f>VLOOKUP($B330,三大美股走勢!$A$4:$J$495,7,FALSE)</f>
        <v>1.0012000000000001</v>
      </c>
      <c r="AF330" s="33">
        <f>VLOOKUP($B330,三大美股走勢!$A$4:$J$495,10,FALSE)</f>
        <v>1.0024</v>
      </c>
    </row>
    <row r="331" spans="2:32">
      <c r="B331" s="32">
        <v>43110</v>
      </c>
      <c r="C331" s="33">
        <f>VLOOKUP($B331,大盤與近月台指!$A$4:$I$499,2,FALSE)</f>
        <v>10831.09</v>
      </c>
      <c r="D331" s="34">
        <f>VLOOKUP($B331,大盤與近月台指!$A$4:$I$499,3,FALSE)</f>
        <v>-83.8</v>
      </c>
      <c r="E331" s="35">
        <f>VLOOKUP($B331,大盤與近月台指!$A$4:$I$499,4,FALSE)</f>
        <v>-7.7000000000000002E-3</v>
      </c>
      <c r="F331" s="33" t="str">
        <f>VLOOKUP($B331,大盤與近月台指!$A$4:$I$499,5,FALSE)</f>
        <v>1375.61億</v>
      </c>
      <c r="G331" s="49">
        <f>VLOOKUP($B331,三大法人買賣超!$A$4:$I$500,3,FALSE)</f>
        <v>1.75967476</v>
      </c>
      <c r="H331" s="34">
        <f>VLOOKUP($B331,三大法人買賣超!$A$4:$I$500,5,FALSE)</f>
        <v>-0.72425444000000005</v>
      </c>
      <c r="I331" s="27">
        <f>VLOOKUP($B331,三大法人買賣超!$A$4:$I$500,7,FALSE)</f>
        <v>5.2650707499999996</v>
      </c>
      <c r="J331" s="27">
        <f>VLOOKUP($B331,三大法人買賣超!$A$4:$I$500,9,FALSE)</f>
        <v>-32.209586129999998</v>
      </c>
      <c r="K331" s="37">
        <f>新台幣匯率美元指數!B332</f>
        <v>29.600999999999999</v>
      </c>
      <c r="L331" s="38">
        <f>新台幣匯率美元指數!C332</f>
        <v>6.5000000000000002E-2</v>
      </c>
      <c r="M331" s="39">
        <f>新台幣匯率美元指數!D332</f>
        <v>0</v>
      </c>
      <c r="N331" s="27">
        <f>VLOOKUP($B331,期貨未平倉口數!$A$4:$M$499,4,FALSE)</f>
        <v>-2879.75</v>
      </c>
      <c r="O331" s="27">
        <f>VLOOKUP($B331,期貨未平倉口數!$A$4:$M$499,9,FALSE)</f>
        <v>55577.5</v>
      </c>
      <c r="P331" s="27">
        <f>VLOOKUP($B331,期貨未平倉口數!$A$4:$M$499,10,FALSE)</f>
        <v>9532.25</v>
      </c>
      <c r="Q331" s="27">
        <f>VLOOKUP($B331,期貨未平倉口數!$A$4:$M$499,11,FALSE)</f>
        <v>459.5</v>
      </c>
      <c r="R331" s="64">
        <f>VLOOKUP($B331,選擇權未平倉餘額!$A$4:$I$500,6,FALSE)</f>
        <v>23.674299999999999</v>
      </c>
      <c r="S331" s="64">
        <f>VLOOKUP($B331,選擇權未平倉餘額!$A$4:$I$500,7,FALSE)</f>
        <v>-6.0176999999999996</v>
      </c>
      <c r="T331" s="64">
        <f>VLOOKUP($B331,選擇權未平倉餘額!$A$4:$I$500,8,FALSE)</f>
        <v>28.134</v>
      </c>
      <c r="U331" s="64">
        <f>VLOOKUP($B331,選擇權未平倉餘額!$A$4:$I$500,9,FALSE)</f>
        <v>25.4298</v>
      </c>
      <c r="V331" s="39">
        <f>VLOOKUP($B331,臺指選擇權P_C_Ratios!$A$4:$C$500,3,FALSE)</f>
        <v>1.8318000000000001</v>
      </c>
      <c r="W331" s="41" t="e">
        <f>VLOOKUP($B331,散戶多空比!$A$6:$L$500,12,FALSE)</f>
        <v>#N/A</v>
      </c>
      <c r="X331" s="40">
        <f>VLOOKUP($B331,期貨大額交易人未沖銷部位!$A$4:$O$499,4,FALSE)</f>
        <v>1315</v>
      </c>
      <c r="Y331" s="40">
        <f>VLOOKUP($B331,期貨大額交易人未沖銷部位!$A$4:$O$499,7,FALSE)</f>
        <v>6641</v>
      </c>
      <c r="Z331" s="40">
        <f>VLOOKUP($B331,期貨大額交易人未沖銷部位!$A$4:$O$499,10,FALSE)</f>
        <v>2935</v>
      </c>
      <c r="AA331" s="40">
        <f>VLOOKUP($B331,期貨大額交易人未沖銷部位!$A$4:$O$499,13,FALSE)</f>
        <v>7604</v>
      </c>
      <c r="AB331" s="40">
        <f>VLOOKUP($B331,期貨大額交易人未沖銷部位!$A$4:$O$499,14,FALSE)</f>
        <v>1620</v>
      </c>
      <c r="AC331" s="40">
        <f>VLOOKUP($B331,期貨大額交易人未沖銷部位!$A$4:$O$499,15,FALSE)</f>
        <v>963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32"/>
  <sheetViews>
    <sheetView workbookViewId="0">
      <pane ySplit="3" topLeftCell="A328" activePane="bottomLeft" state="frozen"/>
      <selection pane="bottomLeft" activeCell="H332" sqref="H332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193</v>
      </c>
      <c r="K1" s="1" t="s">
        <v>194</v>
      </c>
      <c r="L1" s="1" t="s">
        <v>192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196</v>
      </c>
      <c r="L2" s="94" t="s">
        <v>195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  <row r="319" spans="1:9">
      <c r="A319" s="92">
        <v>43097</v>
      </c>
      <c r="B319" s="97">
        <v>-113635433</v>
      </c>
      <c r="C319" s="99">
        <f t="shared" ref="C319" si="192">B319/100000000</f>
        <v>-1.1363543300000001</v>
      </c>
      <c r="D319" s="98">
        <v>613737800</v>
      </c>
      <c r="E319" s="96">
        <f t="shared" ref="E319" si="193">D319/100000000</f>
        <v>6.137378</v>
      </c>
      <c r="F319" s="97">
        <v>393587690</v>
      </c>
      <c r="G319" s="99">
        <f t="shared" ref="G319" si="194">F319/100000000</f>
        <v>3.9358768999999998</v>
      </c>
      <c r="H319" s="97">
        <v>6502199793</v>
      </c>
      <c r="I319" s="99">
        <f t="shared" ref="I319" si="195">H319/100000000</f>
        <v>65.021997929999998</v>
      </c>
    </row>
    <row r="320" spans="1:9">
      <c r="A320" s="92">
        <v>43098</v>
      </c>
      <c r="B320" s="97">
        <v>239913722</v>
      </c>
      <c r="C320" s="99">
        <f t="shared" ref="C320" si="196">B320/100000000</f>
        <v>2.3991372200000001</v>
      </c>
      <c r="D320" s="98">
        <v>-10084349</v>
      </c>
      <c r="E320" s="96">
        <f t="shared" ref="E320" si="197">D320/100000000</f>
        <v>-0.10084348999999999</v>
      </c>
      <c r="F320" s="97">
        <v>720530613</v>
      </c>
      <c r="G320" s="99">
        <f t="shared" ref="G320" si="198">F320/100000000</f>
        <v>7.2053061300000003</v>
      </c>
      <c r="H320" s="97">
        <v>6560635755</v>
      </c>
      <c r="I320" s="99">
        <f t="shared" ref="I320" si="199">H320/100000000</f>
        <v>65.606357549999998</v>
      </c>
    </row>
    <row r="321" spans="1:9">
      <c r="A321" s="92">
        <v>43099</v>
      </c>
      <c r="B321" s="97"/>
      <c r="C321" s="99"/>
      <c r="D321" s="98"/>
      <c r="E321" s="96"/>
      <c r="F321" s="97"/>
      <c r="G321" s="99"/>
      <c r="H321" s="97"/>
      <c r="I321" s="99"/>
    </row>
    <row r="322" spans="1:9">
      <c r="A322" s="92">
        <v>43100</v>
      </c>
      <c r="B322" s="97"/>
      <c r="C322" s="99"/>
      <c r="D322" s="98"/>
      <c r="E322" s="96"/>
      <c r="F322" s="97"/>
      <c r="G322" s="99"/>
      <c r="H322" s="97"/>
      <c r="I322" s="99"/>
    </row>
    <row r="323" spans="1:9">
      <c r="A323" s="92">
        <v>43101</v>
      </c>
      <c r="B323" s="97"/>
      <c r="C323" s="99"/>
      <c r="D323" s="98"/>
      <c r="E323" s="96"/>
      <c r="F323" s="97"/>
      <c r="G323" s="99"/>
      <c r="H323" s="97"/>
      <c r="I323" s="99"/>
    </row>
    <row r="324" spans="1:9">
      <c r="A324" s="92">
        <v>43102</v>
      </c>
      <c r="B324" s="97">
        <v>885262708</v>
      </c>
      <c r="C324" s="99">
        <f t="shared" ref="C324" si="200">B324/100000000</f>
        <v>8.8526270799999995</v>
      </c>
      <c r="D324" s="98">
        <v>885262708</v>
      </c>
      <c r="E324" s="96">
        <f t="shared" ref="E324" si="201">D324/100000000</f>
        <v>8.8526270799999995</v>
      </c>
      <c r="F324" s="97">
        <v>-74245611</v>
      </c>
      <c r="G324" s="99">
        <f t="shared" ref="G324" si="202">F324/100000000</f>
        <v>-0.74245611</v>
      </c>
      <c r="H324" s="97">
        <v>8648245117</v>
      </c>
      <c r="I324" s="99">
        <f t="shared" ref="I324" si="203">H324/100000000</f>
        <v>86.482451170000004</v>
      </c>
    </row>
    <row r="325" spans="1:9">
      <c r="A325" s="92">
        <v>43103</v>
      </c>
      <c r="B325" s="97">
        <v>1679725617</v>
      </c>
      <c r="C325" s="99">
        <f t="shared" ref="C325" si="204">B325/100000000</f>
        <v>16.797256170000001</v>
      </c>
      <c r="D325" s="98">
        <v>1506486418</v>
      </c>
      <c r="E325" s="96">
        <f t="shared" ref="E325" si="205">D325/100000000</f>
        <v>15.064864180000001</v>
      </c>
      <c r="F325" s="97">
        <v>999578570</v>
      </c>
      <c r="G325" s="99">
        <f t="shared" ref="G325" si="206">F325/100000000</f>
        <v>9.9957857000000008</v>
      </c>
      <c r="H325" s="97">
        <v>3725762356</v>
      </c>
      <c r="I325" s="99">
        <f t="shared" ref="I325" si="207">H325/100000000</f>
        <v>37.257623559999999</v>
      </c>
    </row>
    <row r="326" spans="1:9">
      <c r="A326" s="92">
        <v>43104</v>
      </c>
      <c r="B326" s="97">
        <v>1020028250</v>
      </c>
      <c r="C326" s="99">
        <f t="shared" ref="C326" si="208">B326/100000000</f>
        <v>10.2002825</v>
      </c>
      <c r="D326" s="98">
        <v>817845859</v>
      </c>
      <c r="E326" s="96">
        <f t="shared" ref="E326" si="209">D326/100000000</f>
        <v>8.17845859</v>
      </c>
      <c r="F326" s="97">
        <v>-141653974</v>
      </c>
      <c r="G326" s="99">
        <f t="shared" ref="G326" si="210">F326/100000000</f>
        <v>-1.4165397399999999</v>
      </c>
      <c r="H326" s="97">
        <v>5474260013</v>
      </c>
      <c r="I326" s="99">
        <f t="shared" ref="I326" si="211">H326/100000000</f>
        <v>54.74260013</v>
      </c>
    </row>
    <row r="327" spans="1:9">
      <c r="A327" s="92">
        <v>43105</v>
      </c>
      <c r="B327" s="97">
        <v>947461930</v>
      </c>
      <c r="C327" s="99">
        <f t="shared" ref="C327" si="212">B327/100000000</f>
        <v>9.4746193000000005</v>
      </c>
      <c r="D327" s="98">
        <v>688283515</v>
      </c>
      <c r="E327" s="96">
        <f t="shared" ref="E327" si="213">D327/100000000</f>
        <v>6.88283515</v>
      </c>
      <c r="F327" s="97">
        <v>-334919686</v>
      </c>
      <c r="G327" s="99">
        <f t="shared" ref="G327" si="214">F327/100000000</f>
        <v>-3.3491968600000002</v>
      </c>
      <c r="H327" s="97">
        <v>3480267389</v>
      </c>
      <c r="I327" s="99">
        <f t="shared" ref="I327" si="215">H327/100000000</f>
        <v>34.802673890000001</v>
      </c>
    </row>
    <row r="328" spans="1:9">
      <c r="A328" s="92">
        <v>43106</v>
      </c>
      <c r="B328" s="97"/>
      <c r="C328" s="99"/>
      <c r="D328" s="98"/>
      <c r="E328" s="96"/>
      <c r="F328" s="97"/>
      <c r="G328" s="99"/>
      <c r="H328" s="97"/>
      <c r="I328" s="99"/>
    </row>
    <row r="329" spans="1:9">
      <c r="A329" s="92">
        <v>43107</v>
      </c>
      <c r="B329" s="97"/>
      <c r="C329" s="99"/>
      <c r="D329" s="98"/>
      <c r="E329" s="96"/>
      <c r="F329" s="97"/>
      <c r="G329" s="99"/>
      <c r="H329" s="97"/>
      <c r="I329" s="99"/>
    </row>
    <row r="330" spans="1:9">
      <c r="A330" s="92">
        <v>43108</v>
      </c>
      <c r="B330" s="97">
        <v>518929952</v>
      </c>
      <c r="C330" s="99">
        <f t="shared" ref="C330" si="216">B330/100000000</f>
        <v>5.1892995199999996</v>
      </c>
      <c r="D330" s="98">
        <v>-532258914</v>
      </c>
      <c r="E330" s="96">
        <f t="shared" ref="E330" si="217">D330/100000000</f>
        <v>-5.3225891399999998</v>
      </c>
      <c r="F330" s="97">
        <v>934560471</v>
      </c>
      <c r="G330" s="99">
        <f t="shared" ref="G330" si="218">F330/100000000</f>
        <v>9.3456047099999999</v>
      </c>
      <c r="H330" s="97">
        <v>5009518005</v>
      </c>
      <c r="I330" s="99">
        <f t="shared" ref="I330" si="219">H330/100000000</f>
        <v>50.095180050000003</v>
      </c>
    </row>
    <row r="331" spans="1:9">
      <c r="A331" s="92">
        <v>43109</v>
      </c>
      <c r="B331" s="97">
        <v>215231241</v>
      </c>
      <c r="C331" s="99">
        <f t="shared" ref="C331" si="220">B331/100000000</f>
        <v>2.15231241</v>
      </c>
      <c r="D331" s="98">
        <v>17114050</v>
      </c>
      <c r="E331" s="96">
        <f t="shared" ref="E331" si="221">D331/100000000</f>
        <v>0.1711405</v>
      </c>
      <c r="F331" s="97">
        <v>476122297</v>
      </c>
      <c r="G331" s="99">
        <f t="shared" ref="G331" si="222">F331/100000000</f>
        <v>4.7612229700000004</v>
      </c>
      <c r="H331" s="97">
        <v>-1121448341</v>
      </c>
      <c r="I331" s="99">
        <f t="shared" ref="I331" si="223">H331/100000000</f>
        <v>-11.21448341</v>
      </c>
    </row>
    <row r="332" spans="1:9">
      <c r="A332" s="92">
        <v>43110</v>
      </c>
      <c r="B332" s="97">
        <v>175967476</v>
      </c>
      <c r="C332" s="99">
        <f t="shared" ref="C332" si="224">B332/100000000</f>
        <v>1.75967476</v>
      </c>
      <c r="D332" s="98">
        <v>-72425444</v>
      </c>
      <c r="E332" s="96">
        <f t="shared" ref="E332" si="225">D332/100000000</f>
        <v>-0.72425444000000005</v>
      </c>
      <c r="F332" s="97">
        <v>526507075</v>
      </c>
      <c r="G332" s="99">
        <f t="shared" ref="G332" si="226">F332/100000000</f>
        <v>5.2650707499999996</v>
      </c>
      <c r="H332" s="97">
        <v>-3220958613</v>
      </c>
      <c r="I332" s="99">
        <f t="shared" ref="I332" si="227">H332/100000000</f>
        <v>-32.209586129999998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33"/>
  <sheetViews>
    <sheetView zoomScale="85" zoomScaleNormal="85" workbookViewId="0">
      <pane ySplit="3" topLeftCell="A332" activePane="bottomLeft" state="frozen"/>
      <selection pane="bottomLeft" activeCell="M333" sqref="M33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193</v>
      </c>
      <c r="P1" s="1" t="s">
        <v>194</v>
      </c>
      <c r="Q1" s="1" t="s">
        <v>192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197</v>
      </c>
      <c r="Q2" s="95" t="s">
        <v>198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5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6">G320+H320/4</f>
        <v>52006</v>
      </c>
      <c r="J320" s="10">
        <f t="shared" ref="J320" si="157">I320-$I$312</f>
        <v>5960.75</v>
      </c>
      <c r="K320" s="10">
        <f t="shared" ref="K320" si="158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9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60">G321+H321/4</f>
        <v>49567.25</v>
      </c>
      <c r="J321" s="10">
        <f t="shared" ref="J321" si="161">I321-$I$312</f>
        <v>3522</v>
      </c>
      <c r="K321" s="10">
        <f t="shared" ref="K321" si="162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63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4">G325+H325/4</f>
        <v>53101</v>
      </c>
      <c r="J325" s="10">
        <f t="shared" ref="J325" si="165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6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7">G326+H326/4</f>
        <v>51933.25</v>
      </c>
      <c r="J326" s="10">
        <f t="shared" ref="J326" si="168">I326-$I$312</f>
        <v>5888</v>
      </c>
      <c r="K326" s="10">
        <f>I326-I325</f>
        <v>-1167.75</v>
      </c>
      <c r="L326" s="10">
        <v>174</v>
      </c>
      <c r="M326" s="10">
        <v>-1980</v>
      </c>
    </row>
    <row r="327" spans="1:13">
      <c r="A327" s="9">
        <v>43104</v>
      </c>
      <c r="B327" s="10">
        <v>-1312</v>
      </c>
      <c r="C327" s="10">
        <v>4845</v>
      </c>
      <c r="D327" s="10">
        <f t="shared" ref="D327" si="169">B327+C327/4</f>
        <v>-100.75</v>
      </c>
      <c r="E327" s="10">
        <v>487</v>
      </c>
      <c r="F327" s="10">
        <v>145</v>
      </c>
      <c r="G327" s="10">
        <v>51919</v>
      </c>
      <c r="H327" s="10">
        <v>4440</v>
      </c>
      <c r="I327" s="10">
        <f t="shared" ref="I327" si="170">G327+H327/4</f>
        <v>53029</v>
      </c>
      <c r="J327" s="10">
        <f t="shared" ref="J327" si="171">I327-$I$312</f>
        <v>6983.75</v>
      </c>
      <c r="K327" s="10">
        <f>I327-I326</f>
        <v>1095.75</v>
      </c>
      <c r="L327" s="10">
        <v>269</v>
      </c>
      <c r="M327" s="10">
        <v>-1924</v>
      </c>
    </row>
    <row r="328" spans="1:13">
      <c r="A328" s="9">
        <v>43105</v>
      </c>
      <c r="B328" s="10">
        <v>-1740</v>
      </c>
      <c r="C328" s="10">
        <v>5232</v>
      </c>
      <c r="D328" s="10">
        <f t="shared" ref="D328" si="172">B328+C328/4</f>
        <v>-432</v>
      </c>
      <c r="E328" s="10">
        <v>298</v>
      </c>
      <c r="F328" s="10">
        <v>136</v>
      </c>
      <c r="G328" s="10">
        <v>51706</v>
      </c>
      <c r="H328" s="10">
        <v>4683</v>
      </c>
      <c r="I328" s="10">
        <f t="shared" ref="I328" si="173">G328+H328/4</f>
        <v>52876.75</v>
      </c>
      <c r="J328" s="10">
        <f t="shared" ref="J328" si="174">I328-$I$312</f>
        <v>6831.5</v>
      </c>
      <c r="K328" s="10">
        <f>I328-I327</f>
        <v>-152.25</v>
      </c>
      <c r="L328" s="10">
        <v>711</v>
      </c>
      <c r="M328" s="10">
        <v>-1784</v>
      </c>
    </row>
    <row r="329" spans="1:13">
      <c r="A329" s="9">
        <v>43106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>
      <c r="A330" s="9">
        <v>43107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>
      <c r="A331" s="9">
        <v>43108</v>
      </c>
      <c r="B331" s="10">
        <v>1041</v>
      </c>
      <c r="C331" s="10">
        <v>5486</v>
      </c>
      <c r="D331" s="10">
        <f t="shared" ref="D331" si="175">B331+C331/4</f>
        <v>2412.5</v>
      </c>
      <c r="E331" s="10">
        <v>218</v>
      </c>
      <c r="F331" s="10">
        <v>354</v>
      </c>
      <c r="G331" s="10">
        <v>49674</v>
      </c>
      <c r="H331" s="10">
        <v>6112</v>
      </c>
      <c r="I331" s="10">
        <f t="shared" ref="I331" si="176">G331+H331/4</f>
        <v>51202</v>
      </c>
      <c r="J331" s="10">
        <f t="shared" ref="J331" si="177">I331-$I$312</f>
        <v>5156.75</v>
      </c>
      <c r="K331" s="10">
        <f>I331-I328</f>
        <v>-1674.75</v>
      </c>
      <c r="L331" s="10">
        <v>754</v>
      </c>
      <c r="M331" s="10">
        <v>-1993</v>
      </c>
    </row>
    <row r="332" spans="1:13">
      <c r="A332" s="9">
        <v>43109</v>
      </c>
      <c r="B332" s="10">
        <v>-57</v>
      </c>
      <c r="C332" s="10">
        <v>6472</v>
      </c>
      <c r="D332" s="10">
        <f t="shared" ref="D332" si="178">B332+C332/4</f>
        <v>1561</v>
      </c>
      <c r="E332" s="10">
        <v>158</v>
      </c>
      <c r="F332" s="10">
        <v>343</v>
      </c>
      <c r="G332" s="10">
        <v>53313</v>
      </c>
      <c r="H332" s="10">
        <v>7220</v>
      </c>
      <c r="I332" s="10">
        <f t="shared" ref="I332" si="179">G332+H332/4</f>
        <v>55118</v>
      </c>
      <c r="J332" s="10">
        <f t="shared" ref="J332" si="180">I332-$I$312</f>
        <v>9072.75</v>
      </c>
      <c r="K332" s="10">
        <f>I332-I331</f>
        <v>3916</v>
      </c>
      <c r="L332" s="10">
        <v>643</v>
      </c>
      <c r="M332" s="10">
        <v>-1953</v>
      </c>
    </row>
    <row r="333" spans="1:13">
      <c r="A333" s="9">
        <v>43110</v>
      </c>
      <c r="B333" s="10">
        <v>-4293</v>
      </c>
      <c r="C333" s="10">
        <v>5653</v>
      </c>
      <c r="D333" s="10">
        <f t="shared" ref="D333" si="181">B333+C333/4</f>
        <v>-2879.75</v>
      </c>
      <c r="E333" s="10">
        <v>311</v>
      </c>
      <c r="F333" s="10">
        <v>313</v>
      </c>
      <c r="G333" s="10">
        <v>53725</v>
      </c>
      <c r="H333" s="10">
        <v>7410</v>
      </c>
      <c r="I333" s="10">
        <f t="shared" ref="I333" si="182">G333+H333/4</f>
        <v>55577.5</v>
      </c>
      <c r="J333" s="10">
        <f t="shared" ref="J333" si="183">I333-$I$312</f>
        <v>9532.25</v>
      </c>
      <c r="K333" s="10">
        <f>I333-I332</f>
        <v>459.5</v>
      </c>
      <c r="L333" s="10">
        <v>552</v>
      </c>
      <c r="M333" s="10">
        <v>-1878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32"/>
  <sheetViews>
    <sheetView workbookViewId="0">
      <pane ySplit="3" topLeftCell="A327" activePane="bottomLeft" state="frozen"/>
      <selection pane="bottomLeft" activeCell="I338" sqref="I338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174</v>
      </c>
      <c r="F291" s="72">
        <v>10576</v>
      </c>
      <c r="G291" s="21">
        <v>0</v>
      </c>
      <c r="H291" s="44">
        <v>0</v>
      </c>
      <c r="I291" s="42" t="s">
        <v>175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176</v>
      </c>
      <c r="F292" s="72">
        <v>10564</v>
      </c>
      <c r="G292" s="21">
        <v>-39</v>
      </c>
      <c r="H292" s="44">
        <v>-3.7000000000000002E-3</v>
      </c>
      <c r="I292" s="42" t="s">
        <v>177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178</v>
      </c>
      <c r="F296" s="72">
        <v>10563</v>
      </c>
      <c r="G296" s="21">
        <v>-8</v>
      </c>
      <c r="H296" s="44">
        <v>-8.0000000000000004E-4</v>
      </c>
      <c r="I296" s="42" t="s">
        <v>179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180</v>
      </c>
      <c r="F297" s="72">
        <v>10346</v>
      </c>
      <c r="G297" s="21">
        <v>-38</v>
      </c>
      <c r="H297" s="44">
        <v>-3.7000000000000002E-3</v>
      </c>
      <c r="I297" s="42" t="s">
        <v>181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182</v>
      </c>
      <c r="F298" s="72">
        <v>10348</v>
      </c>
      <c r="G298" s="21">
        <v>-17</v>
      </c>
      <c r="H298" s="44">
        <v>-1.6000000000000001E-3</v>
      </c>
      <c r="I298" s="42" t="s">
        <v>183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184</v>
      </c>
      <c r="F299" s="72">
        <v>10394</v>
      </c>
      <c r="G299" s="21">
        <v>-2</v>
      </c>
      <c r="H299" s="44">
        <v>-2.0000000000000001E-4</v>
      </c>
      <c r="I299" s="42" t="s">
        <v>185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186</v>
      </c>
      <c r="F302" s="72">
        <v>10482</v>
      </c>
      <c r="G302" s="21">
        <v>4</v>
      </c>
      <c r="H302" s="44">
        <v>4.0000000000000002E-4</v>
      </c>
      <c r="I302" s="42" t="s">
        <v>187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188</v>
      </c>
      <c r="F303" s="72">
        <v>10420</v>
      </c>
      <c r="G303" s="21">
        <v>-11</v>
      </c>
      <c r="H303" s="44">
        <v>-1.1000000000000001E-3</v>
      </c>
      <c r="I303" s="42" t="s">
        <v>189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190</v>
      </c>
      <c r="F304" s="72">
        <v>10465</v>
      </c>
      <c r="G304" s="21">
        <v>15</v>
      </c>
      <c r="H304" s="44">
        <v>1.4E-3</v>
      </c>
      <c r="I304" s="42" t="s">
        <v>191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199</v>
      </c>
      <c r="F305" s="72">
        <v>10530</v>
      </c>
      <c r="G305" s="21">
        <v>3</v>
      </c>
      <c r="H305" s="44">
        <v>2.9999999999999997E-4</v>
      </c>
      <c r="I305" s="42" t="s">
        <v>200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201</v>
      </c>
      <c r="F306" s="72">
        <v>10476</v>
      </c>
      <c r="G306" s="21">
        <v>-9</v>
      </c>
      <c r="H306" s="44">
        <v>-8.9999999999999998E-4</v>
      </c>
      <c r="I306" s="42" t="s">
        <v>202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203</v>
      </c>
      <c r="F309" s="72">
        <v>10507</v>
      </c>
      <c r="G309" s="21">
        <v>6</v>
      </c>
      <c r="H309" s="44">
        <v>5.9999999999999995E-4</v>
      </c>
      <c r="I309" s="42" t="s">
        <v>204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205</v>
      </c>
      <c r="F310" s="72">
        <v>10455</v>
      </c>
      <c r="G310" s="21">
        <v>-2</v>
      </c>
      <c r="H310" s="44">
        <v>-2.0000000000000001E-4</v>
      </c>
      <c r="I310" s="42" t="s">
        <v>206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207</v>
      </c>
      <c r="F311" s="72">
        <v>10521</v>
      </c>
      <c r="G311" s="21">
        <v>13</v>
      </c>
      <c r="H311" s="44">
        <v>1.1999999999999999E-3</v>
      </c>
      <c r="I311" s="42" t="s">
        <v>208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209</v>
      </c>
      <c r="F312" s="72">
        <v>10497</v>
      </c>
      <c r="G312" s="21">
        <v>2</v>
      </c>
      <c r="H312" s="44">
        <v>2.0000000000000001E-4</v>
      </c>
      <c r="I312" s="42" t="s">
        <v>210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211</v>
      </c>
      <c r="F313" s="72">
        <v>10528</v>
      </c>
      <c r="G313" s="21">
        <v>-5</v>
      </c>
      <c r="H313" s="44">
        <v>-5.0000000000000001E-4</v>
      </c>
      <c r="I313" s="42" t="s">
        <v>212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213</v>
      </c>
      <c r="F317" s="72">
        <v>10401</v>
      </c>
      <c r="G317" s="21">
        <v>-16</v>
      </c>
      <c r="H317" s="44">
        <v>-1.5E-3</v>
      </c>
      <c r="I317" s="42" t="s">
        <v>214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215</v>
      </c>
      <c r="F318" s="72">
        <v>10484</v>
      </c>
      <c r="G318" s="21">
        <v>10</v>
      </c>
      <c r="H318" s="44">
        <v>1E-3</v>
      </c>
      <c r="I318" s="42" t="s">
        <v>216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217</v>
      </c>
      <c r="F319" s="72">
        <v>10575</v>
      </c>
      <c r="G319" s="21">
        <v>14</v>
      </c>
      <c r="H319" s="44">
        <v>1.2999999999999999E-3</v>
      </c>
      <c r="I319" s="42" t="s">
        <v>218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219</v>
      </c>
      <c r="F320" s="72">
        <v>10648</v>
      </c>
      <c r="G320" s="21">
        <v>15</v>
      </c>
      <c r="H320" s="44">
        <v>1.4E-3</v>
      </c>
      <c r="I320" s="42" t="s">
        <v>220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221</v>
      </c>
      <c r="F324" s="72">
        <v>10713</v>
      </c>
      <c r="G324" s="21">
        <v>5</v>
      </c>
      <c r="H324" s="44">
        <v>5.0000000000000001E-4</v>
      </c>
      <c r="I324" s="42" t="s">
        <v>222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223</v>
      </c>
      <c r="F325" s="72">
        <v>10814</v>
      </c>
      <c r="G325" s="21">
        <v>26</v>
      </c>
      <c r="H325" s="44">
        <v>2.3999999999999998E-3</v>
      </c>
      <c r="I325" s="42" t="s">
        <v>224</v>
      </c>
    </row>
    <row r="326" spans="1:9">
      <c r="A326" s="9">
        <v>43104</v>
      </c>
      <c r="B326" s="57">
        <v>10848.63</v>
      </c>
      <c r="C326" s="57">
        <v>47.06</v>
      </c>
      <c r="D326" s="43">
        <v>4.4000000000000003E-3</v>
      </c>
      <c r="E326" s="71" t="s">
        <v>225</v>
      </c>
      <c r="F326" s="72">
        <v>10857</v>
      </c>
      <c r="G326" s="21">
        <v>20</v>
      </c>
      <c r="H326" s="44">
        <v>1.8E-3</v>
      </c>
      <c r="I326" s="42" t="s">
        <v>226</v>
      </c>
    </row>
    <row r="327" spans="1:9">
      <c r="A327" s="9">
        <v>43105</v>
      </c>
      <c r="B327" s="57">
        <v>10879.8</v>
      </c>
      <c r="C327" s="57">
        <v>31.17</v>
      </c>
      <c r="D327" s="43">
        <v>2.8999999999999998E-3</v>
      </c>
      <c r="E327" s="71" t="s">
        <v>227</v>
      </c>
      <c r="F327" s="72">
        <v>10882</v>
      </c>
      <c r="G327" s="21">
        <v>24</v>
      </c>
      <c r="H327" s="44">
        <v>2.2000000000000001E-3</v>
      </c>
      <c r="I327" s="42" t="s">
        <v>228</v>
      </c>
    </row>
    <row r="328" spans="1:9">
      <c r="A328" s="9">
        <v>43106</v>
      </c>
      <c r="B328" s="57"/>
      <c r="C328" s="57"/>
      <c r="D328" s="43"/>
      <c r="E328" s="71"/>
      <c r="F328" s="72"/>
      <c r="G328" s="21"/>
      <c r="H328" s="44"/>
      <c r="I328" s="42"/>
    </row>
    <row r="329" spans="1:9">
      <c r="A329" s="9">
        <v>43107</v>
      </c>
      <c r="B329" s="57"/>
      <c r="C329" s="57"/>
      <c r="D329" s="43"/>
      <c r="E329" s="71"/>
      <c r="F329" s="72"/>
      <c r="G329" s="21"/>
      <c r="H329" s="44"/>
      <c r="I329" s="42"/>
    </row>
    <row r="330" spans="1:9">
      <c r="A330" s="9">
        <v>43108</v>
      </c>
      <c r="B330" s="57">
        <v>10915.75</v>
      </c>
      <c r="C330" s="57">
        <v>35.950000000000003</v>
      </c>
      <c r="D330" s="43">
        <v>3.3E-3</v>
      </c>
      <c r="E330" s="71" t="s">
        <v>229</v>
      </c>
      <c r="F330" s="72">
        <v>10876</v>
      </c>
      <c r="G330" s="21">
        <v>-8</v>
      </c>
      <c r="H330" s="44">
        <v>-6.9999999999999999E-4</v>
      </c>
      <c r="I330" s="42" t="s">
        <v>230</v>
      </c>
    </row>
    <row r="331" spans="1:9">
      <c r="A331" s="9">
        <v>43109</v>
      </c>
      <c r="B331" s="57">
        <v>10914.89</v>
      </c>
      <c r="C331" s="57">
        <v>-0.86</v>
      </c>
      <c r="D331" s="43">
        <v>-1E-4</v>
      </c>
      <c r="E331" s="71" t="s">
        <v>231</v>
      </c>
      <c r="F331" s="72">
        <v>10894</v>
      </c>
      <c r="G331" s="21">
        <v>15</v>
      </c>
      <c r="H331" s="44">
        <v>1.4E-3</v>
      </c>
      <c r="I331" s="42" t="s">
        <v>232</v>
      </c>
    </row>
    <row r="332" spans="1:9">
      <c r="A332" s="9">
        <v>43110</v>
      </c>
      <c r="B332" s="57">
        <v>10831.09</v>
      </c>
      <c r="C332" s="57">
        <v>-83.8</v>
      </c>
      <c r="D332" s="43">
        <v>-7.7000000000000002E-3</v>
      </c>
      <c r="E332" s="71" t="s">
        <v>234</v>
      </c>
      <c r="F332" s="72">
        <v>10774</v>
      </c>
      <c r="G332" s="21">
        <v>-36</v>
      </c>
      <c r="H332" s="44">
        <v>-3.3E-3</v>
      </c>
      <c r="I332" s="42" t="s">
        <v>235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32"/>
  <sheetViews>
    <sheetView workbookViewId="0">
      <pane ySplit="3" topLeftCell="A323" activePane="bottomLeft" state="frozen"/>
      <selection pane="bottomLeft" activeCell="E335" sqref="E335:E336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>
        <v>92.162000000000006</v>
      </c>
    </row>
    <row r="326" spans="1:4">
      <c r="A326" s="9">
        <v>43104</v>
      </c>
      <c r="B326" s="42">
        <v>29.59</v>
      </c>
      <c r="C326" s="50">
        <v>-0.01</v>
      </c>
      <c r="D326" s="23">
        <v>91.852999999999994</v>
      </c>
    </row>
    <row r="327" spans="1:4">
      <c r="A327" s="9">
        <v>43105</v>
      </c>
      <c r="B327" s="42">
        <v>29.523</v>
      </c>
      <c r="C327" s="50">
        <v>-6.7000000000000004E-2</v>
      </c>
      <c r="D327" s="23">
        <v>91.948999999999998</v>
      </c>
    </row>
    <row r="328" spans="1:4">
      <c r="A328" s="9">
        <v>43106</v>
      </c>
      <c r="B328" s="42"/>
      <c r="C328" s="50"/>
      <c r="D328" s="23"/>
    </row>
    <row r="329" spans="1:4">
      <c r="A329" s="9">
        <v>43107</v>
      </c>
      <c r="B329" s="42"/>
      <c r="C329" s="50"/>
      <c r="D329" s="23"/>
    </row>
    <row r="330" spans="1:4">
      <c r="A330" s="9">
        <v>43108</v>
      </c>
      <c r="B330" s="42">
        <v>29.523</v>
      </c>
      <c r="C330" s="50">
        <v>0</v>
      </c>
      <c r="D330" s="23">
        <v>92.358000000000004</v>
      </c>
    </row>
    <row r="331" spans="1:4">
      <c r="A331" s="9">
        <v>43109</v>
      </c>
      <c r="B331" s="42">
        <v>29.536000000000001</v>
      </c>
      <c r="C331" s="50">
        <v>1.2999999999999999E-2</v>
      </c>
      <c r="D331" s="23">
        <v>92.528000000000006</v>
      </c>
    </row>
    <row r="332" spans="1:4">
      <c r="A332" s="9">
        <v>43110</v>
      </c>
      <c r="B332" s="42">
        <v>29.600999999999999</v>
      </c>
      <c r="C332" s="50">
        <v>6.5000000000000002E-2</v>
      </c>
      <c r="D332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32"/>
  <sheetViews>
    <sheetView zoomScale="85" zoomScaleNormal="85" workbookViewId="0">
      <pane ySplit="3" topLeftCell="A324" activePane="bottomLeft" state="frozen"/>
      <selection pane="bottomLeft" activeCell="G341" sqref="G341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  <row r="326" spans="1:9">
      <c r="A326" s="9">
        <v>43104</v>
      </c>
      <c r="B326" s="10">
        <v>243180</v>
      </c>
      <c r="C326" s="10">
        <v>-54696</v>
      </c>
      <c r="D326" s="10">
        <v>346423</v>
      </c>
      <c r="E326" s="10">
        <v>202448</v>
      </c>
      <c r="F326" s="22">
        <f t="shared" ref="F326" si="219">B326/10000</f>
        <v>24.318000000000001</v>
      </c>
      <c r="G326" s="22">
        <f t="shared" ref="G326" si="220">C326/10000</f>
        <v>-5.4695999999999998</v>
      </c>
      <c r="H326" s="22">
        <f t="shared" ref="H326" si="221">D326/10000</f>
        <v>34.642299999999999</v>
      </c>
      <c r="I326" s="22">
        <f t="shared" ref="I326" si="222">E326/10000</f>
        <v>20.244800000000001</v>
      </c>
    </row>
    <row r="327" spans="1:9">
      <c r="A327" s="9">
        <v>43105</v>
      </c>
      <c r="B327" s="10">
        <v>289317</v>
      </c>
      <c r="C327" s="10">
        <v>-27521</v>
      </c>
      <c r="D327" s="10">
        <v>355192</v>
      </c>
      <c r="E327" s="10">
        <v>192201</v>
      </c>
      <c r="F327" s="22">
        <f t="shared" ref="F327" si="223">B327/10000</f>
        <v>28.931699999999999</v>
      </c>
      <c r="G327" s="22">
        <f t="shared" ref="G327" si="224">C327/10000</f>
        <v>-2.7521</v>
      </c>
      <c r="H327" s="22">
        <f t="shared" ref="H327" si="225">D327/10000</f>
        <v>35.519199999999998</v>
      </c>
      <c r="I327" s="22">
        <f t="shared" ref="I327" si="226">E327/10000</f>
        <v>19.220099999999999</v>
      </c>
    </row>
    <row r="328" spans="1:9">
      <c r="A328" s="9">
        <v>43106</v>
      </c>
      <c r="B328" s="10"/>
      <c r="C328" s="10"/>
      <c r="D328" s="10"/>
      <c r="E328" s="10"/>
      <c r="F328" s="22"/>
      <c r="G328" s="22"/>
      <c r="H328" s="22"/>
      <c r="I328" s="22"/>
    </row>
    <row r="329" spans="1:9">
      <c r="A329" s="9">
        <v>43107</v>
      </c>
      <c r="B329" s="10"/>
      <c r="C329" s="10"/>
      <c r="D329" s="10"/>
      <c r="E329" s="10"/>
      <c r="F329" s="22"/>
      <c r="G329" s="22"/>
      <c r="H329" s="22"/>
      <c r="I329" s="22"/>
    </row>
    <row r="330" spans="1:9">
      <c r="A330" s="9">
        <v>43108</v>
      </c>
      <c r="B330" s="10">
        <v>230187</v>
      </c>
      <c r="C330" s="10">
        <v>-15840</v>
      </c>
      <c r="D330" s="10">
        <v>380616</v>
      </c>
      <c r="E330" s="10">
        <v>181738</v>
      </c>
      <c r="F330" s="22">
        <f t="shared" ref="F330" si="227">B330/10000</f>
        <v>23.018699999999999</v>
      </c>
      <c r="G330" s="22">
        <f t="shared" ref="G330" si="228">C330/10000</f>
        <v>-1.5840000000000001</v>
      </c>
      <c r="H330" s="22">
        <f t="shared" ref="H330" si="229">D330/10000</f>
        <v>38.061599999999999</v>
      </c>
      <c r="I330" s="22">
        <f t="shared" ref="I330" si="230">E330/10000</f>
        <v>18.1738</v>
      </c>
    </row>
    <row r="331" spans="1:9">
      <c r="A331" s="9">
        <v>43109</v>
      </c>
      <c r="B331" s="10">
        <v>227264</v>
      </c>
      <c r="C331" s="10">
        <v>-18985</v>
      </c>
      <c r="D331" s="10">
        <v>370807</v>
      </c>
      <c r="E331" s="10">
        <v>177312</v>
      </c>
      <c r="F331" s="22">
        <f t="shared" ref="F331" si="231">B331/10000</f>
        <v>22.726400000000002</v>
      </c>
      <c r="G331" s="22">
        <f t="shared" ref="G331" si="232">C331/10000</f>
        <v>-1.8985000000000001</v>
      </c>
      <c r="H331" s="22">
        <f t="shared" ref="H331" si="233">D331/10000</f>
        <v>37.0807</v>
      </c>
      <c r="I331" s="22">
        <f t="shared" ref="I331" si="234">E331/10000</f>
        <v>17.731200000000001</v>
      </c>
    </row>
    <row r="332" spans="1:9">
      <c r="A332" s="9">
        <v>43110</v>
      </c>
      <c r="B332" s="10">
        <v>236743</v>
      </c>
      <c r="C332" s="10">
        <v>-60177</v>
      </c>
      <c r="D332" s="10">
        <v>281340</v>
      </c>
      <c r="E332" s="10">
        <v>254298</v>
      </c>
      <c r="F332" s="22">
        <f t="shared" ref="F332" si="235">B332/10000</f>
        <v>23.674299999999999</v>
      </c>
      <c r="G332" s="22">
        <f t="shared" ref="G332" si="236">C332/10000</f>
        <v>-6.0176999999999996</v>
      </c>
      <c r="H332" s="22">
        <f t="shared" ref="H332" si="237">D332/10000</f>
        <v>28.134</v>
      </c>
      <c r="I332" s="22">
        <f t="shared" ref="I332" si="238">E332/10000</f>
        <v>25.4298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33"/>
  <sheetViews>
    <sheetView zoomScale="85" zoomScaleNormal="85" workbookViewId="0">
      <pane xSplit="1" ySplit="4" topLeftCell="B322" activePane="bottomRight" state="frozen"/>
      <selection pane="topRight" activeCell="B1" sqref="B1"/>
      <selection pane="bottomLeft" activeCell="A5" sqref="A5"/>
      <selection pane="bottomRight" activeCell="J334" sqref="J334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  <row r="328" spans="1:12">
      <c r="A328" s="9">
        <v>43104</v>
      </c>
      <c r="B328" s="10">
        <v>52546</v>
      </c>
      <c r="C328" s="10">
        <v>17742</v>
      </c>
      <c r="D328" s="10">
        <v>39</v>
      </c>
      <c r="E328" s="10">
        <v>5445</v>
      </c>
      <c r="F328" s="87">
        <f t="shared" ref="F328" si="156">B328-SUM(C328:E328)</f>
        <v>29320</v>
      </c>
      <c r="G328" s="83"/>
      <c r="H328" s="85">
        <v>12897</v>
      </c>
      <c r="I328" s="10">
        <v>8</v>
      </c>
      <c r="J328" s="10">
        <v>1005</v>
      </c>
      <c r="K328" s="19">
        <f t="shared" ref="K328" si="157">B328-SUM(H328:J328)</f>
        <v>38636</v>
      </c>
      <c r="L328" s="20">
        <f t="shared" ref="L328" si="158">(F328-K328)/B328</f>
        <v>-0.17729227724279678</v>
      </c>
    </row>
    <row r="329" spans="1:12">
      <c r="A329" s="9">
        <v>43105</v>
      </c>
      <c r="B329" s="10">
        <v>54352</v>
      </c>
      <c r="C329" s="10">
        <v>19176</v>
      </c>
      <c r="D329" s="10">
        <v>39</v>
      </c>
      <c r="E329" s="10">
        <v>5184</v>
      </c>
      <c r="F329" s="87">
        <f t="shared" ref="F329" si="159">B329-SUM(C329:E329)</f>
        <v>29953</v>
      </c>
      <c r="G329" s="83"/>
      <c r="H329" s="85">
        <v>13944</v>
      </c>
      <c r="I329" s="10">
        <v>8</v>
      </c>
      <c r="J329" s="10">
        <v>501</v>
      </c>
      <c r="K329" s="19">
        <f t="shared" ref="K329" si="160">B329-SUM(H329:J329)</f>
        <v>39899</v>
      </c>
      <c r="L329" s="20">
        <f t="shared" ref="L329" si="161">(F329-K329)/B329</f>
        <v>-0.18299234618781277</v>
      </c>
    </row>
    <row r="330" spans="1:12">
      <c r="A330" s="9">
        <v>43106</v>
      </c>
      <c r="B330" s="10"/>
      <c r="C330" s="10"/>
      <c r="D330" s="10"/>
      <c r="E330" s="10"/>
      <c r="F330" s="87"/>
      <c r="G330" s="83"/>
      <c r="H330" s="85"/>
      <c r="I330" s="10"/>
      <c r="J330" s="10"/>
      <c r="K330" s="19"/>
      <c r="L330" s="20"/>
    </row>
    <row r="331" spans="1:12">
      <c r="A331" s="9">
        <v>43107</v>
      </c>
      <c r="B331" s="10"/>
      <c r="C331" s="10"/>
      <c r="D331" s="10"/>
      <c r="E331" s="10"/>
      <c r="F331" s="87"/>
      <c r="G331" s="83"/>
      <c r="H331" s="85"/>
      <c r="I331" s="10"/>
      <c r="J331" s="10"/>
      <c r="K331" s="19"/>
      <c r="L331" s="20"/>
    </row>
    <row r="332" spans="1:12">
      <c r="A332" s="9">
        <v>43108</v>
      </c>
      <c r="B332" s="10">
        <v>56026</v>
      </c>
      <c r="C332" s="10">
        <v>19759</v>
      </c>
      <c r="D332" s="10">
        <v>55</v>
      </c>
      <c r="E332" s="10">
        <v>6927</v>
      </c>
      <c r="F332" s="87">
        <f t="shared" ref="F332" si="162">B332-SUM(C332:E332)</f>
        <v>29285</v>
      </c>
      <c r="G332" s="83"/>
      <c r="H332" s="85">
        <v>14273</v>
      </c>
      <c r="I332" s="10">
        <v>0</v>
      </c>
      <c r="J332" s="10">
        <v>815</v>
      </c>
      <c r="K332" s="19">
        <f t="shared" ref="K332" si="163">B332-SUM(H332:J332)</f>
        <v>40938</v>
      </c>
      <c r="L332" s="20">
        <f t="shared" ref="L332" si="164">(F332-K332)/B332</f>
        <v>-0.20799271766679756</v>
      </c>
    </row>
    <row r="333" spans="1:12">
      <c r="A333" s="9">
        <v>43109</v>
      </c>
      <c r="B333" s="10">
        <v>58027</v>
      </c>
      <c r="C333" s="10">
        <v>21880</v>
      </c>
      <c r="D333" s="10">
        <v>295</v>
      </c>
      <c r="E333" s="10">
        <v>7808</v>
      </c>
      <c r="F333" s="87">
        <f t="shared" ref="F333" si="165">B333-SUM(C333:E333)</f>
        <v>28044</v>
      </c>
      <c r="G333" s="83"/>
      <c r="H333" s="85">
        <v>15408</v>
      </c>
      <c r="I333" s="10">
        <v>0</v>
      </c>
      <c r="J333" s="10">
        <v>588</v>
      </c>
      <c r="K333" s="19">
        <f t="shared" ref="K333" si="166">B333-SUM(H333:J333)</f>
        <v>42031</v>
      </c>
      <c r="L333" s="20">
        <f t="shared" ref="L333" si="167">(F333-K333)/B333</f>
        <v>-0.24104296275871576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32"/>
  <sheetViews>
    <sheetView zoomScale="85" zoomScaleNormal="85" workbookViewId="0">
      <pane xSplit="1" ySplit="3" topLeftCell="B326" activePane="bottomRight" state="frozen"/>
      <selection pane="topRight" activeCell="B1" sqref="B1"/>
      <selection pane="bottomLeft" activeCell="A4" sqref="A4"/>
      <selection pane="bottomRight" activeCell="K348" sqref="K348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>
      <c r="A321" s="9">
        <v>43099</v>
      </c>
      <c r="B321" s="10"/>
      <c r="C321" s="23"/>
    </row>
    <row r="322" spans="1:3">
      <c r="A322" s="9">
        <v>43100</v>
      </c>
      <c r="B322" s="10"/>
      <c r="C322" s="23"/>
    </row>
    <row r="323" spans="1:3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  <row r="326" spans="1:3">
      <c r="A326" s="9">
        <v>43104</v>
      </c>
      <c r="B326" s="10">
        <v>178.58</v>
      </c>
      <c r="C326" s="23">
        <f t="shared" ref="C326" si="53">B326/100</f>
        <v>1.7858000000000001</v>
      </c>
    </row>
    <row r="327" spans="1:3">
      <c r="A327" s="9">
        <v>43105</v>
      </c>
      <c r="B327" s="10">
        <v>184.73</v>
      </c>
      <c r="C327" s="23">
        <f t="shared" ref="C327" si="54">B327/100</f>
        <v>1.8472999999999999</v>
      </c>
    </row>
    <row r="328" spans="1:3">
      <c r="A328" s="9">
        <v>43106</v>
      </c>
      <c r="B328" s="10"/>
      <c r="C328" s="23"/>
    </row>
    <row r="329" spans="1:3">
      <c r="A329" s="9">
        <v>43107</v>
      </c>
      <c r="B329" s="10"/>
      <c r="C329" s="23"/>
    </row>
    <row r="330" spans="1:3">
      <c r="A330" s="9">
        <v>43108</v>
      </c>
      <c r="B330" s="10">
        <v>184.02</v>
      </c>
      <c r="C330" s="23">
        <f t="shared" ref="C330" si="55">B330/100</f>
        <v>1.8402000000000001</v>
      </c>
    </row>
    <row r="331" spans="1:3">
      <c r="A331" s="9">
        <v>43109</v>
      </c>
      <c r="B331" s="10">
        <v>182.98</v>
      </c>
      <c r="C331" s="23">
        <f t="shared" ref="C331" si="56">B331/100</f>
        <v>1.8297999999999999</v>
      </c>
    </row>
    <row r="332" spans="1:3">
      <c r="A332" s="9">
        <v>43110</v>
      </c>
      <c r="B332" s="10">
        <v>183.18</v>
      </c>
      <c r="C332" s="23">
        <f t="shared" ref="C332" si="57">B332/100</f>
        <v>1.8318000000000001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2018-01-10T12:20:53Z</dcterms:modified>
</cp:coreProperties>
</file>