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 firstSheet="1" activeTab="1"/>
  </bookViews>
  <sheets>
    <sheet name="重點說明" sheetId="20" r:id="rId1"/>
    <sheet name="盤後整理" sheetId="11" r:id="rId2"/>
    <sheet name="資料整合一覽" sheetId="1" r:id="rId3"/>
    <sheet name="大盤與近月台指" sheetId="2" r:id="rId4"/>
    <sheet name="三大法人買賣超" sheetId="12" r:id="rId5"/>
    <sheet name="外資期貨未平倉口數" sheetId="14" r:id="rId6"/>
    <sheet name="期貨大額交易人未沖銷部位" sheetId="18" r:id="rId7"/>
    <sheet name="選擇權未平倉餘額" sheetId="16" r:id="rId8"/>
    <sheet name="臺指選擇權P_C_Ratios" sheetId="17" r:id="rId9"/>
    <sheet name="新台幣匯率美元指數" sheetId="13" r:id="rId10"/>
    <sheet name="散戶多空比" sheetId="15" r:id="rId11"/>
    <sheet name="三大美股走勢" sheetId="1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9" i="15" l="1"/>
  <c r="K399" i="15"/>
  <c r="C397" i="17"/>
  <c r="F397" i="16"/>
  <c r="G397" i="16"/>
  <c r="H397" i="16"/>
  <c r="I397" i="16"/>
  <c r="D397" i="18"/>
  <c r="G397" i="18"/>
  <c r="J397" i="18"/>
  <c r="M397" i="18"/>
  <c r="D398" i="14"/>
  <c r="I398" i="14"/>
  <c r="J398" i="14" s="1"/>
  <c r="C397" i="12"/>
  <c r="E397" i="12"/>
  <c r="G397" i="12"/>
  <c r="I397" i="12"/>
  <c r="L399" i="15" l="1"/>
  <c r="O397" i="18"/>
  <c r="N397" i="18"/>
  <c r="K398" i="14"/>
  <c r="F398" i="15"/>
  <c r="K398" i="15"/>
  <c r="C396" i="17"/>
  <c r="F396" i="16"/>
  <c r="G396" i="16"/>
  <c r="H396" i="16"/>
  <c r="I396" i="16"/>
  <c r="D396" i="18"/>
  <c r="G396" i="18"/>
  <c r="J396" i="18"/>
  <c r="M396" i="18"/>
  <c r="D397" i="14"/>
  <c r="I397" i="14"/>
  <c r="J397" i="14" s="1"/>
  <c r="C396" i="12"/>
  <c r="E396" i="12"/>
  <c r="G396" i="12"/>
  <c r="I396" i="12"/>
  <c r="L398" i="15" l="1"/>
  <c r="O396" i="18"/>
  <c r="N396" i="18"/>
  <c r="K397" i="14"/>
  <c r="F397" i="15"/>
  <c r="K397" i="15"/>
  <c r="C395" i="17"/>
  <c r="F395" i="16"/>
  <c r="G395" i="16"/>
  <c r="H395" i="16"/>
  <c r="I395" i="16"/>
  <c r="D395" i="18"/>
  <c r="G395" i="18"/>
  <c r="J395" i="18"/>
  <c r="M395" i="18"/>
  <c r="K396" i="14"/>
  <c r="D396" i="14"/>
  <c r="I396" i="14"/>
  <c r="J396" i="14" s="1"/>
  <c r="C395" i="12"/>
  <c r="E395" i="12"/>
  <c r="G395" i="12"/>
  <c r="I395" i="12"/>
  <c r="L397" i="15" l="1"/>
  <c r="O395" i="18"/>
  <c r="N395" i="18"/>
  <c r="F396" i="15"/>
  <c r="K396" i="15"/>
  <c r="C394" i="17"/>
  <c r="F394" i="16"/>
  <c r="G394" i="16"/>
  <c r="H394" i="16"/>
  <c r="I394" i="16"/>
  <c r="D394" i="18"/>
  <c r="G394" i="18"/>
  <c r="J394" i="18"/>
  <c r="N394" i="18" s="1"/>
  <c r="M394" i="18"/>
  <c r="K395" i="14"/>
  <c r="D395" i="14"/>
  <c r="I395" i="14"/>
  <c r="J395" i="14" s="1"/>
  <c r="C394" i="12"/>
  <c r="E394" i="12"/>
  <c r="G394" i="12"/>
  <c r="I394" i="12"/>
  <c r="L396" i="15" l="1"/>
  <c r="O394" i="18"/>
  <c r="F395" i="15"/>
  <c r="K395" i="15"/>
  <c r="C393" i="17"/>
  <c r="F393" i="16"/>
  <c r="G393" i="16"/>
  <c r="H393" i="16"/>
  <c r="I393" i="16"/>
  <c r="D393" i="18"/>
  <c r="G393" i="18"/>
  <c r="J393" i="18"/>
  <c r="M393" i="18"/>
  <c r="C393" i="12"/>
  <c r="E393" i="12"/>
  <c r="G393" i="12"/>
  <c r="I393" i="12"/>
  <c r="K394" i="14"/>
  <c r="D394" i="14"/>
  <c r="I394" i="14"/>
  <c r="J394" i="14" s="1"/>
  <c r="L395" i="15" l="1"/>
  <c r="N393" i="18"/>
  <c r="O393" i="18"/>
  <c r="F392" i="15"/>
  <c r="K392" i="15"/>
  <c r="C390" i="17"/>
  <c r="F390" i="16"/>
  <c r="G390" i="16"/>
  <c r="H390" i="16"/>
  <c r="I390" i="16"/>
  <c r="D390" i="18"/>
  <c r="G390" i="18"/>
  <c r="J390" i="18"/>
  <c r="M390" i="18"/>
  <c r="D391" i="14"/>
  <c r="I391" i="14"/>
  <c r="J391" i="14" s="1"/>
  <c r="C390" i="12"/>
  <c r="E390" i="12"/>
  <c r="G390" i="12"/>
  <c r="I390" i="12"/>
  <c r="L392" i="15" l="1"/>
  <c r="O390" i="18"/>
  <c r="N390" i="18"/>
  <c r="K391" i="14"/>
  <c r="F391" i="15"/>
  <c r="K391" i="15"/>
  <c r="C389" i="17"/>
  <c r="F389" i="16"/>
  <c r="G389" i="16"/>
  <c r="H389" i="16"/>
  <c r="I389" i="16"/>
  <c r="D389" i="18"/>
  <c r="G389" i="18"/>
  <c r="J389" i="18"/>
  <c r="M389" i="18"/>
  <c r="D390" i="14"/>
  <c r="I390" i="14"/>
  <c r="K390" i="14" s="1"/>
  <c r="C389" i="12"/>
  <c r="E389" i="12"/>
  <c r="G389" i="12"/>
  <c r="I389" i="12"/>
  <c r="L391" i="15" l="1"/>
  <c r="N389" i="18"/>
  <c r="O389" i="18"/>
  <c r="J390" i="14"/>
  <c r="F390" i="15"/>
  <c r="K390" i="15"/>
  <c r="C388" i="17"/>
  <c r="F388" i="16"/>
  <c r="G388" i="16"/>
  <c r="H388" i="16"/>
  <c r="I388" i="16"/>
  <c r="D388" i="18"/>
  <c r="G388" i="18"/>
  <c r="J388" i="18"/>
  <c r="M388" i="18"/>
  <c r="K387" i="14"/>
  <c r="K388" i="14"/>
  <c r="K389" i="14"/>
  <c r="D389" i="14"/>
  <c r="I389" i="14"/>
  <c r="J389" i="14" s="1"/>
  <c r="C388" i="12"/>
  <c r="E388" i="12"/>
  <c r="G388" i="12"/>
  <c r="I388" i="12"/>
  <c r="L390" i="15" l="1"/>
  <c r="O388" i="18"/>
  <c r="N388" i="18"/>
  <c r="F389" i="15"/>
  <c r="K389" i="15"/>
  <c r="C387" i="17"/>
  <c r="F387" i="16"/>
  <c r="G387" i="16"/>
  <c r="H387" i="16"/>
  <c r="I387" i="16"/>
  <c r="D387" i="18"/>
  <c r="G387" i="18"/>
  <c r="J387" i="18"/>
  <c r="N387" i="18" s="1"/>
  <c r="M387" i="18"/>
  <c r="D388" i="14"/>
  <c r="I388" i="14"/>
  <c r="J388" i="14" s="1"/>
  <c r="C387" i="12"/>
  <c r="E387" i="12"/>
  <c r="G387" i="12"/>
  <c r="I387" i="12"/>
  <c r="L389" i="15" l="1"/>
  <c r="O387" i="18"/>
  <c r="F388" i="15"/>
  <c r="K388" i="15"/>
  <c r="C386" i="17"/>
  <c r="F386" i="16"/>
  <c r="G386" i="16"/>
  <c r="H386" i="16"/>
  <c r="I386" i="16"/>
  <c r="D386" i="18"/>
  <c r="G386" i="18"/>
  <c r="J386" i="18"/>
  <c r="M386" i="18"/>
  <c r="D387" i="14"/>
  <c r="I387" i="14"/>
  <c r="J387" i="14" s="1"/>
  <c r="C386" i="12"/>
  <c r="E386" i="12"/>
  <c r="G386" i="12"/>
  <c r="I386" i="12"/>
  <c r="L388" i="15" l="1"/>
  <c r="O386" i="18"/>
  <c r="N386" i="18"/>
  <c r="F385" i="15"/>
  <c r="K385" i="15"/>
  <c r="C383" i="17"/>
  <c r="F383" i="16"/>
  <c r="G383" i="16"/>
  <c r="H383" i="16"/>
  <c r="I383" i="16"/>
  <c r="D383" i="18"/>
  <c r="G383" i="18"/>
  <c r="J383" i="18"/>
  <c r="M383" i="18"/>
  <c r="D384" i="14"/>
  <c r="I384" i="14"/>
  <c r="J384" i="14" s="1"/>
  <c r="C383" i="12"/>
  <c r="E383" i="12"/>
  <c r="G383" i="12"/>
  <c r="I383" i="12"/>
  <c r="L385" i="15" l="1"/>
  <c r="O383" i="18"/>
  <c r="N383" i="18"/>
  <c r="K384" i="14"/>
  <c r="F384" i="15"/>
  <c r="K384" i="15"/>
  <c r="C382" i="17"/>
  <c r="F382" i="16"/>
  <c r="G382" i="16"/>
  <c r="H382" i="16"/>
  <c r="I382" i="16"/>
  <c r="D382" i="18"/>
  <c r="G382" i="18"/>
  <c r="J382" i="18"/>
  <c r="M382" i="18"/>
  <c r="K383" i="14"/>
  <c r="D383" i="14"/>
  <c r="I383" i="14"/>
  <c r="J383" i="14" s="1"/>
  <c r="I382" i="12"/>
  <c r="G382" i="12"/>
  <c r="E382" i="12"/>
  <c r="C382" i="12"/>
  <c r="L384" i="15" l="1"/>
  <c r="O382" i="18"/>
  <c r="N382" i="18"/>
  <c r="F382" i="15"/>
  <c r="K382" i="15"/>
  <c r="C380" i="17"/>
  <c r="F380" i="16"/>
  <c r="G380" i="16"/>
  <c r="H380" i="16"/>
  <c r="I380" i="16"/>
  <c r="D380" i="18"/>
  <c r="G380" i="18"/>
  <c r="J380" i="18"/>
  <c r="N380" i="18" s="1"/>
  <c r="M380" i="18"/>
  <c r="K381" i="14"/>
  <c r="D381" i="14"/>
  <c r="I381" i="14"/>
  <c r="J381" i="14" s="1"/>
  <c r="C380" i="12"/>
  <c r="E380" i="12"/>
  <c r="G380" i="12"/>
  <c r="I380" i="12"/>
  <c r="L382" i="15" l="1"/>
  <c r="O380" i="18"/>
  <c r="F381" i="15"/>
  <c r="K381" i="15"/>
  <c r="C379" i="17"/>
  <c r="F379" i="16"/>
  <c r="G379" i="16"/>
  <c r="H379" i="16"/>
  <c r="I379" i="16"/>
  <c r="D379" i="18"/>
  <c r="G379" i="18"/>
  <c r="J379" i="18"/>
  <c r="M379" i="18"/>
  <c r="K380" i="14"/>
  <c r="D380" i="14"/>
  <c r="I380" i="14"/>
  <c r="J380" i="14" s="1"/>
  <c r="C379" i="12"/>
  <c r="E379" i="12"/>
  <c r="G379" i="12"/>
  <c r="I379" i="12"/>
  <c r="L381" i="15" l="1"/>
  <c r="N379" i="18"/>
  <c r="O379" i="18"/>
  <c r="F377" i="15"/>
  <c r="K377" i="15"/>
  <c r="F378" i="15"/>
  <c r="K378" i="15"/>
  <c r="C375" i="17"/>
  <c r="C376" i="17"/>
  <c r="F375" i="16"/>
  <c r="G375" i="16"/>
  <c r="H375" i="16"/>
  <c r="I375" i="16"/>
  <c r="F376" i="16"/>
  <c r="G376" i="16"/>
  <c r="H376" i="16"/>
  <c r="I376" i="16"/>
  <c r="D375" i="18"/>
  <c r="G375" i="18"/>
  <c r="J375" i="18"/>
  <c r="M375" i="18"/>
  <c r="D376" i="18"/>
  <c r="G376" i="18"/>
  <c r="J376" i="18"/>
  <c r="N376" i="18" s="1"/>
  <c r="M376" i="18"/>
  <c r="O376" i="18" s="1"/>
  <c r="J377" i="14"/>
  <c r="D377" i="14"/>
  <c r="I377" i="14"/>
  <c r="C375" i="12"/>
  <c r="E375" i="12"/>
  <c r="G375" i="12"/>
  <c r="I375" i="12"/>
  <c r="C376" i="12"/>
  <c r="E376" i="12"/>
  <c r="G376" i="12"/>
  <c r="I376" i="12"/>
  <c r="L377" i="15" l="1"/>
  <c r="L378" i="15"/>
  <c r="O375" i="18"/>
  <c r="N375" i="18"/>
  <c r="F367" i="15"/>
  <c r="K367" i="15"/>
  <c r="F376" i="15"/>
  <c r="K376" i="15"/>
  <c r="C365" i="17"/>
  <c r="C374" i="17"/>
  <c r="M365" i="18"/>
  <c r="O365" i="18" s="1"/>
  <c r="N365" i="18"/>
  <c r="J365" i="18"/>
  <c r="G365" i="18"/>
  <c r="D365" i="18"/>
  <c r="F365" i="16"/>
  <c r="G365" i="16"/>
  <c r="H365" i="16"/>
  <c r="I365" i="16"/>
  <c r="F374" i="16"/>
  <c r="G374" i="16"/>
  <c r="H374" i="16"/>
  <c r="I374" i="16"/>
  <c r="D374" i="18"/>
  <c r="G374" i="18"/>
  <c r="J374" i="18"/>
  <c r="N374" i="18" s="1"/>
  <c r="M374" i="18"/>
  <c r="K375" i="14"/>
  <c r="D376" i="14"/>
  <c r="I376" i="14"/>
  <c r="J376" i="14" s="1"/>
  <c r="K366" i="14"/>
  <c r="J375" i="14"/>
  <c r="I366" i="14"/>
  <c r="J366" i="14"/>
  <c r="I375" i="14"/>
  <c r="D366" i="14"/>
  <c r="D375" i="14"/>
  <c r="C363" i="12"/>
  <c r="E363" i="12"/>
  <c r="G363" i="12"/>
  <c r="I363" i="12"/>
  <c r="C364" i="12"/>
  <c r="E364" i="12"/>
  <c r="G364" i="12"/>
  <c r="I364" i="12"/>
  <c r="C365" i="12"/>
  <c r="E365" i="12"/>
  <c r="G365" i="12"/>
  <c r="I365" i="12"/>
  <c r="C366" i="12"/>
  <c r="E366" i="12"/>
  <c r="G366" i="12"/>
  <c r="I366" i="12"/>
  <c r="C367" i="12"/>
  <c r="E367" i="12"/>
  <c r="G367" i="12"/>
  <c r="I367" i="12"/>
  <c r="C368" i="12"/>
  <c r="E368" i="12"/>
  <c r="G368" i="12"/>
  <c r="I368" i="12"/>
  <c r="C369" i="12"/>
  <c r="E369" i="12"/>
  <c r="G369" i="12"/>
  <c r="I369" i="12"/>
  <c r="C370" i="12"/>
  <c r="E370" i="12"/>
  <c r="G370" i="12"/>
  <c r="I370" i="12"/>
  <c r="C371" i="12"/>
  <c r="E371" i="12"/>
  <c r="G371" i="12"/>
  <c r="I371" i="12"/>
  <c r="C372" i="12"/>
  <c r="E372" i="12"/>
  <c r="G372" i="12"/>
  <c r="I372" i="12"/>
  <c r="C373" i="12"/>
  <c r="E373" i="12"/>
  <c r="G373" i="12"/>
  <c r="I373" i="12"/>
  <c r="C374" i="12"/>
  <c r="E374" i="12"/>
  <c r="G374" i="12"/>
  <c r="I374" i="12"/>
  <c r="K377" i="14" l="1"/>
  <c r="L376" i="15"/>
  <c r="L367" i="15"/>
  <c r="O374" i="18"/>
  <c r="K376" i="14"/>
  <c r="F361" i="15"/>
  <c r="K361" i="15"/>
  <c r="F362" i="15"/>
  <c r="K362" i="15"/>
  <c r="F363" i="15"/>
  <c r="K363" i="15"/>
  <c r="F364" i="15"/>
  <c r="K364" i="15"/>
  <c r="C359" i="17"/>
  <c r="C360" i="17"/>
  <c r="C361" i="17"/>
  <c r="C362" i="17"/>
  <c r="F359" i="16"/>
  <c r="G359" i="16"/>
  <c r="H359" i="16"/>
  <c r="I359" i="16"/>
  <c r="F360" i="16"/>
  <c r="G360" i="16"/>
  <c r="H360" i="16"/>
  <c r="I360" i="16"/>
  <c r="F361" i="16"/>
  <c r="G361" i="16"/>
  <c r="H361" i="16"/>
  <c r="I361" i="16"/>
  <c r="F362" i="16"/>
  <c r="G362" i="16"/>
  <c r="H362" i="16"/>
  <c r="I362" i="16"/>
  <c r="D359" i="18"/>
  <c r="G359" i="18"/>
  <c r="J359" i="18"/>
  <c r="M359" i="18"/>
  <c r="D360" i="18"/>
  <c r="G360" i="18"/>
  <c r="J360" i="18"/>
  <c r="M360" i="18"/>
  <c r="D361" i="18"/>
  <c r="G361" i="18"/>
  <c r="J361" i="18"/>
  <c r="M361" i="18"/>
  <c r="D362" i="18"/>
  <c r="G362" i="18"/>
  <c r="J362" i="18"/>
  <c r="M362" i="18"/>
  <c r="D360" i="14"/>
  <c r="I360" i="14"/>
  <c r="J360" i="14" s="1"/>
  <c r="D361" i="14"/>
  <c r="I361" i="14"/>
  <c r="J361" i="14"/>
  <c r="D362" i="14"/>
  <c r="I362" i="14"/>
  <c r="D363" i="14"/>
  <c r="I363" i="14"/>
  <c r="I359" i="12"/>
  <c r="I360" i="12"/>
  <c r="I361" i="12"/>
  <c r="I362" i="12"/>
  <c r="G359" i="12"/>
  <c r="G360" i="12"/>
  <c r="G361" i="12"/>
  <c r="G362" i="12"/>
  <c r="E359" i="12"/>
  <c r="E360" i="12"/>
  <c r="E361" i="12"/>
  <c r="E362" i="12"/>
  <c r="C359" i="12"/>
  <c r="C360" i="12"/>
  <c r="C361" i="12"/>
  <c r="C362" i="12"/>
  <c r="L363" i="15" l="1"/>
  <c r="L364" i="15"/>
  <c r="L362" i="15"/>
  <c r="L361" i="15"/>
  <c r="N359" i="18"/>
  <c r="O361" i="18"/>
  <c r="N361" i="18"/>
  <c r="O362" i="18"/>
  <c r="O359" i="18"/>
  <c r="O360" i="18"/>
  <c r="N362" i="18"/>
  <c r="N360" i="18"/>
  <c r="K360" i="14"/>
  <c r="K361" i="14"/>
  <c r="K362" i="14"/>
  <c r="J362" i="14"/>
  <c r="K363" i="14"/>
  <c r="J363" i="14"/>
  <c r="F360" i="15"/>
  <c r="K360" i="15"/>
  <c r="C358" i="17"/>
  <c r="F358" i="16"/>
  <c r="G358" i="16"/>
  <c r="H358" i="16"/>
  <c r="I358" i="16"/>
  <c r="D358" i="18"/>
  <c r="G358" i="18"/>
  <c r="J358" i="18"/>
  <c r="M358" i="18"/>
  <c r="K359" i="14"/>
  <c r="D359" i="14"/>
  <c r="I359" i="14"/>
  <c r="C358" i="12"/>
  <c r="E358" i="12"/>
  <c r="G358" i="12"/>
  <c r="I358" i="12"/>
  <c r="L360" i="15" l="1"/>
  <c r="O358" i="18"/>
  <c r="N358" i="18"/>
  <c r="J359" i="14"/>
  <c r="F357" i="15"/>
  <c r="K357" i="15"/>
  <c r="C355" i="17"/>
  <c r="F355" i="16"/>
  <c r="G355" i="16"/>
  <c r="H355" i="16"/>
  <c r="I355" i="16"/>
  <c r="D355" i="18"/>
  <c r="G355" i="18"/>
  <c r="J355" i="18"/>
  <c r="M355" i="18"/>
  <c r="O355" i="18" s="1"/>
  <c r="D356" i="14"/>
  <c r="I356" i="14"/>
  <c r="J356" i="14" s="1"/>
  <c r="C355" i="12"/>
  <c r="E355" i="12"/>
  <c r="G355" i="12"/>
  <c r="I355" i="12"/>
  <c r="L357" i="15" l="1"/>
  <c r="N355" i="18"/>
  <c r="K356" i="14"/>
  <c r="F356" i="15"/>
  <c r="K356" i="15"/>
  <c r="C354" i="17"/>
  <c r="F354" i="16"/>
  <c r="G354" i="16"/>
  <c r="H354" i="16"/>
  <c r="I354" i="16"/>
  <c r="D354" i="18"/>
  <c r="G354" i="18"/>
  <c r="J354" i="18"/>
  <c r="M354" i="18"/>
  <c r="O354" i="18" s="1"/>
  <c r="D355" i="14"/>
  <c r="I355" i="14"/>
  <c r="J355" i="14" s="1"/>
  <c r="C354" i="12"/>
  <c r="E354" i="12"/>
  <c r="G354" i="12"/>
  <c r="I354" i="12"/>
  <c r="L356" i="15" l="1"/>
  <c r="N354" i="18"/>
  <c r="K355" i="14"/>
  <c r="F354" i="15"/>
  <c r="K354" i="15"/>
  <c r="F355" i="15"/>
  <c r="K355" i="15"/>
  <c r="C352" i="17"/>
  <c r="C353" i="17"/>
  <c r="F352" i="16"/>
  <c r="G352" i="16"/>
  <c r="H352" i="16"/>
  <c r="I352" i="16"/>
  <c r="F353" i="16"/>
  <c r="G353" i="16"/>
  <c r="H353" i="16"/>
  <c r="I353" i="16"/>
  <c r="D352" i="18"/>
  <c r="G352" i="18"/>
  <c r="J352" i="18"/>
  <c r="M352" i="18"/>
  <c r="D353" i="18"/>
  <c r="G353" i="18"/>
  <c r="J353" i="18"/>
  <c r="M353" i="18"/>
  <c r="D353" i="14"/>
  <c r="I353" i="14"/>
  <c r="J353" i="14" s="1"/>
  <c r="D354" i="14"/>
  <c r="I354" i="14"/>
  <c r="J354" i="14" s="1"/>
  <c r="C352" i="12"/>
  <c r="E352" i="12"/>
  <c r="G352" i="12"/>
  <c r="I352" i="12"/>
  <c r="C353" i="12"/>
  <c r="E353" i="12"/>
  <c r="G353" i="12"/>
  <c r="I353" i="12"/>
  <c r="L354" i="15" l="1"/>
  <c r="L355" i="15"/>
  <c r="N352" i="18"/>
  <c r="O352" i="18"/>
  <c r="O353" i="18"/>
  <c r="N353" i="18"/>
  <c r="K353" i="14"/>
  <c r="K354" i="14"/>
  <c r="F353" i="15"/>
  <c r="K353" i="15"/>
  <c r="C351" i="17"/>
  <c r="F351" i="16"/>
  <c r="G351" i="16"/>
  <c r="H351" i="16"/>
  <c r="I351" i="16"/>
  <c r="D351" i="18"/>
  <c r="G351" i="18"/>
  <c r="J351" i="18"/>
  <c r="M351" i="18"/>
  <c r="K352" i="14"/>
  <c r="D352" i="14"/>
  <c r="I352" i="14"/>
  <c r="J352" i="14" s="1"/>
  <c r="C349" i="12"/>
  <c r="E349" i="12"/>
  <c r="G349" i="12"/>
  <c r="I349" i="12"/>
  <c r="C350" i="12"/>
  <c r="E350" i="12"/>
  <c r="G350" i="12"/>
  <c r="I350" i="12"/>
  <c r="C351" i="12"/>
  <c r="E351" i="12"/>
  <c r="G351" i="12"/>
  <c r="I351" i="12"/>
  <c r="L353" i="15" l="1"/>
  <c r="O351" i="18"/>
  <c r="N351" i="18"/>
  <c r="F350" i="15"/>
  <c r="K350" i="15"/>
  <c r="C348" i="17"/>
  <c r="F348" i="16"/>
  <c r="G348" i="16"/>
  <c r="H348" i="16"/>
  <c r="I348" i="16"/>
  <c r="D348" i="18"/>
  <c r="G348" i="18"/>
  <c r="J348" i="18"/>
  <c r="N348" i="18" s="1"/>
  <c r="M348" i="18"/>
  <c r="D349" i="14"/>
  <c r="I349" i="14"/>
  <c r="J349" i="14" s="1"/>
  <c r="C348" i="12"/>
  <c r="E348" i="12"/>
  <c r="G348" i="12"/>
  <c r="I348" i="12"/>
  <c r="L350" i="15" l="1"/>
  <c r="O348" i="18"/>
  <c r="K349" i="14"/>
  <c r="F349" i="15"/>
  <c r="K349" i="15"/>
  <c r="C347" i="17"/>
  <c r="F347" i="16"/>
  <c r="G347" i="16"/>
  <c r="H347" i="16"/>
  <c r="I347" i="16"/>
  <c r="D347" i="18"/>
  <c r="G347" i="18"/>
  <c r="J347" i="18"/>
  <c r="M347" i="18"/>
  <c r="D348" i="14"/>
  <c r="I348" i="14"/>
  <c r="J348" i="14" s="1"/>
  <c r="L349" i="15" l="1"/>
  <c r="O347" i="18"/>
  <c r="N347" i="18"/>
  <c r="K348" i="14"/>
  <c r="F348" i="15"/>
  <c r="K348" i="15"/>
  <c r="C346" i="17"/>
  <c r="F346" i="16"/>
  <c r="G346" i="16"/>
  <c r="H346" i="16"/>
  <c r="I346" i="16"/>
  <c r="D346" i="18"/>
  <c r="G346" i="18"/>
  <c r="J346" i="18"/>
  <c r="M346" i="18"/>
  <c r="D347" i="14"/>
  <c r="I347" i="14"/>
  <c r="J347" i="14" s="1"/>
  <c r="L348" i="15" l="1"/>
  <c r="O346" i="18"/>
  <c r="N346" i="18"/>
  <c r="K347" i="14"/>
  <c r="F347" i="15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D13" i="11" l="1"/>
  <c r="C7" i="1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<sst xmlns="http://schemas.openxmlformats.org/spreadsheetml/2006/main" count="473" uniqueCount="382">
  <si>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</si>
  <si>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</si>
  <si>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</si>
  <si>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</si>
  <si>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</si>
  <si>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</si>
  <si>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</si>
  <si>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</si>
  <si>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</si>
  <si>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</si>
  <si>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</si>
  <si>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</si>
  <si>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</si>
  <si>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</si>
  <si>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</si>
  <si>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</si>
  <si>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</si>
  <si>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</si>
  <si>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</si>
  <si>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</si>
  <si>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</si>
  <si>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</si>
  <si>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</si>
  <si>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</si>
  <si>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</si>
  <si>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</si>
  <si>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</si>
  <si>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</si>
  <si>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</si>
  <si>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</si>
  <si>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</si>
  <si>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</si>
  <si>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</si>
  <si>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</si>
  <si>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</si>
  <si>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</si>
  <si>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</si>
  <si>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</si>
  <si>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</si>
  <si>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</si>
  <si>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</si>
  <si>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</si>
  <si>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</si>
  <si>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</si>
  <si>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</si>
  <si>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</si>
  <si>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</si>
  <si>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</si>
  <si>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</si>
  <si>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</si>
  <si>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</si>
  <si>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</si>
  <si>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</si>
  <si>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</si>
  <si>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</si>
  <si>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</si>
  <si>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</si>
  <si>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</si>
  <si>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</si>
  <si>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</si>
  <si>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</si>
  <si>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</si>
  <si>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</si>
  <si>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</si>
  <si>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</si>
  <si>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</si>
  <si>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</si>
  <si>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</si>
  <si>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</si>
  <si>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</si>
  <si>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</si>
  <si>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</si>
  <si>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</si>
  <si>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</si>
  <si>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</si>
  <si>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</si>
  <si>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</si>
  <si>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</si>
  <si>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</si>
  <si>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</si>
  <si>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</si>
  <si>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</si>
  <si>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</si>
  <si>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</si>
  <si>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</si>
  <si>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</si>
  <si>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</si>
  <si>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</si>
  <si>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</si>
  <si>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</si>
  <si>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</si>
  <si>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</si>
  <si>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</si>
  <si>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</si>
  <si>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</si>
  <si>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</si>
  <si>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</si>
  <si>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</si>
  <si>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</si>
  <si>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</si>
  <si>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</si>
  <si>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</si>
  <si>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</si>
  <si>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</si>
  <si>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</si>
  <si>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</si>
  <si>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</si>
  <si>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</si>
  <si>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</si>
  <si>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</si>
  <si>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</si>
  <si>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</si>
  <si>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</si>
  <si>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</si>
  <si>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</si>
  <si>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</si>
  <si>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</si>
  <si>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</si>
  <si>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</si>
  <si>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</si>
  <si>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</si>
  <si>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</si>
  <si>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</si>
  <si>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</si>
  <si>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</si>
  <si>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</si>
  <si>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</si>
  <si>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</si>
  <si>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</si>
  <si>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</si>
  <si>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</si>
  <si>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</si>
  <si>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</si>
  <si>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</si>
  <si>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</si>
  <si>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</si>
  <si>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</si>
  <si>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</si>
  <si>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</si>
  <si>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</si>
  <si>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</si>
  <si>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</si>
  <si>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</si>
  <si>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</si>
  <si>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</si>
  <si>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</si>
  <si>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</si>
  <si>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</si>
  <si>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</si>
  <si>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</si>
  <si>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</si>
  <si>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</si>
  <si>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</si>
  <si>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</si>
  <si>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</si>
  <si>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</si>
  <si>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</si>
  <si>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</si>
  <si>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</si>
  <si>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</si>
  <si>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</si>
  <si>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</si>
  <si>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</si>
  <si>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</si>
  <si>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</si>
  <si>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</si>
  <si>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</si>
  <si>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</si>
  <si>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</si>
  <si>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</si>
  <si>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</si>
  <si>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</si>
  <si>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</si>
  <si>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</si>
  <si>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</si>
  <si>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</si>
  <si>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</si>
  <si>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</si>
  <si>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</si>
  <si>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</si>
  <si>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</si>
  <si>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</si>
  <si>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</si>
  <si>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</si>
  <si>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</si>
  <si>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</si>
  <si>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</si>
  <si>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</si>
  <si>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</si>
  <si>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</si>
  <si>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</si>
  <si>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</si>
  <si>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</si>
  <si>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</si>
  <si>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</si>
  <si>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</si>
  <si>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</si>
  <si>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</si>
  <si>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</si>
  <si>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</si>
  <si>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</si>
  <si>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</si>
  <si>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</si>
  <si>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</si>
  <si>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</si>
  <si>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</si>
  <si>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</si>
  <si>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</si>
  <si>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</si>
  <si>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</si>
  <si>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</si>
  <si>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</si>
  <si>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</si>
  <si>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</si>
  <si>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</si>
  <si>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</si>
  <si>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</si>
  <si>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</si>
  <si>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</si>
  <si>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</si>
  <si>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</si>
  <si>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</si>
  <si>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</si>
  <si>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</si>
  <si>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</si>
  <si>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</si>
  <si>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</si>
  <si>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</si>
  <si>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</si>
  <si>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</si>
  <si>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</si>
  <si>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</si>
  <si>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</si>
  <si>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</si>
  <si>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</si>
  <si>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</si>
  <si>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</si>
  <si>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</si>
  <si>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</si>
  <si>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</si>
  <si>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</si>
  <si>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</si>
  <si>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</si>
  <si>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</si>
  <si>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</si>
  <si>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</si>
  <si>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</si>
  <si>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</si>
  <si>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</si>
  <si>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</si>
  <si>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</si>
  <si>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</si>
  <si>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</si>
  <si>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</si>
  <si>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</si>
  <si>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</si>
  <si>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</si>
  <si>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</si>
  <si>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</si>
  <si>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</si>
  <si>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</si>
  <si>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</si>
  <si>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</si>
  <si>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</si>
  <si>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</si>
  <si>
    <t>1446.96億</t>
  </si>
  <si>
    <t>5629口</t>
  </si>
  <si>
    <t>1606.5億</t>
  </si>
  <si>
    <t>15026口</t>
  </si>
  <si>
    <t>1362.67億</t>
  </si>
  <si>
    <t>2829口</t>
  </si>
  <si>
    <t>籌碼分析-1.大盤籌碼、2.個股籌碼。</t>
  </si>
  <si>
    <t>大盤籌碼分析-以外資的期貨未平倉量與現貨的當日買賣超量進行判斷</t>
  </si>
  <si>
    <t>‧      外資籌碼，外資通常先在期貨建空單、之後再賣出現貨。</t>
  </si>
  <si>
    <t xml:space="preserve">        觀察重點以外資未平倉量為主、現貨當日買賣超量為輔。</t>
  </si>
  <si>
    <t>‧      大原則，外資未平倉量多單(空單)量大於萬口，且同步大買超(賣超)現貨數十億元，</t>
  </si>
  <si>
    <t xml:space="preserve">        則能確定大盤未來走多(走空)。</t>
  </si>
  <si>
    <t>‧      融資融券，平常大盤的融資餘額與融券餘額沒有特別意義，</t>
  </si>
  <si>
    <t xml:space="preserve">        只有在融資、融券餘額單日暴增(減)10%才是有效訊號。</t>
  </si>
  <si>
    <t xml:space="preserve">        融資餘額單日暴增10%→多方過熱、短線看空。</t>
  </si>
  <si>
    <t xml:space="preserve">        融券餘額單日暴增10%→空方過熱、短線看多。</t>
  </si>
  <si>
    <t>‧      60日MA，可以60日MA(季線)輔助判斷目前大盤是多頭還是空頭。</t>
  </si>
  <si>
    <t xml:space="preserve">        連續5日在季線之下代表行情已轉空。</t>
  </si>
  <si>
    <t>‧      操作策略，預測未來偏多做多、偏空做空。</t>
  </si>
  <si>
    <t>選股流程</t>
  </si>
  <si>
    <t>‧      籌碼面→基本面→技術面找買點</t>
  </si>
  <si>
    <t>‧      籌碼是最重要的，法人進場、但技術面的買點不佳只是扣分；</t>
  </si>
  <si>
    <t xml:space="preserve">        法人退場、但技術面的買點漂亮也是0分。</t>
  </si>
  <si>
    <t>個股籌碼分析</t>
  </si>
  <si>
    <t>‧      三大法人為主，主要的籌碼來源分4大類，</t>
  </si>
  <si>
    <t xml:space="preserve">        1.散戶(融資券)、2.大股東(董監持股)、3.主力(券商分點)、</t>
  </si>
  <si>
    <t xml:space="preserve">        4.三大法人(外資投信自營)，</t>
  </si>
  <si>
    <t xml:space="preserve">        個股的籌碼分析以三大法人為主(但自營商做太短且可能含有權證避險成分，</t>
  </si>
  <si>
    <t xml:space="preserve">        不用特別分析)。</t>
  </si>
  <si>
    <t>‧      外資特性，1. 資金多、主要投資權值股，對大盤的影響大。</t>
  </si>
  <si>
    <t xml:space="preserve">                  2. 買賣持有期間長，長期投資領取股利是外資的主要獲利來源。</t>
  </si>
  <si>
    <t xml:space="preserve">                  3. 權值股的籌碼分析以外資的籌碼為主。</t>
  </si>
  <si>
    <t>‧      投信特性，1. 地緣性佳、在地的資源與消息管道較充沛。</t>
  </si>
  <si>
    <t xml:space="preserve">                  2. 必須先行研究才能進場，選投信買超股自然</t>
  </si>
  <si>
    <t xml:space="preserve">                     過濾掉基本面不佳的個股。</t>
  </si>
  <si>
    <t xml:space="preserve">                  3. 投資期間較外資短，以股價波動較大的中小</t>
  </si>
  <si>
    <t xml:space="preserve">                     型股為主，以達成每季的相對績效。判斷中小</t>
  </si>
  <si>
    <t xml:space="preserve">                     型股以投信籌碼為主。</t>
  </si>
  <si>
    <t>‧      實際作業，每日用Excel記錄上市/上櫃的外資/投信買賣超前20名(下午4點會</t>
  </si>
  <si>
    <t xml:space="preserve">                  公告)，每日觀察這80檔個股，對其進行分類:</t>
  </si>
  <si>
    <t xml:space="preserve">                  1. 新面孔-標註黃色，新面孔=近一個月都沒上榜過、當日突然上榜。</t>
  </si>
  <si>
    <t xml:space="preserve">                  2. 連續兩天上榜，標註藍色，至少連續兩天上榜。</t>
  </si>
  <si>
    <t xml:space="preserve">                  3. 外資、投信同步，標註紅色。</t>
  </si>
  <si>
    <t xml:space="preserve">                  4. 外資、投信對做，標註綠色，後續再觀察何者的影響力較大。</t>
  </si>
  <si>
    <t xml:space="preserve">                  *台灣50成分股-以外資為主。</t>
  </si>
  <si>
    <t xml:space="preserve">                  *中型100成分股-要再觀察到某一方勝出時，才將他納入選股標的。</t>
  </si>
  <si>
    <t xml:space="preserve">                  *股本小於30億-以投信為主。</t>
  </si>
  <si>
    <t xml:space="preserve">                  *股本小於40億且大盤成交量大於1000萬時-以投信為主。</t>
  </si>
  <si>
    <t xml:space="preserve">                  ex. 如下圖，穩懋股本小，故以投信籌碼為主。</t>
  </si>
  <si>
    <t>‧      選擇標的，選入標的條件為:</t>
  </si>
  <si>
    <t xml:space="preserve">                  1. 連續3天法人持續買入。(有一定經驗後可以縮減為2天)。 or</t>
  </si>
  <si>
    <t xml:space="preserve">                  2. 當日買超額占成交量的占比高。 or</t>
  </si>
  <si>
    <t xml:space="preserve">                  3. 由賣出轉為賣超。</t>
  </si>
  <si>
    <t>‧      其他法人</t>
  </si>
  <si>
    <t xml:space="preserve">                  1. 散戶(融資券)，融資券餘額主要用於大盤的判斷。</t>
  </si>
  <si>
    <t xml:space="preserve">                  2. 大股東(董監持股)，董監持股占比高不是選股的必要條件，</t>
  </si>
  <si>
    <t xml:space="preserve">                     但是加分條件。</t>
  </si>
  <si>
    <t xml:space="preserve">                  3. 董監持股占比高，代表*大股東未來的營運前景有信心。</t>
  </si>
  <si>
    <t xml:space="preserve">                     *股票的流通數少，外資投信進場能快速啟動漲勢。</t>
  </si>
  <si>
    <t xml:space="preserve">                  4. 主力(券商分點)，券商分點的資料量龐大，且許多大戶</t>
  </si>
  <si>
    <t xml:space="preserve">                     都在不同券商開設多組帳號，深入研究的效益並不高。</t>
  </si>
  <si>
    <t>基本面-進一步篩選</t>
  </si>
  <si>
    <t>‧      閱讀研究報告、了解產業、比較報告提出的目標價。</t>
  </si>
  <si>
    <t>‧      短期，每月營收YOY皆為正數。</t>
  </si>
  <si>
    <t>‧      長期，近五年EPS與現金股利皆為正數。</t>
  </si>
  <si>
    <t>技術面-選擇進場點</t>
  </si>
  <si>
    <t>‧      均線糾結，均線包含5 MA、10 MA、20 MA、60 MA。均線前1個月持續糾結為佳。</t>
  </si>
  <si>
    <t>‧      成交量放大，成交量放大=當日成交量為日均量的3倍。均線糾結+帶量突破將會是最佳</t>
  </si>
  <si>
    <t xml:space="preserve">        的進場時點。</t>
  </si>
  <si>
    <t>‧      相對低點，目前股價在近半年的相對低檔為佳。</t>
  </si>
  <si>
    <t>‧      高檔追高、多頭排列，5 MA、10 MA、20 MA、60 MA。無法買在均線糾結處，至少要達</t>
  </si>
  <si>
    <t xml:space="preserve">        成多頭排列才值得進場。</t>
  </si>
  <si>
    <t>1307.71億</t>
  </si>
  <si>
    <t>7867口</t>
  </si>
  <si>
    <t>1332億</t>
  </si>
  <si>
    <t>4774口</t>
  </si>
  <si>
    <t>1212.32億</t>
  </si>
  <si>
    <t>6280口</t>
  </si>
  <si>
    <t>1199.64億</t>
  </si>
  <si>
    <t>11176口</t>
  </si>
  <si>
    <t>1284.31億</t>
  </si>
  <si>
    <t>10637口</t>
  </si>
  <si>
    <t>1511.73億</t>
  </si>
  <si>
    <t>20737口</t>
  </si>
  <si>
    <t>1453.14億</t>
  </si>
  <si>
    <t>9250口</t>
  </si>
  <si>
    <t>1236.78億</t>
  </si>
  <si>
    <t>10679口</t>
  </si>
  <si>
    <t>1202.84億</t>
  </si>
  <si>
    <t>5066口</t>
  </si>
  <si>
    <t>1360.23億</t>
  </si>
  <si>
    <t>8182口</t>
  </si>
  <si>
    <t>1288.03億</t>
  </si>
  <si>
    <t>10043口</t>
  </si>
  <si>
    <t>1096.51億</t>
  </si>
  <si>
    <t>16367口</t>
  </si>
  <si>
    <t>1122.94億</t>
  </si>
  <si>
    <t>16197口</t>
  </si>
  <si>
    <t>1110.36億</t>
  </si>
  <si>
    <t>11442口</t>
  </si>
  <si>
    <t>1210.54億</t>
  </si>
  <si>
    <t>11169口</t>
  </si>
  <si>
    <t>1207.5億</t>
  </si>
  <si>
    <t>18794口</t>
  </si>
  <si>
    <t>1231.56億</t>
  </si>
  <si>
    <t>4846口</t>
  </si>
  <si>
    <t>1401.03億</t>
  </si>
  <si>
    <t>7821口</t>
  </si>
  <si>
    <t>1307.8億</t>
  </si>
  <si>
    <t>7174口</t>
  </si>
  <si>
    <t>http://www.taifex.com.tw/chinese/3/7_8.asp</t>
    <phoneticPr fontId="3" type="noConversion"/>
  </si>
  <si>
    <t>1186.62億</t>
  </si>
  <si>
    <t>9029口</t>
  </si>
  <si>
    <t>1111.23億</t>
  </si>
  <si>
    <t>7313口</t>
  </si>
  <si>
    <t>1663.85億</t>
  </si>
  <si>
    <t>8213口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</si>
</sst>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38" fontId="6" fillId="0" borderId="25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498794497"/>
  <ax:ocxPr ax:name="CurrentDate" ax:value="43175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3"/>
  <sheetViews>
    <sheetView topLeftCell="A26" workbookViewId="0">
      <selection activeCell="E26" sqref="E26"/>
    </sheetView>
  </sheetViews>
  <sheetFormatPr defaultRowHeight="16.2"/>
  <sheetData>
    <row r="2" spans="2:2">
      <c r="B2" t="s">
        <v>271</v>
      </c>
    </row>
    <row r="4" spans="2:2">
      <c r="B4" t="s">
        <v>272</v>
      </c>
    </row>
    <row r="5" spans="2:2">
      <c r="B5" t="s">
        <v>273</v>
      </c>
    </row>
    <row r="6" spans="2:2">
      <c r="B6" t="s">
        <v>274</v>
      </c>
    </row>
    <row r="7" spans="2:2">
      <c r="B7" t="s">
        <v>275</v>
      </c>
    </row>
    <row r="8" spans="2:2">
      <c r="B8" t="s">
        <v>276</v>
      </c>
    </row>
    <row r="9" spans="2:2">
      <c r="B9" t="s">
        <v>277</v>
      </c>
    </row>
    <row r="10" spans="2:2">
      <c r="B10" t="s">
        <v>278</v>
      </c>
    </row>
    <row r="11" spans="2:2">
      <c r="B11" t="s">
        <v>279</v>
      </c>
    </row>
    <row r="12" spans="2:2">
      <c r="B12" t="s">
        <v>280</v>
      </c>
    </row>
    <row r="13" spans="2:2">
      <c r="B13" t="s">
        <v>281</v>
      </c>
    </row>
    <row r="14" spans="2:2">
      <c r="B14" t="s">
        <v>282</v>
      </c>
    </row>
    <row r="15" spans="2:2">
      <c r="B15" t="s">
        <v>283</v>
      </c>
    </row>
    <row r="17" spans="2:2">
      <c r="B17" t="s">
        <v>284</v>
      </c>
    </row>
    <row r="18" spans="2:2">
      <c r="B18" t="s">
        <v>285</v>
      </c>
    </row>
    <row r="19" spans="2:2">
      <c r="B19" t="s">
        <v>286</v>
      </c>
    </row>
    <row r="20" spans="2:2">
      <c r="B20" t="s">
        <v>287</v>
      </c>
    </row>
    <row r="22" spans="2:2">
      <c r="B22" t="s">
        <v>288</v>
      </c>
    </row>
    <row r="23" spans="2:2">
      <c r="B23" t="s">
        <v>289</v>
      </c>
    </row>
    <row r="24" spans="2:2">
      <c r="B24" t="s">
        <v>290</v>
      </c>
    </row>
    <row r="25" spans="2:2">
      <c r="B25" t="s">
        <v>291</v>
      </c>
    </row>
    <row r="26" spans="2:2">
      <c r="B26" t="s">
        <v>292</v>
      </c>
    </row>
    <row r="27" spans="2:2">
      <c r="B27" t="s">
        <v>293</v>
      </c>
    </row>
    <row r="28" spans="2:2">
      <c r="B28" t="s">
        <v>294</v>
      </c>
    </row>
    <row r="29" spans="2:2">
      <c r="B29" t="s">
        <v>295</v>
      </c>
    </row>
    <row r="30" spans="2:2">
      <c r="B30" t="s">
        <v>296</v>
      </c>
    </row>
    <row r="31" spans="2:2">
      <c r="B31" t="s">
        <v>297</v>
      </c>
    </row>
    <row r="32" spans="2:2">
      <c r="B32" t="s">
        <v>298</v>
      </c>
    </row>
    <row r="33" spans="2:2">
      <c r="B33" t="s">
        <v>299</v>
      </c>
    </row>
    <row r="34" spans="2:2">
      <c r="B34" t="s">
        <v>300</v>
      </c>
    </row>
    <row r="35" spans="2:2">
      <c r="B35" t="s">
        <v>301</v>
      </c>
    </row>
    <row r="36" spans="2:2">
      <c r="B36" t="s">
        <v>302</v>
      </c>
    </row>
    <row r="37" spans="2:2">
      <c r="B37" t="s">
        <v>303</v>
      </c>
    </row>
    <row r="38" spans="2:2">
      <c r="B38" t="s">
        <v>304</v>
      </c>
    </row>
    <row r="39" spans="2:2">
      <c r="B39" t="s">
        <v>305</v>
      </c>
    </row>
    <row r="40" spans="2:2">
      <c r="B40" t="s">
        <v>306</v>
      </c>
    </row>
    <row r="41" spans="2:2">
      <c r="B41" t="s">
        <v>307</v>
      </c>
    </row>
    <row r="42" spans="2:2">
      <c r="B42" t="s">
        <v>308</v>
      </c>
    </row>
    <row r="43" spans="2:2">
      <c r="B43" t="s">
        <v>309</v>
      </c>
    </row>
    <row r="44" spans="2:2">
      <c r="B44" t="s">
        <v>310</v>
      </c>
    </row>
    <row r="45" spans="2:2">
      <c r="B45" t="s">
        <v>311</v>
      </c>
    </row>
    <row r="46" spans="2:2">
      <c r="B46" t="s">
        <v>312</v>
      </c>
    </row>
    <row r="47" spans="2:2">
      <c r="B47" t="s">
        <v>313</v>
      </c>
    </row>
    <row r="49" spans="2:2">
      <c r="B49" t="s">
        <v>314</v>
      </c>
    </row>
    <row r="50" spans="2:2">
      <c r="B50" t="s">
        <v>315</v>
      </c>
    </row>
    <row r="51" spans="2:2">
      <c r="B51" t="s">
        <v>316</v>
      </c>
    </row>
    <row r="52" spans="2:2">
      <c r="B52" t="s">
        <v>317</v>
      </c>
    </row>
    <row r="53" spans="2:2">
      <c r="B53" t="s">
        <v>318</v>
      </c>
    </row>
    <row r="54" spans="2:2">
      <c r="B54" t="s">
        <v>319</v>
      </c>
    </row>
    <row r="55" spans="2:2">
      <c r="B55" t="s">
        <v>320</v>
      </c>
    </row>
    <row r="56" spans="2:2">
      <c r="B56" t="s">
        <v>321</v>
      </c>
    </row>
    <row r="57" spans="2:2">
      <c r="B57" t="s">
        <v>322</v>
      </c>
    </row>
    <row r="58" spans="2:2">
      <c r="B58" t="s">
        <v>323</v>
      </c>
    </row>
    <row r="59" spans="2:2">
      <c r="B59" t="s">
        <v>324</v>
      </c>
    </row>
    <row r="60" spans="2:2">
      <c r="B60" t="s">
        <v>325</v>
      </c>
    </row>
    <row r="62" spans="2:2">
      <c r="B62" t="s">
        <v>326</v>
      </c>
    </row>
    <row r="63" spans="2:2">
      <c r="B63" t="s">
        <v>327</v>
      </c>
    </row>
    <row r="64" spans="2:2">
      <c r="B64" t="s">
        <v>328</v>
      </c>
    </row>
    <row r="65" spans="2:2">
      <c r="B65" t="s">
        <v>329</v>
      </c>
    </row>
    <row r="67" spans="2:2">
      <c r="B67" t="s">
        <v>330</v>
      </c>
    </row>
    <row r="68" spans="2:2">
      <c r="B68" t="s">
        <v>331</v>
      </c>
    </row>
    <row r="69" spans="2:2">
      <c r="B69" t="s">
        <v>332</v>
      </c>
    </row>
    <row r="70" spans="2:2">
      <c r="B70" t="s">
        <v>333</v>
      </c>
    </row>
    <row r="71" spans="2:2">
      <c r="B71" t="s">
        <v>334</v>
      </c>
    </row>
    <row r="72" spans="2:2">
      <c r="B72" t="s">
        <v>335</v>
      </c>
    </row>
    <row r="73" spans="2:2">
      <c r="B73" t="s">
        <v>336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abSelected="1" zoomScale="105" zoomScaleNormal="105" workbookViewId="0">
      <selection activeCell="E15" sqref="E15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7" width="13.77734375" bestFit="1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10" t="s">
        <v>2</v>
      </c>
      <c r="D5" s="110"/>
      <c r="E5" s="110"/>
      <c r="F5" s="110"/>
      <c r="G5" s="111" t="s">
        <v>34</v>
      </c>
      <c r="H5" s="112"/>
      <c r="I5" s="112"/>
      <c r="J5" s="112"/>
      <c r="K5" s="113" t="s">
        <v>9</v>
      </c>
      <c r="L5" s="114"/>
      <c r="M5" s="114"/>
    </row>
    <row r="6" spans="2:13" ht="31.2">
      <c r="B6" s="109">
        <v>43175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6"/>
      <c r="C7" s="33">
        <f>VLOOKUP($B$6,資料整合一覽!$B$3:$AF$500,2,FALSE)</f>
        <v>11027.7</v>
      </c>
      <c r="D7" s="34">
        <f>VLOOKUP($B$6,資料整合一覽!$B$3:$AF$500,3,FALSE)</f>
        <v>9.25</v>
      </c>
      <c r="E7" s="35">
        <f>VLOOKUP($B$6,資料整合一覽!$B$3:$AF$500,4,FALSE)</f>
        <v>8.0000000000000004E-4</v>
      </c>
      <c r="F7" s="33" t="str">
        <f>VLOOKUP($B$6,資料整合一覽!$B$3:$AF$500,5,FALSE)</f>
        <v>1663.85億</v>
      </c>
      <c r="G7" s="36">
        <f>VLOOKUP($B$6,資料整合一覽!$B$3:$AF$500,6,FALSE)</f>
        <v>2.0383686000000001</v>
      </c>
      <c r="H7" s="34">
        <f>VLOOKUP($B$6,資料整合一覽!$B$3:$AF$500,7,FALSE)</f>
        <v>-14.29122053</v>
      </c>
      <c r="I7" s="34">
        <f>VLOOKUP($B$6,資料整合一覽!$B$3:$AF$500,8,FALSE)</f>
        <v>-0.64631503000000001</v>
      </c>
      <c r="J7" s="34">
        <f>VLOOKUP($B$6,資料整合一覽!$B$3:$AF$500,9,FALSE)</f>
        <v>15.64145407</v>
      </c>
      <c r="K7" s="37">
        <f>VLOOKUP($B$6,資料整合一覽!$B$3:$AF$500,10,FALSE)</f>
        <v>29.231000000000002</v>
      </c>
      <c r="L7" s="38">
        <f>VLOOKUP($B$6,資料整合一覽!$B$3:$AF$500,11,FALSE)</f>
        <v>3.1E-2</v>
      </c>
      <c r="M7" s="39">
        <f>VLOOKUP($B$6,資料整合一覽!$B$3:$AF$500,12,FALSE)</f>
        <v>0</v>
      </c>
    </row>
    <row r="8" spans="2:13" ht="3" customHeight="1">
      <c r="B8" s="106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6"/>
      <c r="C9" s="107" t="s">
        <v>35</v>
      </c>
      <c r="D9" s="108"/>
      <c r="E9" s="115" t="s">
        <v>42</v>
      </c>
      <c r="F9" s="116"/>
      <c r="G9" s="116"/>
      <c r="H9" s="116"/>
      <c r="I9" s="5" t="s">
        <v>20</v>
      </c>
      <c r="J9" s="105" t="s">
        <v>22</v>
      </c>
      <c r="K9" s="103" t="s">
        <v>33</v>
      </c>
      <c r="L9" s="104"/>
      <c r="M9" s="104"/>
    </row>
    <row r="10" spans="2:13" ht="31.2">
      <c r="B10" s="106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6"/>
      <c r="K10" s="7" t="s">
        <v>102</v>
      </c>
      <c r="L10" s="7" t="s">
        <v>31</v>
      </c>
      <c r="M10" s="7" t="s">
        <v>32</v>
      </c>
    </row>
    <row r="11" spans="2:13" ht="32.4" customHeight="1">
      <c r="B11" s="106"/>
      <c r="C11" s="27">
        <f>VLOOKUP($B$6,資料整合一覽!$B$3:$AF$500,13,FALSE)</f>
        <v>-212.75</v>
      </c>
      <c r="D11" s="27">
        <f>VLOOKUP($B$6,資料整合一覽!$B$3:$AF$500,14,FALSE)</f>
        <v>42889</v>
      </c>
      <c r="E11" s="64">
        <f>VLOOKUP($B$6,資料整合一覽!$B$3:$AF$500,17,FALSE)</f>
        <v>-3.5264000000000002</v>
      </c>
      <c r="F11" s="64">
        <f>VLOOKUP($B$6,資料整合一覽!$B$3:$AF$500,18,FALSE)</f>
        <v>-15.0884</v>
      </c>
      <c r="G11" s="64">
        <f>VLOOKUP($B$6,資料整合一覽!$B$3:$AF$500,19,FALSE)</f>
        <v>11.1181</v>
      </c>
      <c r="H11" s="64">
        <f>VLOOKUP($B$6,資料整合一覽!$B$3:$AF$500,20,FALSE)</f>
        <v>17.461600000000001</v>
      </c>
      <c r="I11" s="39">
        <f>VLOOKUP($B$6,資料整合一覽!$B$3:$AF$500,21,FALSE)</f>
        <v>1.5497000000000001</v>
      </c>
      <c r="J11" s="41">
        <f>VLOOKUP($B$6,資料整合一覽!$B$3:$AF$500,22,FALSE)</f>
        <v>-0.10785098410157529</v>
      </c>
      <c r="K11" s="35" t="e">
        <f>VLOOKUP($B$6,資料整合一覽!$B$3:$AF$500,29,FALSE)</f>
        <v>#N/A</v>
      </c>
      <c r="L11" s="35" t="e">
        <f>VLOOKUP($B$6,資料整合一覽!$B$3:$AF$500,30,FALSE)</f>
        <v>#N/A</v>
      </c>
      <c r="M11" s="35" t="e">
        <f>VLOOKUP($B$6,資料整合一覽!$B$3:$AF$500,31,FALSE)</f>
        <v>#N/A</v>
      </c>
    </row>
    <row r="12" spans="2:13">
      <c r="D12" s="99" t="s">
        <v>98</v>
      </c>
    </row>
    <row r="13" spans="2:13">
      <c r="D13" s="27">
        <f>VLOOKUP($B$6,資料整合一覽!$B$3:$AF$500,15,FALSE)</f>
        <v>-5395.75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87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7" t="s">
        <v>0</v>
      </c>
      <c r="B1" s="15"/>
      <c r="C1" s="110" t="s">
        <v>2</v>
      </c>
      <c r="D1" s="110"/>
      <c r="E1" s="110"/>
      <c r="F1" s="110"/>
      <c r="G1" s="111" t="s">
        <v>34</v>
      </c>
      <c r="H1" s="112"/>
      <c r="I1" s="112"/>
      <c r="J1" s="112"/>
      <c r="K1" s="113" t="s">
        <v>9</v>
      </c>
      <c r="L1" s="114"/>
      <c r="M1" s="114"/>
      <c r="N1" s="107" t="s">
        <v>35</v>
      </c>
      <c r="O1" s="118"/>
      <c r="P1" s="118"/>
      <c r="Q1" s="118"/>
      <c r="R1" s="115" t="s">
        <v>42</v>
      </c>
      <c r="S1" s="116"/>
      <c r="T1" s="116"/>
      <c r="U1" s="116"/>
      <c r="V1" s="5" t="s">
        <v>20</v>
      </c>
      <c r="W1" s="105" t="s">
        <v>22</v>
      </c>
      <c r="X1" s="120" t="s">
        <v>29</v>
      </c>
      <c r="Y1" s="121"/>
      <c r="Z1" s="121"/>
      <c r="AA1" s="121"/>
      <c r="AB1" s="121"/>
      <c r="AC1" s="121"/>
      <c r="AD1" s="103" t="s">
        <v>33</v>
      </c>
      <c r="AE1" s="104"/>
      <c r="AF1" s="104"/>
    </row>
    <row r="2" spans="1:32" ht="31.2">
      <c r="A2" s="117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9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90.123999999999995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-1E-4</v>
      </c>
      <c r="AE344" s="33">
        <f>VLOOKUP($B344,三大美股走勢!$A$4:$J$495,7,FALSE)</f>
        <v>7.1000000000000004E-3</v>
      </c>
      <c r="AF344" s="33">
        <f>VLOOKUP($B344,三大美股走勢!$A$4:$J$495,10,FALSE)</f>
        <v>7.6E-3</v>
      </c>
    </row>
    <row r="345" spans="2:32">
      <c r="B345" s="32">
        <v>43124</v>
      </c>
      <c r="C345" s="33">
        <f>VLOOKUP($B345,大盤與近月台指!$A$4:$I$499,2,FALSE)</f>
        <v>11152.16</v>
      </c>
      <c r="D345" s="34">
        <f>VLOOKUP($B345,大盤與近月台指!$A$4:$I$499,3,FALSE)</f>
        <v>-100.95</v>
      </c>
      <c r="E345" s="35">
        <f>VLOOKUP($B345,大盤與近月台指!$A$4:$I$499,4,FALSE)</f>
        <v>-8.9999999999999993E-3</v>
      </c>
      <c r="F345" s="33" t="str">
        <f>VLOOKUP($B345,大盤與近月台指!$A$4:$I$499,5,FALSE)</f>
        <v>1446.96億</v>
      </c>
      <c r="G345" s="49">
        <f>VLOOKUP($B345,三大法人買賣超!$A$4:$I$500,3,FALSE)</f>
        <v>-0.97647010000000001</v>
      </c>
      <c r="H345" s="34">
        <f>VLOOKUP($B345,三大法人買賣超!$A$4:$I$500,5,FALSE)</f>
        <v>6.4294421499999999</v>
      </c>
      <c r="I345" s="27">
        <f>VLOOKUP($B345,三大法人買賣超!$A$4:$I$500,7,FALSE)</f>
        <v>-5.5145701100000002</v>
      </c>
      <c r="J345" s="27">
        <f>VLOOKUP($B345,三大法人買賣超!$A$4:$I$500,9,FALSE)</f>
        <v>35.23203831</v>
      </c>
      <c r="K345" s="37">
        <f>新台幣匯率美元指數!B346</f>
        <v>29.302</v>
      </c>
      <c r="L345" s="38">
        <f>新台幣匯率美元指數!C346</f>
        <v>-0.1</v>
      </c>
      <c r="M345" s="39">
        <f>新台幣匯率美元指數!D346</f>
        <v>89.206000000000003</v>
      </c>
      <c r="N345" s="27">
        <f>VLOOKUP($B345,外資期貨未平倉口數!$A$4:$M$499,4,FALSE)</f>
        <v>1657.75</v>
      </c>
      <c r="O345" s="27">
        <f>VLOOKUP($B345,外資期貨未平倉口數!$A$4:$M$499,9,FALSE)</f>
        <v>41799.5</v>
      </c>
      <c r="P345" s="27">
        <f>VLOOKUP($B345,外資期貨未平倉口數!$A$4:$M$499,10,FALSE)</f>
        <v>-11549</v>
      </c>
      <c r="Q345" s="27">
        <f>VLOOKUP($B345,外資期貨未平倉口數!$A$4:$M$499,11,FALSE)</f>
        <v>3192.75</v>
      </c>
      <c r="R345" s="64">
        <f>VLOOKUP($B345,選擇權未平倉餘額!$A$4:$I$500,6,FALSE)</f>
        <v>-2.3214000000000001</v>
      </c>
      <c r="S345" s="64">
        <f>VLOOKUP($B345,選擇權未平倉餘額!$A$4:$I$500,7,FALSE)</f>
        <v>2.3891</v>
      </c>
      <c r="T345" s="64">
        <f>VLOOKUP($B345,選擇權未平倉餘額!$A$4:$I$500,8,FALSE)</f>
        <v>60.921199999999999</v>
      </c>
      <c r="U345" s="64">
        <f>VLOOKUP($B345,選擇權未平倉餘額!$A$4:$I$500,9,FALSE)</f>
        <v>20.267199999999999</v>
      </c>
      <c r="V345" s="39">
        <f>VLOOKUP($B345,臺指選擇權P_C_Ratios!$A$4:$C$500,3,FALSE)</f>
        <v>1.6307</v>
      </c>
      <c r="W345" s="41">
        <f>VLOOKUP($B345,散戶多空比!$A$6:$L$500,12,FALSE)</f>
        <v>-0.10271495184555715</v>
      </c>
      <c r="X345" s="40">
        <f>VLOOKUP($B345,期貨大額交易人未沖銷部位!$A$4:$O$499,4,FALSE)</f>
        <v>-3081</v>
      </c>
      <c r="Y345" s="40">
        <f>VLOOKUP($B345,期貨大額交易人未沖銷部位!$A$4:$O$499,7,FALSE)</f>
        <v>3396</v>
      </c>
      <c r="Z345" s="40">
        <f>VLOOKUP($B345,期貨大額交易人未沖銷部位!$A$4:$O$499,10,FALSE)</f>
        <v>-2262</v>
      </c>
      <c r="AA345" s="40">
        <f>VLOOKUP($B345,期貨大額交易人未沖銷部位!$A$4:$O$499,13,FALSE)</f>
        <v>4978</v>
      </c>
      <c r="AB345" s="40">
        <f>VLOOKUP($B345,期貨大額交易人未沖銷部位!$A$4:$O$499,14,FALSE)</f>
        <v>819</v>
      </c>
      <c r="AC345" s="40">
        <f>VLOOKUP($B345,期貨大額交易人未沖銷部位!$A$4:$O$499,15,FALSE)</f>
        <v>1582</v>
      </c>
      <c r="AD345" s="33">
        <f>VLOOKUP($B345,三大美股走勢!$A$4:$J$495,4,FALSE)</f>
        <v>1.6000000000000001E-3</v>
      </c>
      <c r="AE345" s="33">
        <f>VLOOKUP($B345,三大美股走勢!$A$4:$J$495,7,FALSE)</f>
        <v>-6.1000000000000004E-3</v>
      </c>
      <c r="AF345" s="33">
        <f>VLOOKUP($B345,三大美股走勢!$A$4:$J$495,10,FALSE)</f>
        <v>-2.3599999999999999E-2</v>
      </c>
    </row>
    <row r="346" spans="2:32">
      <c r="B346" s="32">
        <v>43125</v>
      </c>
      <c r="C346" s="33">
        <f>VLOOKUP($B346,大盤與近月台指!$A$4:$I$499,2,FALSE)</f>
        <v>11165.95</v>
      </c>
      <c r="D346" s="34">
        <f>VLOOKUP($B346,大盤與近月台指!$A$4:$I$499,3,FALSE)</f>
        <v>13.79</v>
      </c>
      <c r="E346" s="35">
        <f>VLOOKUP($B346,大盤與近月台指!$A$4:$I$499,4,FALSE)</f>
        <v>1.1999999999999999E-3</v>
      </c>
      <c r="F346" s="33" t="str">
        <f>VLOOKUP($B346,大盤與近月台指!$A$4:$I$499,5,FALSE)</f>
        <v>1606.5億</v>
      </c>
      <c r="G346" s="49">
        <f>VLOOKUP($B346,三大法人買賣超!$A$4:$I$500,3,FALSE)</f>
        <v>-4.2901682499999998</v>
      </c>
      <c r="H346" s="34">
        <f>VLOOKUP($B346,三大法人買賣超!$A$4:$I$500,5,FALSE)</f>
        <v>-18.279317450000001</v>
      </c>
      <c r="I346" s="27">
        <f>VLOOKUP($B346,三大法人買賣超!$A$4:$I$500,7,FALSE)</f>
        <v>-1.49495537</v>
      </c>
      <c r="J346" s="27">
        <f>VLOOKUP($B346,三大法人買賣超!$A$4:$I$500,9,FALSE)</f>
        <v>58.142336210000003</v>
      </c>
      <c r="K346" s="37">
        <f>新台幣匯率美元指數!B347</f>
        <v>29.068999999999999</v>
      </c>
      <c r="L346" s="38">
        <f>新台幣匯率美元指數!C347</f>
        <v>-0.23300000000000001</v>
      </c>
      <c r="M346" s="39">
        <f>新台幣匯率美元指數!D347</f>
        <v>89.391000000000005</v>
      </c>
      <c r="N346" s="27">
        <f>VLOOKUP($B346,外資期貨未平倉口數!$A$4:$M$499,4,FALSE)</f>
        <v>54.75</v>
      </c>
      <c r="O346" s="27">
        <f>VLOOKUP($B346,外資期貨未平倉口數!$A$4:$M$499,9,FALSE)</f>
        <v>47684.75</v>
      </c>
      <c r="P346" s="27">
        <f>VLOOKUP($B346,外資期貨未平倉口數!$A$4:$M$499,10,FALSE)</f>
        <v>-5663.75</v>
      </c>
      <c r="Q346" s="27">
        <f>VLOOKUP($B346,外資期貨未平倉口數!$A$4:$M$499,11,FALSE)</f>
        <v>5885.25</v>
      </c>
      <c r="R346" s="64">
        <f>VLOOKUP($B346,選擇權未平倉餘額!$A$4:$I$500,6,FALSE)</f>
        <v>-1.3943000000000001</v>
      </c>
      <c r="S346" s="64">
        <f>VLOOKUP($B346,選擇權未平倉餘額!$A$4:$I$500,7,FALSE)</f>
        <v>0.39140000000000003</v>
      </c>
      <c r="T346" s="64">
        <f>VLOOKUP($B346,選擇權未平倉餘額!$A$4:$I$500,8,FALSE)</f>
        <v>66.733500000000006</v>
      </c>
      <c r="U346" s="64">
        <f>VLOOKUP($B346,選擇權未平倉餘額!$A$4:$I$500,9,FALSE)</f>
        <v>23.095099999999999</v>
      </c>
      <c r="V346" s="39">
        <f>VLOOKUP($B346,臺指選擇權P_C_Ratios!$A$4:$C$500,3,FALSE)</f>
        <v>1.6622999999999999</v>
      </c>
      <c r="W346" s="41">
        <f>VLOOKUP($B346,散戶多空比!$A$6:$L$500,12,FALSE)</f>
        <v>-0.14312590146115095</v>
      </c>
      <c r="X346" s="40">
        <f>VLOOKUP($B346,期貨大額交易人未沖銷部位!$A$4:$O$499,4,FALSE)</f>
        <v>-2413</v>
      </c>
      <c r="Y346" s="40">
        <f>VLOOKUP($B346,期貨大額交易人未沖銷部位!$A$4:$O$499,7,FALSE)</f>
        <v>5566</v>
      </c>
      <c r="Z346" s="40">
        <f>VLOOKUP($B346,期貨大額交易人未沖銷部位!$A$4:$O$499,10,FALSE)</f>
        <v>-2011</v>
      </c>
      <c r="AA346" s="40">
        <f>VLOOKUP($B346,期貨大額交易人未沖銷部位!$A$4:$O$499,13,FALSE)</f>
        <v>5008</v>
      </c>
      <c r="AB346" s="40">
        <f>VLOOKUP($B346,期貨大額交易人未沖銷部位!$A$4:$O$499,14,FALSE)</f>
        <v>402</v>
      </c>
      <c r="AC346" s="40">
        <f>VLOOKUP($B346,期貨大額交易人未沖銷部位!$A$4:$O$499,15,FALSE)</f>
        <v>-558</v>
      </c>
      <c r="AD346" s="33">
        <f>VLOOKUP($B346,三大美股走勢!$A$4:$J$495,4,FALSE)</f>
        <v>5.4000000000000003E-3</v>
      </c>
      <c r="AE346" s="33">
        <f>VLOOKUP($B346,三大美股走勢!$A$4:$J$495,7,FALSE)</f>
        <v>-5.0000000000000001E-4</v>
      </c>
      <c r="AF346" s="33">
        <f>VLOOKUP($B346,三大美股走勢!$A$4:$J$495,10,FALSE)</f>
        <v>-1.6899999999999998E-2</v>
      </c>
    </row>
    <row r="347" spans="2:32">
      <c r="B347" s="32">
        <v>43126</v>
      </c>
      <c r="C347" s="33">
        <f>VLOOKUP($B347,大盤與近月台指!$A$4:$I$499,2,FALSE)</f>
        <v>11147.1</v>
      </c>
      <c r="D347" s="34">
        <f>VLOOKUP($B347,大盤與近月台指!$A$4:$I$499,3,FALSE)</f>
        <v>-18.850000000000001</v>
      </c>
      <c r="E347" s="35">
        <f>VLOOKUP($B347,大盤與近月台指!$A$4:$I$499,4,FALSE)</f>
        <v>-1.6999999999999999E-3</v>
      </c>
      <c r="F347" s="33" t="str">
        <f>VLOOKUP($B347,大盤與近月台指!$A$4:$I$499,5,FALSE)</f>
        <v>1362.67億</v>
      </c>
      <c r="G347" s="49">
        <f>VLOOKUP($B347,三大法人買賣超!$A$4:$I$500,3,FALSE)</f>
        <v>-0.72674430999999995</v>
      </c>
      <c r="H347" s="34">
        <f>VLOOKUP($B347,三大法人買賣超!$A$4:$I$500,5,FALSE)</f>
        <v>6.8407238599999998</v>
      </c>
      <c r="I347" s="27">
        <f>VLOOKUP($B347,三大法人買賣超!$A$4:$I$500,7,FALSE)</f>
        <v>-19.148612809999999</v>
      </c>
      <c r="J347" s="27">
        <f>VLOOKUP($B347,三大法人買賣超!$A$4:$I$500,9,FALSE)</f>
        <v>21.35612278</v>
      </c>
      <c r="K347" s="37">
        <f>新台幣匯率美元指數!B348</f>
        <v>29.100999999999999</v>
      </c>
      <c r="L347" s="38">
        <f>新台幣匯率美元指數!C348</f>
        <v>3.2000000000000001E-2</v>
      </c>
      <c r="M347" s="39">
        <f>新台幣匯率美元指數!D348</f>
        <v>89.066999999999993</v>
      </c>
      <c r="N347" s="27">
        <f>VLOOKUP($B347,外資期貨未平倉口數!$A$4:$M$499,4,FALSE)</f>
        <v>-1275.75</v>
      </c>
      <c r="O347" s="27">
        <f>VLOOKUP($B347,外資期貨未平倉口數!$A$4:$M$499,9,FALSE)</f>
        <v>47869</v>
      </c>
      <c r="P347" s="27">
        <f>VLOOKUP($B347,外資期貨未平倉口數!$A$4:$M$499,10,FALSE)</f>
        <v>-5479.5</v>
      </c>
      <c r="Q347" s="27">
        <f>VLOOKUP($B347,外資期貨未平倉口數!$A$4:$M$499,11,FALSE)</f>
        <v>184.25</v>
      </c>
      <c r="R347" s="64">
        <f>VLOOKUP($B347,選擇權未平倉餘額!$A$4:$I$500,6,FALSE)</f>
        <v>-4.8460000000000001</v>
      </c>
      <c r="S347" s="64">
        <f>VLOOKUP($B347,選擇權未平倉餘額!$A$4:$I$500,7,FALSE)</f>
        <v>-3.0874999999999999</v>
      </c>
      <c r="T347" s="64">
        <f>VLOOKUP($B347,選擇權未平倉餘額!$A$4:$I$500,8,FALSE)</f>
        <v>65.633200000000002</v>
      </c>
      <c r="U347" s="64">
        <f>VLOOKUP($B347,選擇權未平倉餘額!$A$4:$I$500,9,FALSE)</f>
        <v>23.480599999999999</v>
      </c>
      <c r="V347" s="39">
        <f>VLOOKUP($B347,臺指選擇權P_C_Ratios!$A$4:$C$500,3,FALSE)</f>
        <v>1.5851</v>
      </c>
      <c r="W347" s="41">
        <f>VLOOKUP($B347,散戶多空比!$A$6:$L$500,12,FALSE)</f>
        <v>-0.17514049877063576</v>
      </c>
      <c r="X347" s="40">
        <f>VLOOKUP($B347,期貨大額交易人未沖銷部位!$A$4:$O$499,4,FALSE)</f>
        <v>-2881</v>
      </c>
      <c r="Y347" s="40">
        <f>VLOOKUP($B347,期貨大額交易人未沖銷部位!$A$4:$O$499,7,FALSE)</f>
        <v>5917</v>
      </c>
      <c r="Z347" s="40">
        <f>VLOOKUP($B347,期貨大額交易人未沖銷部位!$A$4:$O$499,10,FALSE)</f>
        <v>-3214</v>
      </c>
      <c r="AA347" s="40">
        <f>VLOOKUP($B347,期貨大額交易人未沖銷部位!$A$4:$O$499,13,FALSE)</f>
        <v>5136</v>
      </c>
      <c r="AB347" s="40">
        <f>VLOOKUP($B347,期貨大額交易人未沖銷部位!$A$4:$O$499,14,FALSE)</f>
        <v>-333</v>
      </c>
      <c r="AC347" s="40">
        <f>VLOOKUP($B347,期貨大額交易人未沖銷部位!$A$4:$O$499,15,FALSE)</f>
        <v>-781</v>
      </c>
      <c r="AD347" s="33">
        <f>VLOOKUP($B347,三大美股走勢!$A$4:$J$495,4,FALSE)</f>
        <v>8.5000000000000006E-3</v>
      </c>
      <c r="AE347" s="33">
        <f>VLOOKUP($B347,三大美股走勢!$A$4:$J$495,7,FALSE)</f>
        <v>1.2800000000000001E-2</v>
      </c>
      <c r="AF347" s="33">
        <f>VLOOKUP($B347,三大美股走勢!$A$4:$J$495,10,FALSE)</f>
        <v>3.2599999999999997E-2</v>
      </c>
    </row>
    <row r="348" spans="2:32">
      <c r="B348" s="32">
        <v>43127</v>
      </c>
      <c r="C348" s="33">
        <f>VLOOKUP($B348,大盤與近月台指!$A$4:$I$499,2,FALSE)</f>
        <v>0</v>
      </c>
      <c r="D348" s="34">
        <f>VLOOKUP($B348,大盤與近月台指!$A$4:$I$499,3,FALSE)</f>
        <v>0</v>
      </c>
      <c r="E348" s="35">
        <f>VLOOKUP($B348,大盤與近月台指!$A$4:$I$499,4,FALSE)</f>
        <v>0</v>
      </c>
      <c r="F348" s="33">
        <f>VLOOKUP($B348,大盤與近月台指!$A$4:$I$499,5,FALSE)</f>
        <v>0</v>
      </c>
      <c r="G348" s="49">
        <f>VLOOKUP($B348,三大法人買賣超!$A$4:$I$500,3,FALSE)</f>
        <v>0</v>
      </c>
      <c r="H348" s="34">
        <f>VLOOKUP($B348,三大法人買賣超!$A$4:$I$500,5,FALSE)</f>
        <v>0</v>
      </c>
      <c r="I348" s="27">
        <f>VLOOKUP($B348,三大法人買賣超!$A$4:$I$500,7,FALSE)</f>
        <v>0</v>
      </c>
      <c r="J348" s="27">
        <f>VLOOKUP($B348,三大法人買賣超!$A$4:$I$500,9,FALSE)</f>
        <v>0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>
        <f>VLOOKUP($B348,外資期貨未平倉口數!$A$4:$M$499,4,FALSE)</f>
        <v>0</v>
      </c>
      <c r="O348" s="27">
        <f>VLOOKUP($B348,外資期貨未平倉口數!$A$4:$M$499,9,FALSE)</f>
        <v>0</v>
      </c>
      <c r="P348" s="27">
        <f>VLOOKUP($B348,外資期貨未平倉口數!$A$4:$M$499,10,FALSE)</f>
        <v>0</v>
      </c>
      <c r="Q348" s="27">
        <f>VLOOKUP($B348,外資期貨未平倉口數!$A$4:$M$499,11,FALSE)</f>
        <v>0</v>
      </c>
      <c r="R348" s="64">
        <f>VLOOKUP($B348,選擇權未平倉餘額!$A$4:$I$500,6,FALSE)</f>
        <v>0</v>
      </c>
      <c r="S348" s="64">
        <f>VLOOKUP($B348,選擇權未平倉餘額!$A$4:$I$500,7,FALSE)</f>
        <v>0</v>
      </c>
      <c r="T348" s="64">
        <f>VLOOKUP($B348,選擇權未平倉餘額!$A$4:$I$500,8,FALSE)</f>
        <v>0</v>
      </c>
      <c r="U348" s="64">
        <f>VLOOKUP($B348,選擇權未平倉餘額!$A$4:$I$500,9,FALSE)</f>
        <v>0</v>
      </c>
      <c r="V348" s="39">
        <f>VLOOKUP($B348,臺指選擇權P_C_Ratios!$A$4:$C$500,3,FALSE)</f>
        <v>0</v>
      </c>
      <c r="W348" s="41">
        <f>VLOOKUP($B348,散戶多空比!$A$6:$L$500,12,FALSE)</f>
        <v>0</v>
      </c>
      <c r="X348" s="40">
        <f>VLOOKUP($B348,期貨大額交易人未沖銷部位!$A$4:$O$499,4,FALSE)</f>
        <v>0</v>
      </c>
      <c r="Y348" s="40">
        <f>VLOOKUP($B348,期貨大額交易人未沖銷部位!$A$4:$O$499,7,FALSE)</f>
        <v>0</v>
      </c>
      <c r="Z348" s="40">
        <f>VLOOKUP($B348,期貨大額交易人未沖銷部位!$A$4:$O$499,10,FALSE)</f>
        <v>0</v>
      </c>
      <c r="AA348" s="40">
        <f>VLOOKUP($B348,期貨大額交易人未沖銷部位!$A$4:$O$499,13,FALSE)</f>
        <v>0</v>
      </c>
      <c r="AB348" s="40">
        <f>VLOOKUP($B348,期貨大額交易人未沖銷部位!$A$4:$O$499,14,FALSE)</f>
        <v>0</v>
      </c>
      <c r="AC348" s="40">
        <f>VLOOKUP($B348,期貨大額交易人未沖銷部位!$A$4:$O$499,15,FALSE)</f>
        <v>0</v>
      </c>
      <c r="AD348" s="33">
        <f>VLOOKUP($B348,三大美股走勢!$A$4:$J$495,4,FALSE)</f>
        <v>0</v>
      </c>
      <c r="AE348" s="33">
        <f>VLOOKUP($B348,三大美股走勢!$A$4:$J$495,7,FALSE)</f>
        <v>0</v>
      </c>
      <c r="AF348" s="33">
        <f>VLOOKUP($B348,三大美股走勢!$A$4:$J$495,10,FALSE)</f>
        <v>0</v>
      </c>
    </row>
    <row r="349" spans="2:32">
      <c r="B349" s="32">
        <v>43128</v>
      </c>
      <c r="C349" s="33">
        <f>VLOOKUP($B349,大盤與近月台指!$A$4:$I$499,2,FALSE)</f>
        <v>0</v>
      </c>
      <c r="D349" s="34">
        <f>VLOOKUP($B349,大盤與近月台指!$A$4:$I$499,3,FALSE)</f>
        <v>0</v>
      </c>
      <c r="E349" s="35">
        <f>VLOOKUP($B349,大盤與近月台指!$A$4:$I$499,4,FALSE)</f>
        <v>0</v>
      </c>
      <c r="F349" s="33">
        <f>VLOOKUP($B349,大盤與近月台指!$A$4:$I$499,5,FALSE)</f>
        <v>0</v>
      </c>
      <c r="G349" s="49">
        <f>VLOOKUP($B349,三大法人買賣超!$A$4:$I$500,3,FALSE)</f>
        <v>0</v>
      </c>
      <c r="H349" s="34">
        <f>VLOOKUP($B349,三大法人買賣超!$A$4:$I$500,5,FALSE)</f>
        <v>0</v>
      </c>
      <c r="I349" s="27">
        <f>VLOOKUP($B349,三大法人買賣超!$A$4:$I$500,7,FALSE)</f>
        <v>0</v>
      </c>
      <c r="J349" s="27">
        <f>VLOOKUP($B349,三大法人買賣超!$A$4:$I$500,9,FALSE)</f>
        <v>0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>
        <f>VLOOKUP($B349,外資期貨未平倉口數!$A$4:$M$499,4,FALSE)</f>
        <v>0</v>
      </c>
      <c r="O349" s="27">
        <f>VLOOKUP($B349,外資期貨未平倉口數!$A$4:$M$499,9,FALSE)</f>
        <v>0</v>
      </c>
      <c r="P349" s="27">
        <f>VLOOKUP($B349,外資期貨未平倉口數!$A$4:$M$499,10,FALSE)</f>
        <v>0</v>
      </c>
      <c r="Q349" s="27">
        <f>VLOOKUP($B349,外資期貨未平倉口數!$A$4:$M$499,11,FALSE)</f>
        <v>0</v>
      </c>
      <c r="R349" s="64">
        <f>VLOOKUP($B349,選擇權未平倉餘額!$A$4:$I$500,6,FALSE)</f>
        <v>0</v>
      </c>
      <c r="S349" s="64">
        <f>VLOOKUP($B349,選擇權未平倉餘額!$A$4:$I$500,7,FALSE)</f>
        <v>0</v>
      </c>
      <c r="T349" s="64">
        <f>VLOOKUP($B349,選擇權未平倉餘額!$A$4:$I$500,8,FALSE)</f>
        <v>0</v>
      </c>
      <c r="U349" s="64">
        <f>VLOOKUP($B349,選擇權未平倉餘額!$A$4:$I$500,9,FALSE)</f>
        <v>0</v>
      </c>
      <c r="V349" s="39">
        <f>VLOOKUP($B349,臺指選擇權P_C_Ratios!$A$4:$C$500,3,FALSE)</f>
        <v>0</v>
      </c>
      <c r="W349" s="41">
        <f>VLOOKUP($B349,散戶多空比!$A$6:$L$500,12,FALSE)</f>
        <v>0</v>
      </c>
      <c r="X349" s="40">
        <f>VLOOKUP($B349,期貨大額交易人未沖銷部位!$A$4:$O$499,4,FALSE)</f>
        <v>0</v>
      </c>
      <c r="Y349" s="40">
        <f>VLOOKUP($B349,期貨大額交易人未沖銷部位!$A$4:$O$499,7,FALSE)</f>
        <v>0</v>
      </c>
      <c r="Z349" s="40">
        <f>VLOOKUP($B349,期貨大額交易人未沖銷部位!$A$4:$O$499,10,FALSE)</f>
        <v>0</v>
      </c>
      <c r="AA349" s="40">
        <f>VLOOKUP($B349,期貨大額交易人未沖銷部位!$A$4:$O$499,13,FALSE)</f>
        <v>0</v>
      </c>
      <c r="AB349" s="40">
        <f>VLOOKUP($B349,期貨大額交易人未沖銷部位!$A$4:$O$499,14,FALSE)</f>
        <v>0</v>
      </c>
      <c r="AC349" s="40">
        <f>VLOOKUP($B349,期貨大額交易人未沖銷部位!$A$4:$O$499,15,FALSE)</f>
        <v>0</v>
      </c>
      <c r="AD349" s="33">
        <f>VLOOKUP($B349,三大美股走勢!$A$4:$J$495,4,FALSE)</f>
        <v>0</v>
      </c>
      <c r="AE349" s="33">
        <f>VLOOKUP($B349,三大美股走勢!$A$4:$J$495,7,FALSE)</f>
        <v>0</v>
      </c>
      <c r="AF349" s="33">
        <f>VLOOKUP($B349,三大美股走勢!$A$4:$J$495,10,FALSE)</f>
        <v>0</v>
      </c>
    </row>
    <row r="350" spans="2:32">
      <c r="B350" s="32">
        <v>43129</v>
      </c>
      <c r="C350" s="33">
        <f>VLOOKUP($B350,大盤與近月台指!$A$4:$I$499,2,FALSE)</f>
        <v>11221.81</v>
      </c>
      <c r="D350" s="34">
        <f>VLOOKUP($B350,大盤與近月台指!$A$4:$I$499,3,FALSE)</f>
        <v>74.709999999999994</v>
      </c>
      <c r="E350" s="35">
        <f>VLOOKUP($B350,大盤與近月台指!$A$4:$I$499,4,FALSE)</f>
        <v>6.7000000000000002E-3</v>
      </c>
      <c r="F350" s="33" t="str">
        <f>VLOOKUP($B350,大盤與近月台指!$A$4:$I$499,5,FALSE)</f>
        <v>1307.71億</v>
      </c>
      <c r="G350" s="49">
        <f>VLOOKUP($B350,三大法人買賣超!$A$4:$I$500,3,FALSE)</f>
        <v>2.1249595000000001</v>
      </c>
      <c r="H350" s="34">
        <f>VLOOKUP($B350,三大法人買賣超!$A$4:$I$500,5,FALSE)</f>
        <v>-5.3802989999999999</v>
      </c>
      <c r="I350" s="27">
        <f>VLOOKUP($B350,三大法人買賣超!$A$4:$I$500,7,FALSE)</f>
        <v>4.0118843200000001</v>
      </c>
      <c r="J350" s="27">
        <f>VLOOKUP($B350,三大法人買賣超!$A$4:$I$500,9,FALSE)</f>
        <v>20.12535961</v>
      </c>
      <c r="K350" s="37">
        <f>新台幣匯率美元指數!B351</f>
        <v>29.15</v>
      </c>
      <c r="L350" s="38">
        <f>新台幣匯率美元指數!C351</f>
        <v>4.9000000000000002E-2</v>
      </c>
      <c r="M350" s="39">
        <f>新台幣匯率美元指數!D351</f>
        <v>89.308000000000007</v>
      </c>
      <c r="N350" s="27">
        <f>VLOOKUP($B350,外資期貨未平倉口數!$A$4:$M$499,4,FALSE)</f>
        <v>1861</v>
      </c>
      <c r="O350" s="27">
        <f>VLOOKUP($B350,外資期貨未平倉口數!$A$4:$M$499,9,FALSE)</f>
        <v>45441.75</v>
      </c>
      <c r="P350" s="27">
        <f>VLOOKUP($B350,外資期貨未平倉口數!$A$4:$M$499,10,FALSE)</f>
        <v>-7906.75</v>
      </c>
      <c r="Q350" s="27">
        <f>VLOOKUP($B350,外資期貨未平倉口數!$A$4:$M$499,11,FALSE)</f>
        <v>-2427.25</v>
      </c>
      <c r="R350" s="64">
        <f>VLOOKUP($B350,選擇權未平倉餘額!$A$4:$I$500,6,FALSE)</f>
        <v>-8.8339999999999996</v>
      </c>
      <c r="S350" s="64">
        <f>VLOOKUP($B350,選擇權未平倉餘額!$A$4:$I$500,7,FALSE)</f>
        <v>-3.0874999999999999</v>
      </c>
      <c r="T350" s="64">
        <f>VLOOKUP($B350,選擇權未平倉餘額!$A$4:$I$500,8,FALSE)</f>
        <v>75.295299999999997</v>
      </c>
      <c r="U350" s="64">
        <f>VLOOKUP($B350,選擇權未平倉餘額!$A$4:$I$500,9,FALSE)</f>
        <v>21.161300000000001</v>
      </c>
      <c r="V350" s="39">
        <f>VLOOKUP($B350,臺指選擇權P_C_Ratios!$A$4:$C$500,3,FALSE)</f>
        <v>1.4924000000000002</v>
      </c>
      <c r="W350" s="41">
        <f>VLOOKUP($B350,散戶多空比!$A$6:$L$500,12,FALSE)</f>
        <v>-0.17344487344487344</v>
      </c>
      <c r="X350" s="40">
        <f>VLOOKUP($B350,期貨大額交易人未沖銷部位!$A$4:$O$499,4,FALSE)</f>
        <v>-4128</v>
      </c>
      <c r="Y350" s="40">
        <f>VLOOKUP($B350,期貨大額交易人未沖銷部位!$A$4:$O$499,7,FALSE)</f>
        <v>2863</v>
      </c>
      <c r="Z350" s="40">
        <f>VLOOKUP($B350,期貨大額交易人未沖銷部位!$A$4:$O$499,10,FALSE)</f>
        <v>-4170</v>
      </c>
      <c r="AA350" s="40">
        <f>VLOOKUP($B350,期貨大額交易人未沖銷部位!$A$4:$O$499,13,FALSE)</f>
        <v>3454</v>
      </c>
      <c r="AB350" s="40">
        <f>VLOOKUP($B350,期貨大額交易人未沖銷部位!$A$4:$O$499,14,FALSE)</f>
        <v>-42</v>
      </c>
      <c r="AC350" s="40">
        <f>VLOOKUP($B350,期貨大額交易人未沖銷部位!$A$4:$O$499,15,FALSE)</f>
        <v>591</v>
      </c>
      <c r="AD350" s="33">
        <f>VLOOKUP($B350,三大美股走勢!$A$4:$J$495,4,FALSE)</f>
        <v>-6.7000000000000002E-3</v>
      </c>
      <c r="AE350" s="33">
        <f>VLOOKUP($B350,三大美股走勢!$A$4:$J$495,7,FALSE)</f>
        <v>-5.1999999999999998E-3</v>
      </c>
      <c r="AF350" s="33">
        <f>VLOOKUP($B350,三大美股走勢!$A$4:$J$495,10,FALSE)</f>
        <v>-2.0999999999999999E-3</v>
      </c>
    </row>
    <row r="351" spans="2:32">
      <c r="B351" s="32">
        <v>43130</v>
      </c>
      <c r="C351" s="33">
        <f>VLOOKUP($B351,大盤與近月台指!$A$4:$I$499,2,FALSE)</f>
        <v>0</v>
      </c>
      <c r="D351" s="34">
        <f>VLOOKUP($B351,大盤與近月台指!$A$4:$I$499,3,FALSE)</f>
        <v>0</v>
      </c>
      <c r="E351" s="35">
        <f>VLOOKUP($B351,大盤與近月台指!$A$4:$I$499,4,FALSE)</f>
        <v>0</v>
      </c>
      <c r="F351" s="33">
        <f>VLOOKUP($B351,大盤與近月台指!$A$4:$I$499,5,FALSE)</f>
        <v>0</v>
      </c>
      <c r="G351" s="49">
        <f>VLOOKUP($B351,三大法人買賣超!$A$4:$I$500,3,FALSE)</f>
        <v>-4.4641241200000001</v>
      </c>
      <c r="H351" s="34">
        <f>VLOOKUP($B351,三大法人買賣超!$A$4:$I$500,5,FALSE)</f>
        <v>-15.91086318</v>
      </c>
      <c r="I351" s="27">
        <f>VLOOKUP($B351,三大法人買賣超!$A$4:$I$500,7,FALSE)</f>
        <v>1.27700459</v>
      </c>
      <c r="J351" s="27">
        <f>VLOOKUP($B351,三大法人買賣超!$A$4:$I$500,9,FALSE)</f>
        <v>-26.463669679999999</v>
      </c>
      <c r="K351" s="37">
        <f>新台幣匯率美元指數!B352</f>
        <v>29.24</v>
      </c>
      <c r="L351" s="38">
        <f>新台幣匯率美元指數!C352</f>
        <v>8.9999999999999858E-2</v>
      </c>
      <c r="M351" s="39">
        <f>新台幣匯率美元指數!D352</f>
        <v>89.16</v>
      </c>
      <c r="N351" s="27">
        <f>VLOOKUP($B351,外資期貨未平倉口數!$A$4:$M$499,4,FALSE)</f>
        <v>-1817</v>
      </c>
      <c r="O351" s="27">
        <f>VLOOKUP($B351,外資期貨未平倉口數!$A$4:$M$499,9,FALSE)</f>
        <v>49615.75</v>
      </c>
      <c r="P351" s="27">
        <f>VLOOKUP($B351,外資期貨未平倉口數!$A$4:$M$499,10,FALSE)</f>
        <v>-3732.75</v>
      </c>
      <c r="Q351" s="27">
        <f>VLOOKUP($B351,外資期貨未平倉口數!$A$4:$M$499,11,FALSE)</f>
        <v>4174</v>
      </c>
      <c r="R351" s="64">
        <f>VLOOKUP($B351,選擇權未平倉餘額!$A$4:$I$500,6,FALSE)</f>
        <v>-3.6646000000000001</v>
      </c>
      <c r="S351" s="64">
        <f>VLOOKUP($B351,選擇權未平倉餘額!$A$4:$I$500,7,FALSE)</f>
        <v>-0.84970000000000001</v>
      </c>
      <c r="T351" s="64">
        <f>VLOOKUP($B351,選擇權未平倉餘額!$A$4:$I$500,8,FALSE)</f>
        <v>56.202800000000003</v>
      </c>
      <c r="U351" s="64">
        <f>VLOOKUP($B351,選擇權未平倉餘額!$A$4:$I$500,9,FALSE)</f>
        <v>33.308500000000002</v>
      </c>
      <c r="V351" s="39">
        <f>VLOOKUP($B351,臺指選擇權P_C_Ratios!$A$4:$C$500,3,FALSE)</f>
        <v>1.3644999999999998</v>
      </c>
      <c r="W351" s="41">
        <f>VLOOKUP($B351,散戶多空比!$A$6:$L$500,12,FALSE)</f>
        <v>-0.10802956598648052</v>
      </c>
      <c r="X351" s="40">
        <f>VLOOKUP($B351,期貨大額交易人未沖銷部位!$A$4:$O$499,4,FALSE)</f>
        <v>-1130</v>
      </c>
      <c r="Y351" s="40">
        <f>VLOOKUP($B351,期貨大額交易人未沖銷部位!$A$4:$O$499,7,FALSE)</f>
        <v>6137</v>
      </c>
      <c r="Z351" s="40">
        <f>VLOOKUP($B351,期貨大額交易人未沖銷部位!$A$4:$O$499,10,FALSE)</f>
        <v>-1171</v>
      </c>
      <c r="AA351" s="40">
        <f>VLOOKUP($B351,期貨大額交易人未沖銷部位!$A$4:$O$499,13,FALSE)</f>
        <v>7092</v>
      </c>
      <c r="AB351" s="40">
        <f>VLOOKUP($B351,期貨大額交易人未沖銷部位!$A$4:$O$499,14,FALSE)</f>
        <v>-41</v>
      </c>
      <c r="AC351" s="40">
        <f>VLOOKUP($B351,期貨大額交易人未沖銷部位!$A$4:$O$499,15,FALSE)</f>
        <v>955</v>
      </c>
      <c r="AD351" s="33">
        <f>VLOOKUP($B351,三大美股走勢!$A$4:$J$495,4,FALSE)</f>
        <v>-1.37E-2</v>
      </c>
      <c r="AE351" s="33">
        <f>VLOOKUP($B351,三大美股走勢!$A$4:$J$495,7,FALSE)</f>
        <v>-8.6E-3</v>
      </c>
      <c r="AF351" s="33">
        <f>VLOOKUP($B351,三大美股走勢!$A$4:$J$495,10,FALSE)</f>
        <v>-1.9199999999999998E-2</v>
      </c>
    </row>
    <row r="352" spans="2:32">
      <c r="B352" s="32">
        <v>43131</v>
      </c>
      <c r="C352" s="33">
        <f>VLOOKUP($B352,大盤與近月台指!$A$4:$I$499,2,FALSE)</f>
        <v>11103.79</v>
      </c>
      <c r="D352" s="34">
        <f>VLOOKUP($B352,大盤與近月台指!$A$4:$I$499,3,FALSE)</f>
        <v>27.01</v>
      </c>
      <c r="E352" s="35">
        <f>VLOOKUP($B352,大盤與近月台指!$A$4:$I$499,4,FALSE)</f>
        <v>2.3999999999999998E-3</v>
      </c>
      <c r="F352" s="33" t="str">
        <f>VLOOKUP($B352,大盤與近月台指!$A$4:$I$499,5,FALSE)</f>
        <v>1332億</v>
      </c>
      <c r="G352" s="49">
        <f>VLOOKUP($B352,三大法人買賣超!$A$4:$I$500,3,FALSE)</f>
        <v>8.3931628600000003</v>
      </c>
      <c r="H352" s="34">
        <f>VLOOKUP($B352,三大法人買賣超!$A$4:$I$500,5,FALSE)</f>
        <v>22.72410837</v>
      </c>
      <c r="I352" s="27">
        <f>VLOOKUP($B352,三大法人買賣超!$A$4:$I$500,7,FALSE)</f>
        <v>-3.09754825</v>
      </c>
      <c r="J352" s="27">
        <f>VLOOKUP($B352,三大法人買賣超!$A$4:$I$500,9,FALSE)</f>
        <v>25.08949548</v>
      </c>
      <c r="K352" s="37">
        <f>新台幣匯率美元指數!B353</f>
        <v>29.15</v>
      </c>
      <c r="L352" s="38">
        <f>新台幣匯率美元指數!C353</f>
        <v>-0.09</v>
      </c>
      <c r="M352" s="39">
        <f>新台幣匯率美元指數!D353</f>
        <v>89.132999999999996</v>
      </c>
      <c r="N352" s="27">
        <f>VLOOKUP($B352,外資期貨未平倉口數!$A$4:$M$499,4,FALSE)</f>
        <v>-3043.25</v>
      </c>
      <c r="O352" s="27">
        <f>VLOOKUP($B352,外資期貨未平倉口數!$A$4:$M$499,9,FALSE)</f>
        <v>51078</v>
      </c>
      <c r="P352" s="27">
        <f>VLOOKUP($B352,外資期貨未平倉口數!$A$4:$M$499,10,FALSE)</f>
        <v>-2270.5</v>
      </c>
      <c r="Q352" s="27">
        <f>VLOOKUP($B352,外資期貨未平倉口數!$A$4:$M$499,11,FALSE)</f>
        <v>1462.25</v>
      </c>
      <c r="R352" s="64">
        <f>VLOOKUP($B352,選擇權未平倉餘額!$A$4:$I$500,6,FALSE)</f>
        <v>-3.3319000000000001</v>
      </c>
      <c r="S352" s="64">
        <f>VLOOKUP($B352,選擇權未平倉餘額!$A$4:$I$500,7,FALSE)</f>
        <v>-8.5465</v>
      </c>
      <c r="T352" s="64">
        <f>VLOOKUP($B352,選擇權未平倉餘額!$A$4:$I$500,8,FALSE)</f>
        <v>60.993299999999998</v>
      </c>
      <c r="U352" s="64">
        <f>VLOOKUP($B352,選擇權未平倉餘額!$A$4:$I$500,9,FALSE)</f>
        <v>36.055700000000002</v>
      </c>
      <c r="V352" s="39">
        <f>VLOOKUP($B352,臺指選擇權P_C_Ratios!$A$4:$C$500,3,FALSE)</f>
        <v>1.7468999999999999</v>
      </c>
      <c r="W352" s="41">
        <f>VLOOKUP($B352,散戶多空比!$A$6:$L$500,12,FALSE)</f>
        <v>-0.12663274841657149</v>
      </c>
      <c r="X352" s="40">
        <f>VLOOKUP($B352,期貨大額交易人未沖銷部位!$A$4:$O$499,4,FALSE)</f>
        <v>-482</v>
      </c>
      <c r="Y352" s="40">
        <f>VLOOKUP($B352,期貨大額交易人未沖銷部位!$A$4:$O$499,7,FALSE)</f>
        <v>8530</v>
      </c>
      <c r="Z352" s="40">
        <f>VLOOKUP($B352,期貨大額交易人未沖銷部位!$A$4:$O$499,10,FALSE)</f>
        <v>275</v>
      </c>
      <c r="AA352" s="40">
        <f>VLOOKUP($B352,期貨大額交易人未沖銷部位!$A$4:$O$499,13,FALSE)</f>
        <v>8480</v>
      </c>
      <c r="AB352" s="40">
        <f>VLOOKUP($B352,期貨大額交易人未沖銷部位!$A$4:$O$499,14,FALSE)</f>
        <v>757</v>
      </c>
      <c r="AC352" s="40">
        <f>VLOOKUP($B352,期貨大額交易人未沖銷部位!$A$4:$O$499,15,FALSE)</f>
        <v>-50</v>
      </c>
      <c r="AD352" s="33">
        <f>VLOOKUP($B352,三大美股走勢!$A$4:$J$495,4,FALSE)</f>
        <v>2.8E-3</v>
      </c>
      <c r="AE352" s="33">
        <f>VLOOKUP($B352,三大美股走勢!$A$4:$J$495,7,FALSE)</f>
        <v>1.1999999999999999E-3</v>
      </c>
      <c r="AF352" s="33">
        <f>VLOOKUP($B352,三大美股走勢!$A$4:$J$495,10,FALSE)</f>
        <v>7.1999999999999998E-3</v>
      </c>
    </row>
    <row r="353" spans="2:32">
      <c r="B353" s="32">
        <v>43132</v>
      </c>
      <c r="C353" s="33">
        <f>VLOOKUP($B353,大盤與近月台指!$A$4:$I$499,2,FALSE)</f>
        <v>11160.25</v>
      </c>
      <c r="D353" s="34">
        <f>VLOOKUP($B353,大盤與近月台指!$A$4:$I$499,3,FALSE)</f>
        <v>56.46</v>
      </c>
      <c r="E353" s="35">
        <f>VLOOKUP($B353,大盤與近月台指!$A$4:$I$499,4,FALSE)</f>
        <v>5.1000000000000004E-3</v>
      </c>
      <c r="F353" s="33" t="str">
        <f>VLOOKUP($B353,大盤與近月台指!$A$4:$I$499,5,FALSE)</f>
        <v>1212.32億</v>
      </c>
      <c r="G353" s="49">
        <f>VLOOKUP($B353,三大法人買賣超!$A$4:$I$500,3,FALSE)</f>
        <v>1.2000945599999999</v>
      </c>
      <c r="H353" s="34">
        <f>VLOOKUP($B353,三大法人買賣超!$A$4:$I$500,5,FALSE)</f>
        <v>-2.3305601500000002</v>
      </c>
      <c r="I353" s="27">
        <f>VLOOKUP($B353,三大法人買賣超!$A$4:$I$500,7,FALSE)</f>
        <v>-1.7532991200000001</v>
      </c>
      <c r="J353" s="27">
        <f>VLOOKUP($B353,三大法人買賣超!$A$4:$I$500,9,FALSE)</f>
        <v>13.78384597</v>
      </c>
      <c r="K353" s="37">
        <f>新台幣匯率美元指數!B354</f>
        <v>29.207000000000001</v>
      </c>
      <c r="L353" s="38">
        <f>新台幣匯率美元指數!C354</f>
        <v>5.7000000000000002E-2</v>
      </c>
      <c r="M353" s="39">
        <f>新台幣匯率美元指數!D354</f>
        <v>88.671000000000006</v>
      </c>
      <c r="N353" s="27">
        <f>VLOOKUP($B353,外資期貨未平倉口數!$A$4:$M$499,4,FALSE)</f>
        <v>-1778</v>
      </c>
      <c r="O353" s="27">
        <f>VLOOKUP($B353,外資期貨未平倉口數!$A$4:$M$499,9,FALSE)</f>
        <v>48970.25</v>
      </c>
      <c r="P353" s="27">
        <f>VLOOKUP($B353,外資期貨未平倉口數!$A$4:$M$499,10,FALSE)</f>
        <v>-4378.25</v>
      </c>
      <c r="Q353" s="27">
        <f>VLOOKUP($B353,外資期貨未平倉口數!$A$4:$M$499,11,FALSE)</f>
        <v>-2107.75</v>
      </c>
      <c r="R353" s="64">
        <f>VLOOKUP($B353,選擇權未平倉餘額!$A$4:$I$500,6,FALSE)</f>
        <v>-6.9999000000000002</v>
      </c>
      <c r="S353" s="64">
        <f>VLOOKUP($B353,選擇權未平倉餘額!$A$4:$I$500,7,FALSE)</f>
        <v>-10.811400000000001</v>
      </c>
      <c r="T353" s="64">
        <f>VLOOKUP($B353,選擇權未平倉餘額!$A$4:$I$500,8,FALSE)</f>
        <v>71.580799999999996</v>
      </c>
      <c r="U353" s="64">
        <f>VLOOKUP($B353,選擇權未平倉餘額!$A$4:$I$500,9,FALSE)</f>
        <v>36.764099999999999</v>
      </c>
      <c r="V353" s="39">
        <f>VLOOKUP($B353,臺指選擇權P_C_Ratios!$A$4:$C$500,3,FALSE)</f>
        <v>1.7887999999999999</v>
      </c>
      <c r="W353" s="41">
        <f>VLOOKUP($B353,散戶多空比!$A$6:$L$500,12,FALSE)</f>
        <v>-0.10108783825945879</v>
      </c>
      <c r="X353" s="40">
        <f>VLOOKUP($B353,期貨大額交易人未沖銷部位!$A$4:$O$499,4,FALSE)</f>
        <v>-1990</v>
      </c>
      <c r="Y353" s="40">
        <f>VLOOKUP($B353,期貨大額交易人未沖銷部位!$A$4:$O$499,7,FALSE)</f>
        <v>6875</v>
      </c>
      <c r="Z353" s="40">
        <f>VLOOKUP($B353,期貨大額交易人未沖銷部位!$A$4:$O$499,10,FALSE)</f>
        <v>-1644</v>
      </c>
      <c r="AA353" s="40">
        <f>VLOOKUP($B353,期貨大額交易人未沖銷部位!$A$4:$O$499,13,FALSE)</f>
        <v>6517</v>
      </c>
      <c r="AB353" s="40">
        <f>VLOOKUP($B353,期貨大額交易人未沖銷部位!$A$4:$O$499,14,FALSE)</f>
        <v>346</v>
      </c>
      <c r="AC353" s="40">
        <f>VLOOKUP($B353,期貨大額交易人未沖銷部位!$A$4:$O$499,15,FALSE)</f>
        <v>-358</v>
      </c>
      <c r="AD353" s="33">
        <f>VLOOKUP($B353,三大美股走勢!$A$4:$J$495,4,FALSE)</f>
        <v>1.4E-3</v>
      </c>
      <c r="AE353" s="33">
        <f>VLOOKUP($B353,三大美股走勢!$A$4:$J$495,7,FALSE)</f>
        <v>-3.5000000000000001E-3</v>
      </c>
      <c r="AF353" s="33">
        <f>VLOOKUP($B353,三大美股走勢!$A$4:$J$495,10,FALSE)</f>
        <v>-4.7000000000000002E-3</v>
      </c>
    </row>
    <row r="354" spans="2:32">
      <c r="B354" s="32">
        <v>43133</v>
      </c>
      <c r="C354" s="33">
        <f>VLOOKUP($B354,大盤與近月台指!$A$4:$I$499,2,FALSE)</f>
        <v>11126.23</v>
      </c>
      <c r="D354" s="34">
        <f>VLOOKUP($B354,大盤與近月台指!$A$4:$I$499,3,FALSE)</f>
        <v>-34.020000000000003</v>
      </c>
      <c r="E354" s="35">
        <f>VLOOKUP($B354,大盤與近月台指!$A$4:$I$499,4,FALSE)</f>
        <v>-3.0000000000000001E-3</v>
      </c>
      <c r="F354" s="33" t="str">
        <f>VLOOKUP($B354,大盤與近月台指!$A$4:$I$499,5,FALSE)</f>
        <v>1199.64億</v>
      </c>
      <c r="G354" s="49">
        <f>VLOOKUP($B354,三大法人買賣超!$A$4:$I$500,3,FALSE)</f>
        <v>-2.1358009600000001</v>
      </c>
      <c r="H354" s="34">
        <f>VLOOKUP($B354,三大法人買賣超!$A$4:$I$500,5,FALSE)</f>
        <v>-2.3059275499999998</v>
      </c>
      <c r="I354" s="27">
        <f>VLOOKUP($B354,三大法人買賣超!$A$4:$I$500,7,FALSE)</f>
        <v>-3.1131466200000002</v>
      </c>
      <c r="J354" s="27">
        <f>VLOOKUP($B354,三大法人買賣超!$A$4:$I$500,9,FALSE)</f>
        <v>-4.4037896999999999</v>
      </c>
      <c r="K354" s="37">
        <f>新台幣匯率美元指數!B355</f>
        <v>29.234999999999999</v>
      </c>
      <c r="L354" s="38">
        <f>新台幣匯率美元指數!C355</f>
        <v>2.8000000000000001E-2</v>
      </c>
      <c r="M354" s="39">
        <f>新台幣匯率美元指數!D355</f>
        <v>89.194999999999993</v>
      </c>
      <c r="N354" s="27">
        <f>VLOOKUP($B354,外資期貨未平倉口數!$A$4:$M$499,4,FALSE)</f>
        <v>-838.5</v>
      </c>
      <c r="O354" s="27">
        <f>VLOOKUP($B354,外資期貨未平倉口數!$A$4:$M$499,9,FALSE)</f>
        <v>44685</v>
      </c>
      <c r="P354" s="27">
        <f>VLOOKUP($B354,外資期貨未平倉口數!$A$4:$M$499,10,FALSE)</f>
        <v>-8663.5</v>
      </c>
      <c r="Q354" s="27">
        <f>VLOOKUP($B354,外資期貨未平倉口數!$A$4:$M$499,11,FALSE)</f>
        <v>-4285.25</v>
      </c>
      <c r="R354" s="64">
        <f>VLOOKUP($B354,選擇權未平倉餘額!$A$4:$I$500,6,FALSE)</f>
        <v>-7.4013999999999998</v>
      </c>
      <c r="S354" s="64">
        <f>VLOOKUP($B354,選擇權未平倉餘額!$A$4:$I$500,7,FALSE)</f>
        <v>-10.602399999999999</v>
      </c>
      <c r="T354" s="64">
        <f>VLOOKUP($B354,選擇權未平倉餘額!$A$4:$I$500,8,FALSE)</f>
        <v>60.3628</v>
      </c>
      <c r="U354" s="64">
        <f>VLOOKUP($B354,選擇權未平倉餘額!$A$4:$I$500,9,FALSE)</f>
        <v>38.931600000000003</v>
      </c>
      <c r="V354" s="39">
        <f>VLOOKUP($B354,臺指選擇權P_C_Ratios!$A$4:$C$500,3,FALSE)</f>
        <v>1.6800999999999999</v>
      </c>
      <c r="W354" s="41">
        <f>VLOOKUP($B354,散戶多空比!$A$6:$L$500,12,FALSE)</f>
        <v>-6.0310067490350817E-2</v>
      </c>
      <c r="X354" s="40">
        <f>VLOOKUP($B354,期貨大額交易人未沖銷部位!$A$4:$O$499,4,FALSE)</f>
        <v>-1697</v>
      </c>
      <c r="Y354" s="40">
        <f>VLOOKUP($B354,期貨大額交易人未沖銷部位!$A$4:$O$499,7,FALSE)</f>
        <v>2630</v>
      </c>
      <c r="Z354" s="40">
        <f>VLOOKUP($B354,期貨大額交易人未沖銷部位!$A$4:$O$499,10,FALSE)</f>
        <v>-1790</v>
      </c>
      <c r="AA354" s="40">
        <f>VLOOKUP($B354,期貨大額交易人未沖銷部位!$A$4:$O$499,13,FALSE)</f>
        <v>2630</v>
      </c>
      <c r="AB354" s="40">
        <f>VLOOKUP($B354,期貨大額交易人未沖銷部位!$A$4:$O$499,14,FALSE)</f>
        <v>-93</v>
      </c>
      <c r="AC354" s="40">
        <f>VLOOKUP($B354,期貨大額交易人未沖銷部位!$A$4:$O$499,15,FALSE)</f>
        <v>0</v>
      </c>
      <c r="AD354" s="33">
        <f>VLOOKUP($B354,三大美股走勢!$A$4:$J$495,4,FALSE)</f>
        <v>-2.5399999999999999E-2</v>
      </c>
      <c r="AE354" s="33">
        <f>VLOOKUP($B354,三大美股走勢!$A$4:$J$495,7,FALSE)</f>
        <v>-1.9599999999999999E-2</v>
      </c>
      <c r="AF354" s="33">
        <f>VLOOKUP($B354,三大美股走勢!$A$4:$J$495,10,FALSE)</f>
        <v>-1.72E-2</v>
      </c>
    </row>
    <row r="355" spans="2:32">
      <c r="B355" s="32">
        <v>43134</v>
      </c>
      <c r="C355" s="33">
        <f>VLOOKUP($B355,大盤與近月台指!$A$4:$I$499,2,FALSE)</f>
        <v>0</v>
      </c>
      <c r="D355" s="34">
        <f>VLOOKUP($B355,大盤與近月台指!$A$4:$I$499,3,FALSE)</f>
        <v>0</v>
      </c>
      <c r="E355" s="35">
        <f>VLOOKUP($B355,大盤與近月台指!$A$4:$I$499,4,FALSE)</f>
        <v>0</v>
      </c>
      <c r="F355" s="33">
        <f>VLOOKUP($B355,大盤與近月台指!$A$4:$I$499,5,FALSE)</f>
        <v>0</v>
      </c>
      <c r="G355" s="49">
        <f>VLOOKUP($B355,三大法人買賣超!$A$4:$I$500,3,FALSE)</f>
        <v>0</v>
      </c>
      <c r="H355" s="34">
        <f>VLOOKUP($B355,三大法人買賣超!$A$4:$I$500,5,FALSE)</f>
        <v>0</v>
      </c>
      <c r="I355" s="27">
        <f>VLOOKUP($B355,三大法人買賣超!$A$4:$I$500,7,FALSE)</f>
        <v>0</v>
      </c>
      <c r="J355" s="27">
        <f>VLOOKUP($B355,三大法人買賣超!$A$4:$I$500,9,FALSE)</f>
        <v>0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>
        <f>VLOOKUP($B355,外資期貨未平倉口數!$A$4:$M$499,4,FALSE)</f>
        <v>0</v>
      </c>
      <c r="O355" s="27">
        <f>VLOOKUP($B355,外資期貨未平倉口數!$A$4:$M$499,9,FALSE)</f>
        <v>0</v>
      </c>
      <c r="P355" s="27">
        <f>VLOOKUP($B355,外資期貨未平倉口數!$A$4:$M$499,10,FALSE)</f>
        <v>0</v>
      </c>
      <c r="Q355" s="27">
        <f>VLOOKUP($B355,外資期貨未平倉口數!$A$4:$M$499,11,FALSE)</f>
        <v>0</v>
      </c>
      <c r="R355" s="64">
        <f>VLOOKUP($B355,選擇權未平倉餘額!$A$4:$I$500,6,FALSE)</f>
        <v>0</v>
      </c>
      <c r="S355" s="64">
        <f>VLOOKUP($B355,選擇權未平倉餘額!$A$4:$I$500,7,FALSE)</f>
        <v>0</v>
      </c>
      <c r="T355" s="64">
        <f>VLOOKUP($B355,選擇權未平倉餘額!$A$4:$I$500,8,FALSE)</f>
        <v>0</v>
      </c>
      <c r="U355" s="64">
        <f>VLOOKUP($B355,選擇權未平倉餘額!$A$4:$I$500,9,FALSE)</f>
        <v>0</v>
      </c>
      <c r="V355" s="39">
        <f>VLOOKUP($B355,臺指選擇權P_C_Ratios!$A$4:$C$500,3,FALSE)</f>
        <v>0</v>
      </c>
      <c r="W355" s="41">
        <f>VLOOKUP($B355,散戶多空比!$A$6:$L$500,12,FALSE)</f>
        <v>0</v>
      </c>
      <c r="X355" s="40">
        <f>VLOOKUP($B355,期貨大額交易人未沖銷部位!$A$4:$O$499,4,FALSE)</f>
        <v>0</v>
      </c>
      <c r="Y355" s="40">
        <f>VLOOKUP($B355,期貨大額交易人未沖銷部位!$A$4:$O$499,7,FALSE)</f>
        <v>0</v>
      </c>
      <c r="Z355" s="40">
        <f>VLOOKUP($B355,期貨大額交易人未沖銷部位!$A$4:$O$499,10,FALSE)</f>
        <v>0</v>
      </c>
      <c r="AA355" s="40">
        <f>VLOOKUP($B355,期貨大額交易人未沖銷部位!$A$4:$O$499,13,FALSE)</f>
        <v>0</v>
      </c>
      <c r="AB355" s="40">
        <f>VLOOKUP($B355,期貨大額交易人未沖銷部位!$A$4:$O$499,14,FALSE)</f>
        <v>0</v>
      </c>
      <c r="AC355" s="40">
        <f>VLOOKUP($B355,期貨大額交易人未沖銷部位!$A$4:$O$499,15,FALSE)</f>
        <v>0</v>
      </c>
      <c r="AD355" s="33">
        <f>VLOOKUP($B355,三大美股走勢!$A$4:$J$495,4,FALSE)</f>
        <v>0</v>
      </c>
      <c r="AE355" s="33">
        <f>VLOOKUP($B355,三大美股走勢!$A$4:$J$495,7,FALSE)</f>
        <v>0</v>
      </c>
      <c r="AF355" s="33">
        <f>VLOOKUP($B355,三大美股走勢!$A$4:$J$495,10,FALSE)</f>
        <v>0</v>
      </c>
    </row>
    <row r="356" spans="2:32">
      <c r="B356" s="32">
        <v>43135</v>
      </c>
      <c r="C356" s="33">
        <f>VLOOKUP($B356,大盤與近月台指!$A$4:$I$499,2,FALSE)</f>
        <v>0</v>
      </c>
      <c r="D356" s="34">
        <f>VLOOKUP($B356,大盤與近月台指!$A$4:$I$499,3,FALSE)</f>
        <v>0</v>
      </c>
      <c r="E356" s="35">
        <f>VLOOKUP($B356,大盤與近月台指!$A$4:$I$499,4,FALSE)</f>
        <v>0</v>
      </c>
      <c r="F356" s="33">
        <f>VLOOKUP($B356,大盤與近月台指!$A$4:$I$499,5,FALSE)</f>
        <v>0</v>
      </c>
      <c r="G356" s="49">
        <f>VLOOKUP($B356,三大法人買賣超!$A$4:$I$500,3,FALSE)</f>
        <v>0</v>
      </c>
      <c r="H356" s="34">
        <f>VLOOKUP($B356,三大法人買賣超!$A$4:$I$500,5,FALSE)</f>
        <v>0</v>
      </c>
      <c r="I356" s="27">
        <f>VLOOKUP($B356,三大法人買賣超!$A$4:$I$500,7,FALSE)</f>
        <v>0</v>
      </c>
      <c r="J356" s="27">
        <f>VLOOKUP($B356,三大法人買賣超!$A$4:$I$500,9,FALSE)</f>
        <v>0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>
        <f>VLOOKUP($B356,外資期貨未平倉口數!$A$4:$M$499,4,FALSE)</f>
        <v>0</v>
      </c>
      <c r="O356" s="27">
        <f>VLOOKUP($B356,外資期貨未平倉口數!$A$4:$M$499,9,FALSE)</f>
        <v>0</v>
      </c>
      <c r="P356" s="27">
        <f>VLOOKUP($B356,外資期貨未平倉口數!$A$4:$M$499,10,FALSE)</f>
        <v>0</v>
      </c>
      <c r="Q356" s="27">
        <f>VLOOKUP($B356,外資期貨未平倉口數!$A$4:$M$499,11,FALSE)</f>
        <v>0</v>
      </c>
      <c r="R356" s="64">
        <f>VLOOKUP($B356,選擇權未平倉餘額!$A$4:$I$500,6,FALSE)</f>
        <v>0</v>
      </c>
      <c r="S356" s="64">
        <f>VLOOKUP($B356,選擇權未平倉餘額!$A$4:$I$500,7,FALSE)</f>
        <v>0</v>
      </c>
      <c r="T356" s="64">
        <f>VLOOKUP($B356,選擇權未平倉餘額!$A$4:$I$500,8,FALSE)</f>
        <v>0</v>
      </c>
      <c r="U356" s="64">
        <f>VLOOKUP($B356,選擇權未平倉餘額!$A$4:$I$500,9,FALSE)</f>
        <v>0</v>
      </c>
      <c r="V356" s="39">
        <f>VLOOKUP($B356,臺指選擇權P_C_Ratios!$A$4:$C$500,3,FALSE)</f>
        <v>0</v>
      </c>
      <c r="W356" s="41">
        <f>VLOOKUP($B356,散戶多空比!$A$6:$L$500,12,FALSE)</f>
        <v>0</v>
      </c>
      <c r="X356" s="40">
        <f>VLOOKUP($B356,期貨大額交易人未沖銷部位!$A$4:$O$499,4,FALSE)</f>
        <v>0</v>
      </c>
      <c r="Y356" s="40">
        <f>VLOOKUP($B356,期貨大額交易人未沖銷部位!$A$4:$O$499,7,FALSE)</f>
        <v>0</v>
      </c>
      <c r="Z356" s="40">
        <f>VLOOKUP($B356,期貨大額交易人未沖銷部位!$A$4:$O$499,10,FALSE)</f>
        <v>0</v>
      </c>
      <c r="AA356" s="40">
        <f>VLOOKUP($B356,期貨大額交易人未沖銷部位!$A$4:$O$499,13,FALSE)</f>
        <v>0</v>
      </c>
      <c r="AB356" s="40">
        <f>VLOOKUP($B356,期貨大額交易人未沖銷部位!$A$4:$O$499,14,FALSE)</f>
        <v>0</v>
      </c>
      <c r="AC356" s="40">
        <f>VLOOKUP($B356,期貨大額交易人未沖銷部位!$A$4:$O$499,15,FALSE)</f>
        <v>0</v>
      </c>
      <c r="AD356" s="33">
        <f>VLOOKUP($B356,三大美股走勢!$A$4:$J$495,4,FALSE)</f>
        <v>0</v>
      </c>
      <c r="AE356" s="33">
        <f>VLOOKUP($B356,三大美股走勢!$A$4:$J$495,7,FALSE)</f>
        <v>0</v>
      </c>
      <c r="AF356" s="33">
        <f>VLOOKUP($B356,三大美股走勢!$A$4:$J$495,10,FALSE)</f>
        <v>0</v>
      </c>
    </row>
    <row r="357" spans="2:32">
      <c r="B357" s="32">
        <v>43136</v>
      </c>
      <c r="C357" s="33">
        <f>VLOOKUP($B357,大盤與近月台指!$A$4:$I$499,2,FALSE)</f>
        <v>10946.25</v>
      </c>
      <c r="D357" s="34">
        <f>VLOOKUP($B357,大盤與近月台指!$A$4:$I$499,3,FALSE)</f>
        <v>-179.98</v>
      </c>
      <c r="E357" s="35">
        <f>VLOOKUP($B357,大盤與近月台指!$A$4:$I$499,4,FALSE)</f>
        <v>-1.6199999999999999E-2</v>
      </c>
      <c r="F357" s="33" t="str">
        <f>VLOOKUP($B357,大盤與近月台指!$A$4:$I$499,5,FALSE)</f>
        <v>1284.31億</v>
      </c>
      <c r="G357" s="49">
        <f>VLOOKUP($B357,三大法人買賣超!$A$4:$I$500,3,FALSE)</f>
        <v>-11.65803075</v>
      </c>
      <c r="H357" s="34">
        <f>VLOOKUP($B357,三大法人買賣超!$A$4:$I$500,5,FALSE)</f>
        <v>-8.3033961200000004</v>
      </c>
      <c r="I357" s="27">
        <f>VLOOKUP($B357,三大法人買賣超!$A$4:$I$500,7,FALSE)</f>
        <v>-4.5025007400000003</v>
      </c>
      <c r="J357" s="27">
        <f>VLOOKUP($B357,三大法人買賣超!$A$4:$I$500,9,FALSE)</f>
        <v>-83.439556370000005</v>
      </c>
      <c r="K357" s="37">
        <f>新台幣匯率美元指數!B358</f>
        <v>29.306999999999999</v>
      </c>
      <c r="L357" s="38">
        <f>新台幣匯率美元指數!C358</f>
        <v>7.1999999999999995E-2</v>
      </c>
      <c r="M357" s="39">
        <f>新台幣匯率美元指數!D358</f>
        <v>0</v>
      </c>
      <c r="N357" s="27">
        <f>VLOOKUP($B357,外資期貨未平倉口數!$A$4:$M$499,4,FALSE)</f>
        <v>-1209.75</v>
      </c>
      <c r="O357" s="27">
        <f>VLOOKUP($B357,外資期貨未平倉口數!$A$4:$M$499,9,FALSE)</f>
        <v>40000.25</v>
      </c>
      <c r="P357" s="27">
        <f>VLOOKUP($B357,外資期貨未平倉口數!$A$4:$M$499,10,FALSE)</f>
        <v>-13348.25</v>
      </c>
      <c r="Q357" s="27">
        <f>VLOOKUP($B357,外資期貨未平倉口數!$A$4:$M$499,11,FALSE)</f>
        <v>-4684.75</v>
      </c>
      <c r="R357" s="64">
        <f>VLOOKUP($B357,選擇權未平倉餘額!$A$4:$I$500,6,FALSE)</f>
        <v>-2.3456000000000001</v>
      </c>
      <c r="S357" s="64">
        <f>VLOOKUP($B357,選擇權未平倉餘額!$A$4:$I$500,7,FALSE)</f>
        <v>-12.3498</v>
      </c>
      <c r="T357" s="64">
        <f>VLOOKUP($B357,選擇權未平倉餘額!$A$4:$I$500,8,FALSE)</f>
        <v>38.532299999999999</v>
      </c>
      <c r="U357" s="64">
        <f>VLOOKUP($B357,選擇權未平倉餘額!$A$4:$I$500,9,FALSE)</f>
        <v>66.917900000000003</v>
      </c>
      <c r="V357" s="39">
        <f>VLOOKUP($B357,臺指選擇權P_C_Ratios!$A$4:$C$500,3,FALSE)</f>
        <v>1.4784999999999999</v>
      </c>
      <c r="W357" s="41">
        <f>VLOOKUP($B357,散戶多空比!$A$6:$L$500,12,FALSE)</f>
        <v>3.331272752249468E-2</v>
      </c>
      <c r="X357" s="40">
        <f>VLOOKUP($B357,期貨大額交易人未沖銷部位!$A$4:$O$499,4,FALSE)</f>
        <v>-3111</v>
      </c>
      <c r="Y357" s="40">
        <f>VLOOKUP($B357,期貨大額交易人未沖銷部位!$A$4:$O$499,7,FALSE)</f>
        <v>415</v>
      </c>
      <c r="Z357" s="40">
        <f>VLOOKUP($B357,期貨大額交易人未沖銷部位!$A$4:$O$499,10,FALSE)</f>
        <v>-3255</v>
      </c>
      <c r="AA357" s="40">
        <f>VLOOKUP($B357,期貨大額交易人未沖銷部位!$A$4:$O$499,13,FALSE)</f>
        <v>2285</v>
      </c>
      <c r="AB357" s="40">
        <f>VLOOKUP($B357,期貨大額交易人未沖銷部位!$A$4:$O$499,14,FALSE)</f>
        <v>-144</v>
      </c>
      <c r="AC357" s="40">
        <f>VLOOKUP($B357,期貨大額交易人未沖銷部位!$A$4:$O$499,15,FALSE)</f>
        <v>1870</v>
      </c>
      <c r="AD357" s="33">
        <f>VLOOKUP($B357,三大美股走勢!$A$4:$J$495,4,FALSE)</f>
        <v>-4.5999999999999999E-2</v>
      </c>
      <c r="AE357" s="33">
        <f>VLOOKUP($B357,三大美股走勢!$A$4:$J$495,7,FALSE)</f>
        <v>-3.78E-2</v>
      </c>
      <c r="AF357" s="33">
        <f>VLOOKUP($B357,三大美股走勢!$A$4:$J$495,10,FALSE)</f>
        <v>-4.7199999999999999E-2</v>
      </c>
    </row>
    <row r="358" spans="2:32">
      <c r="B358" s="32">
        <v>43137</v>
      </c>
      <c r="C358" s="33">
        <f>VLOOKUP($B358,大盤與近月台指!$A$4:$I$499,2,FALSE)</f>
        <v>0</v>
      </c>
      <c r="D358" s="34">
        <f>VLOOKUP($B358,大盤與近月台指!$A$4:$I$499,3,FALSE)</f>
        <v>0</v>
      </c>
      <c r="E358" s="35">
        <f>VLOOKUP($B358,大盤與近月台指!$A$4:$I$499,4,FALSE)</f>
        <v>0</v>
      </c>
      <c r="F358" s="33">
        <f>VLOOKUP($B358,大盤與近月台指!$A$4:$I$499,5,FALSE)</f>
        <v>0</v>
      </c>
      <c r="G358" s="49">
        <f>VLOOKUP($B358,三大法人買賣超!$A$4:$I$500,3,FALSE)</f>
        <v>-24.004265449999998</v>
      </c>
      <c r="H358" s="34">
        <f>VLOOKUP($B358,三大法人買賣超!$A$4:$I$500,5,FALSE)</f>
        <v>1.3120975699999999</v>
      </c>
      <c r="I358" s="27">
        <f>VLOOKUP($B358,三大法人買賣超!$A$4:$I$500,7,FALSE)</f>
        <v>-8.3224778199999996</v>
      </c>
      <c r="J358" s="27">
        <f>VLOOKUP($B358,三大法人買賣超!$A$4:$I$500,9,FALSE)</f>
        <v>-313.35752998999999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>
        <f>VLOOKUP($B358,外資期貨未平倉口數!$A$4:$M$499,4,FALSE)</f>
        <v>-8482</v>
      </c>
      <c r="O358" s="27">
        <f>VLOOKUP($B358,外資期貨未平倉口數!$A$4:$M$499,9,FALSE)</f>
        <v>43113</v>
      </c>
      <c r="P358" s="27">
        <f>VLOOKUP($B358,外資期貨未平倉口數!$A$4:$M$499,10,FALSE)</f>
        <v>-10235.5</v>
      </c>
      <c r="Q358" s="27">
        <f>VLOOKUP($B358,外資期貨未平倉口數!$A$4:$M$499,11,FALSE)</f>
        <v>3112.75</v>
      </c>
      <c r="R358" s="64">
        <f>VLOOKUP($B358,選擇權未平倉餘額!$A$4:$I$500,6,FALSE)</f>
        <v>-11.542</v>
      </c>
      <c r="S358" s="64">
        <f>VLOOKUP($B358,選擇權未平倉餘額!$A$4:$I$500,7,FALSE)</f>
        <v>-212.5147</v>
      </c>
      <c r="T358" s="64">
        <f>VLOOKUP($B358,選擇權未平倉餘額!$A$4:$I$500,8,FALSE)</f>
        <v>37.3033</v>
      </c>
      <c r="U358" s="64">
        <f>VLOOKUP($B358,選擇權未平倉餘額!$A$4:$I$500,9,FALSE)</f>
        <v>302.64150000000001</v>
      </c>
      <c r="V358" s="39">
        <f>VLOOKUP($B358,臺指選擇權P_C_Ratios!$A$4:$C$500,3,FALSE)</f>
        <v>1.0454999999999999</v>
      </c>
      <c r="W358" s="41">
        <f>VLOOKUP($B358,散戶多空比!$A$6:$L$500,12,FALSE)</f>
        <v>8.8200163450053437E-2</v>
      </c>
      <c r="X358" s="40">
        <f>VLOOKUP($B358,期貨大額交易人未沖銷部位!$A$4:$O$499,4,FALSE)</f>
        <v>-3365</v>
      </c>
      <c r="Y358" s="40">
        <f>VLOOKUP($B358,期貨大額交易人未沖銷部位!$A$4:$O$499,7,FALSE)</f>
        <v>806</v>
      </c>
      <c r="Z358" s="40">
        <f>VLOOKUP($B358,期貨大額交易人未沖銷部位!$A$4:$O$499,10,FALSE)</f>
        <v>-5516</v>
      </c>
      <c r="AA358" s="40">
        <f>VLOOKUP($B358,期貨大額交易人未沖銷部位!$A$4:$O$499,13,FALSE)</f>
        <v>34</v>
      </c>
      <c r="AB358" s="40">
        <f>VLOOKUP($B358,期貨大額交易人未沖銷部位!$A$4:$O$499,14,FALSE)</f>
        <v>-2151</v>
      </c>
      <c r="AC358" s="40">
        <f>VLOOKUP($B358,期貨大額交易人未沖銷部位!$A$4:$O$499,15,FALSE)</f>
        <v>-772</v>
      </c>
      <c r="AD358" s="33">
        <f>VLOOKUP($B358,三大美股走勢!$A$4:$J$495,4,FALSE)</f>
        <v>2.3300000000000001E-2</v>
      </c>
      <c r="AE358" s="33">
        <f>VLOOKUP($B358,三大美股走勢!$A$4:$J$495,7,FALSE)</f>
        <v>2.1299999999999999E-2</v>
      </c>
      <c r="AF358" s="33">
        <f>VLOOKUP($B358,三大美股走勢!$A$4:$J$495,10,FALSE)</f>
        <v>1.8499999999999999E-2</v>
      </c>
    </row>
    <row r="359" spans="2:32">
      <c r="B359" s="32">
        <v>43138</v>
      </c>
      <c r="C359" s="33">
        <f>VLOOKUP($B359,大盤與近月台指!$A$4:$I$499,2,FALSE)</f>
        <v>0</v>
      </c>
      <c r="D359" s="34">
        <f>VLOOKUP($B359,大盤與近月台指!$A$4:$I$499,3,FALSE)</f>
        <v>0</v>
      </c>
      <c r="E359" s="35">
        <f>VLOOKUP($B359,大盤與近月台指!$A$4:$I$499,4,FALSE)</f>
        <v>0</v>
      </c>
      <c r="F359" s="33">
        <f>VLOOKUP($B359,大盤與近月台指!$A$4:$I$499,5,FALSE)</f>
        <v>0</v>
      </c>
      <c r="G359" s="49">
        <f>VLOOKUP($B359,三大法人買賣超!$A$4:$I$500,3,FALSE)</f>
        <v>-9.4722545999999994</v>
      </c>
      <c r="H359" s="34">
        <f>VLOOKUP($B359,三大法人買賣超!$A$4:$I$500,5,FALSE)</f>
        <v>-14.38295276</v>
      </c>
      <c r="I359" s="27">
        <f>VLOOKUP($B359,三大法人買賣超!$A$4:$I$500,7,FALSE)</f>
        <v>18.88782441</v>
      </c>
      <c r="J359" s="27">
        <f>VLOOKUP($B359,三大法人買賣超!$A$4:$I$500,9,FALSE)</f>
        <v>-166.41069594000001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>
        <f>VLOOKUP($B359,外資期貨未平倉口數!$A$4:$M$499,4,FALSE)</f>
        <v>-7131.75</v>
      </c>
      <c r="O359" s="27">
        <f>VLOOKUP($B359,外資期貨未平倉口數!$A$4:$M$499,9,FALSE)</f>
        <v>48349.75</v>
      </c>
      <c r="P359" s="27">
        <f>VLOOKUP($B359,外資期貨未平倉口數!$A$4:$M$499,10,FALSE)</f>
        <v>-4998.75</v>
      </c>
      <c r="Q359" s="27">
        <f>VLOOKUP($B359,外資期貨未平倉口數!$A$4:$M$499,11,FALSE)</f>
        <v>5236.75</v>
      </c>
      <c r="R359" s="64">
        <f>VLOOKUP($B359,選擇權未平倉餘額!$A$4:$I$500,6,FALSE)</f>
        <v>-7.7812000000000001</v>
      </c>
      <c r="S359" s="64">
        <f>VLOOKUP($B359,選擇權未平倉餘額!$A$4:$I$500,7,FALSE)</f>
        <v>-85.198899999999995</v>
      </c>
      <c r="T359" s="64">
        <f>VLOOKUP($B359,選擇權未平倉餘額!$A$4:$I$500,8,FALSE)</f>
        <v>19.0243</v>
      </c>
      <c r="U359" s="64">
        <f>VLOOKUP($B359,選擇權未平倉餘額!$A$4:$I$500,9,FALSE)</f>
        <v>121.6653</v>
      </c>
      <c r="V359" s="39">
        <f>VLOOKUP($B359,臺指選擇權P_C_Ratios!$A$4:$C$500,3,FALSE)</f>
        <v>1.4153</v>
      </c>
      <c r="W359" s="41">
        <f>VLOOKUP($B359,散戶多空比!$A$6:$L$500,12,FALSE)</f>
        <v>4.2581841460453414E-2</v>
      </c>
      <c r="X359" s="40">
        <f>VLOOKUP($B359,期貨大額交易人未沖銷部位!$A$4:$O$499,4,FALSE)</f>
        <v>4480</v>
      </c>
      <c r="Y359" s="40">
        <f>VLOOKUP($B359,期貨大額交易人未沖銷部位!$A$4:$O$499,7,FALSE)</f>
        <v>9302</v>
      </c>
      <c r="Z359" s="40">
        <f>VLOOKUP($B359,期貨大額交易人未沖銷部位!$A$4:$O$499,10,FALSE)</f>
        <v>839</v>
      </c>
      <c r="AA359" s="40">
        <f>VLOOKUP($B359,期貨大額交易人未沖銷部位!$A$4:$O$499,13,FALSE)</f>
        <v>7965</v>
      </c>
      <c r="AB359" s="40">
        <f>VLOOKUP($B359,期貨大額交易人未沖銷部位!$A$4:$O$499,14,FALSE)</f>
        <v>-3641</v>
      </c>
      <c r="AC359" s="40">
        <f>VLOOKUP($B359,期貨大額交易人未沖銷部位!$A$4:$O$499,15,FALSE)</f>
        <v>-1337</v>
      </c>
      <c r="AD359" s="33">
        <f>VLOOKUP($B359,三大美股走勢!$A$4:$J$495,4,FALSE)</f>
        <v>-8.0000000000000004E-4</v>
      </c>
      <c r="AE359" s="33">
        <f>VLOOKUP($B359,三大美股走勢!$A$4:$J$495,7,FALSE)</f>
        <v>-8.9999999999999993E-3</v>
      </c>
      <c r="AF359" s="33">
        <f>VLOOKUP($B359,三大美股走勢!$A$4:$J$495,10,FALSE)</f>
        <v>-2.2000000000000001E-3</v>
      </c>
    </row>
    <row r="360" spans="2:32">
      <c r="B360" s="32">
        <v>43139</v>
      </c>
      <c r="C360" s="33">
        <f>VLOOKUP($B360,大盤與近月台指!$A$4:$I$499,2,FALSE)</f>
        <v>0</v>
      </c>
      <c r="D360" s="34">
        <f>VLOOKUP($B360,大盤與近月台指!$A$4:$I$499,3,FALSE)</f>
        <v>0</v>
      </c>
      <c r="E360" s="35">
        <f>VLOOKUP($B360,大盤與近月台指!$A$4:$I$499,4,FALSE)</f>
        <v>0</v>
      </c>
      <c r="F360" s="33">
        <f>VLOOKUP($B360,大盤與近月台指!$A$4:$I$499,5,FALSE)</f>
        <v>0</v>
      </c>
      <c r="G360" s="49">
        <f>VLOOKUP($B360,三大法人買賣超!$A$4:$I$500,3,FALSE)</f>
        <v>-8.3332199999999995E-2</v>
      </c>
      <c r="H360" s="34">
        <f>VLOOKUP($B360,三大法人買賣超!$A$4:$I$500,5,FALSE)</f>
        <v>-29.439222659999999</v>
      </c>
      <c r="I360" s="27">
        <f>VLOOKUP($B360,三大法人買賣超!$A$4:$I$500,7,FALSE)</f>
        <v>-6.7758241699999999</v>
      </c>
      <c r="J360" s="27">
        <f>VLOOKUP($B360,三大法人買賣超!$A$4:$I$500,9,FALSE)</f>
        <v>-84.295178780000001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90.228999999999999</v>
      </c>
      <c r="N360" s="27">
        <f>VLOOKUP($B360,外資期貨未平倉口數!$A$4:$M$499,4,FALSE)</f>
        <v>-7163.75</v>
      </c>
      <c r="O360" s="27">
        <f>VLOOKUP($B360,外資期貨未平倉口數!$A$4:$M$499,9,FALSE)</f>
        <v>46082.75</v>
      </c>
      <c r="P360" s="27">
        <f>VLOOKUP($B360,外資期貨未平倉口數!$A$4:$M$499,10,FALSE)</f>
        <v>-7265.75</v>
      </c>
      <c r="Q360" s="27">
        <f>VLOOKUP($B360,外資期貨未平倉口數!$A$4:$M$499,11,FALSE)</f>
        <v>-2267</v>
      </c>
      <c r="R360" s="64">
        <f>VLOOKUP($B360,選擇權未平倉餘額!$A$4:$I$500,6,FALSE)</f>
        <v>-6.4859999999999998</v>
      </c>
      <c r="S360" s="64">
        <f>VLOOKUP($B360,選擇權未平倉餘額!$A$4:$I$500,7,FALSE)</f>
        <v>-78.531499999999994</v>
      </c>
      <c r="T360" s="64">
        <f>VLOOKUP($B360,選擇權未平倉餘額!$A$4:$I$500,8,FALSE)</f>
        <v>16.3384</v>
      </c>
      <c r="U360" s="64">
        <f>VLOOKUP($B360,選擇權未平倉餘額!$A$4:$I$500,9,FALSE)</f>
        <v>109.92189999999999</v>
      </c>
      <c r="V360" s="39">
        <f>VLOOKUP($B360,臺指選擇權P_C_Ratios!$A$4:$C$500,3,FALSE)</f>
        <v>1.3655000000000002</v>
      </c>
      <c r="W360" s="41">
        <f>VLOOKUP($B360,散戶多空比!$A$6:$L$500,12,FALSE)</f>
        <v>7.9688382070678562E-2</v>
      </c>
      <c r="X360" s="40">
        <f>VLOOKUP($B360,期貨大額交易人未沖銷部位!$A$4:$O$499,4,FALSE)</f>
        <v>3172</v>
      </c>
      <c r="Y360" s="40">
        <f>VLOOKUP($B360,期貨大額交易人未沖銷部位!$A$4:$O$499,7,FALSE)</f>
        <v>8342</v>
      </c>
      <c r="Z360" s="40">
        <f>VLOOKUP($B360,期貨大額交易人未沖銷部位!$A$4:$O$499,10,FALSE)</f>
        <v>-1872</v>
      </c>
      <c r="AA360" s="40">
        <f>VLOOKUP($B360,期貨大額交易人未沖銷部位!$A$4:$O$499,13,FALSE)</f>
        <v>6317</v>
      </c>
      <c r="AB360" s="40">
        <f>VLOOKUP($B360,期貨大額交易人未沖銷部位!$A$4:$O$499,14,FALSE)</f>
        <v>-5044</v>
      </c>
      <c r="AC360" s="40">
        <f>VLOOKUP($B360,期貨大額交易人未沖銷部位!$A$4:$O$499,15,FALSE)</f>
        <v>-2025</v>
      </c>
      <c r="AD360" s="33">
        <f>VLOOKUP($B360,三大美股走勢!$A$4:$J$495,4,FALSE)</f>
        <v>-4.1500000000000002E-2</v>
      </c>
      <c r="AE360" s="33">
        <f>VLOOKUP($B360,三大美股走勢!$A$4:$J$495,7,FALSE)</f>
        <v>-3.9E-2</v>
      </c>
      <c r="AF360" s="33">
        <f>VLOOKUP($B360,三大美股走勢!$A$4:$J$495,10,FALSE)</f>
        <v>-2.2000000000000001E-3</v>
      </c>
    </row>
    <row r="361" spans="2:32">
      <c r="B361" s="32">
        <v>43140</v>
      </c>
      <c r="C361" s="33">
        <f>VLOOKUP($B361,大盤與近月台指!$A$4:$I$499,2,FALSE)</f>
        <v>10371.75</v>
      </c>
      <c r="D361" s="34">
        <f>VLOOKUP($B361,大盤與近月台指!$A$4:$I$499,3,FALSE)</f>
        <v>-156.77000000000001</v>
      </c>
      <c r="E361" s="35">
        <f>VLOOKUP($B361,大盤與近月台指!$A$4:$I$499,4,FALSE)</f>
        <v>-1.49E-2</v>
      </c>
      <c r="F361" s="33" t="str">
        <f>VLOOKUP($B361,大盤與近月台指!$A$4:$I$499,5,FALSE)</f>
        <v>1511.73億</v>
      </c>
      <c r="G361" s="49">
        <f>VLOOKUP($B361,三大法人買賣超!$A$4:$I$500,3,FALSE)</f>
        <v>0.66263846000000004</v>
      </c>
      <c r="H361" s="34">
        <f>VLOOKUP($B361,三大法人買賣超!$A$4:$I$500,5,FALSE)</f>
        <v>-0.18940710999999999</v>
      </c>
      <c r="I361" s="27">
        <f>VLOOKUP($B361,三大法人買賣超!$A$4:$I$500,7,FALSE)</f>
        <v>-3.70272829</v>
      </c>
      <c r="J361" s="27">
        <f>VLOOKUP($B361,三大法人買賣超!$A$4:$I$500,9,FALSE)</f>
        <v>-187.79162840999999</v>
      </c>
      <c r="K361" s="37">
        <f>新台幣匯率美元指數!B362</f>
        <v>29.407</v>
      </c>
      <c r="L361" s="38">
        <f>新台幣匯率美元指數!C362</f>
        <v>1.7000000000000001E-2</v>
      </c>
      <c r="M361" s="39">
        <f>新台幣匯率美元指數!D362</f>
        <v>0</v>
      </c>
      <c r="N361" s="27">
        <f>VLOOKUP($B361,外資期貨未平倉口數!$A$4:$M$499,4,FALSE)</f>
        <v>-5117</v>
      </c>
      <c r="O361" s="27">
        <f>VLOOKUP($B361,外資期貨未平倉口數!$A$4:$M$499,9,FALSE)</f>
        <v>42554.25</v>
      </c>
      <c r="P361" s="27">
        <f>VLOOKUP($B361,外資期貨未平倉口數!$A$4:$M$499,10,FALSE)</f>
        <v>-10794.25</v>
      </c>
      <c r="Q361" s="27">
        <f>VLOOKUP($B361,外資期貨未平倉口數!$A$4:$M$499,11,FALSE)</f>
        <v>-3528.5</v>
      </c>
      <c r="R361" s="64">
        <f>VLOOKUP($B361,選擇權未平倉餘額!$A$4:$I$500,6,FALSE)</f>
        <v>-11.7982</v>
      </c>
      <c r="S361" s="64">
        <f>VLOOKUP($B361,選擇權未平倉餘額!$A$4:$I$500,7,FALSE)</f>
        <v>-114.991</v>
      </c>
      <c r="T361" s="64">
        <f>VLOOKUP($B361,選擇權未平倉餘額!$A$4:$I$500,8,FALSE)</f>
        <v>10.9756</v>
      </c>
      <c r="U361" s="64">
        <f>VLOOKUP($B361,選擇權未平倉餘額!$A$4:$I$500,9,FALSE)</f>
        <v>161.86279999999999</v>
      </c>
      <c r="V361" s="39">
        <f>VLOOKUP($B361,臺指選擇權P_C_Ratios!$A$4:$C$500,3,FALSE)</f>
        <v>1.3084</v>
      </c>
      <c r="W361" s="41">
        <f>VLOOKUP($B361,散戶多空比!$A$6:$L$500,12,FALSE)</f>
        <v>0.15349866107812318</v>
      </c>
      <c r="X361" s="40">
        <f>VLOOKUP($B361,期貨大額交易人未沖銷部位!$A$4:$O$499,4,FALSE)</f>
        <v>5022</v>
      </c>
      <c r="Y361" s="40">
        <f>VLOOKUP($B361,期貨大額交易人未沖銷部位!$A$4:$O$499,7,FALSE)</f>
        <v>4907</v>
      </c>
      <c r="Z361" s="40">
        <f>VLOOKUP($B361,期貨大額交易人未沖銷部位!$A$4:$O$499,10,FALSE)</f>
        <v>-7832</v>
      </c>
      <c r="AA361" s="40">
        <f>VLOOKUP($B361,期貨大額交易人未沖銷部位!$A$4:$O$499,13,FALSE)</f>
        <v>3292</v>
      </c>
      <c r="AB361" s="40">
        <f>VLOOKUP($B361,期貨大額交易人未沖銷部位!$A$4:$O$499,14,FALSE)</f>
        <v>-12854</v>
      </c>
      <c r="AC361" s="40">
        <f>VLOOKUP($B361,期貨大額交易人未沖銷部位!$A$4:$O$499,15,FALSE)</f>
        <v>-1615</v>
      </c>
      <c r="AD361" s="33">
        <f>VLOOKUP($B361,三大美股走勢!$A$4:$J$495,4,FALSE)</f>
        <v>1.38E-2</v>
      </c>
      <c r="AE361" s="33">
        <f>VLOOKUP($B361,三大美股走勢!$A$4:$J$495,7,FALSE)</f>
        <v>1.44E-2</v>
      </c>
      <c r="AF361" s="33">
        <f>VLOOKUP($B361,三大美股走勢!$A$4:$J$495,10,FALSE)</f>
        <v>1.6799999999999999E-2</v>
      </c>
    </row>
    <row r="362" spans="2:32">
      <c r="B362" s="32">
        <v>43141</v>
      </c>
      <c r="C362" s="33">
        <f>VLOOKUP($B362,大盤與近月台指!$A$4:$I$499,2,FALSE)</f>
        <v>0</v>
      </c>
      <c r="D362" s="34">
        <f>VLOOKUP($B362,大盤與近月台指!$A$4:$I$499,3,FALSE)</f>
        <v>0</v>
      </c>
      <c r="E362" s="35">
        <f>VLOOKUP($B362,大盤與近月台指!$A$4:$I$499,4,FALSE)</f>
        <v>0</v>
      </c>
      <c r="F362" s="33">
        <f>VLOOKUP($B362,大盤與近月台指!$A$4:$I$499,5,FALSE)</f>
        <v>0</v>
      </c>
      <c r="G362" s="49">
        <f>VLOOKUP($B362,三大法人買賣超!$A$4:$I$500,3,FALSE)</f>
        <v>0</v>
      </c>
      <c r="H362" s="34">
        <f>VLOOKUP($B362,三大法人買賣超!$A$4:$I$500,5,FALSE)</f>
        <v>0</v>
      </c>
      <c r="I362" s="27">
        <f>VLOOKUP($B362,三大法人買賣超!$A$4:$I$500,7,FALSE)</f>
        <v>0</v>
      </c>
      <c r="J362" s="27">
        <f>VLOOKUP($B362,三大法人買賣超!$A$4:$I$500,9,FALSE)</f>
        <v>0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>
        <f>VLOOKUP($B362,外資期貨未平倉口數!$A$4:$M$499,4,FALSE)</f>
        <v>0</v>
      </c>
      <c r="O362" s="27">
        <f>VLOOKUP($B362,外資期貨未平倉口數!$A$4:$M$499,9,FALSE)</f>
        <v>0</v>
      </c>
      <c r="P362" s="27">
        <f>VLOOKUP($B362,外資期貨未平倉口數!$A$4:$M$499,10,FALSE)</f>
        <v>0</v>
      </c>
      <c r="Q362" s="27">
        <f>VLOOKUP($B362,外資期貨未平倉口數!$A$4:$M$499,11,FALSE)</f>
        <v>0</v>
      </c>
      <c r="R362" s="64">
        <f>VLOOKUP($B362,選擇權未平倉餘額!$A$4:$I$500,6,FALSE)</f>
        <v>0</v>
      </c>
      <c r="S362" s="64">
        <f>VLOOKUP($B362,選擇權未平倉餘額!$A$4:$I$500,7,FALSE)</f>
        <v>0</v>
      </c>
      <c r="T362" s="64">
        <f>VLOOKUP($B362,選擇權未平倉餘額!$A$4:$I$500,8,FALSE)</f>
        <v>0</v>
      </c>
      <c r="U362" s="64">
        <f>VLOOKUP($B362,選擇權未平倉餘額!$A$4:$I$500,9,FALSE)</f>
        <v>0</v>
      </c>
      <c r="V362" s="39">
        <f>VLOOKUP($B362,臺指選擇權P_C_Ratios!$A$4:$C$500,3,FALSE)</f>
        <v>0</v>
      </c>
      <c r="W362" s="41">
        <f>VLOOKUP($B362,散戶多空比!$A$6:$L$500,12,FALSE)</f>
        <v>0</v>
      </c>
      <c r="X362" s="40">
        <f>VLOOKUP($B362,期貨大額交易人未沖銷部位!$A$4:$O$499,4,FALSE)</f>
        <v>0</v>
      </c>
      <c r="Y362" s="40">
        <f>VLOOKUP($B362,期貨大額交易人未沖銷部位!$A$4:$O$499,7,FALSE)</f>
        <v>0</v>
      </c>
      <c r="Z362" s="40">
        <f>VLOOKUP($B362,期貨大額交易人未沖銷部位!$A$4:$O$499,10,FALSE)</f>
        <v>0</v>
      </c>
      <c r="AA362" s="40">
        <f>VLOOKUP($B362,期貨大額交易人未沖銷部位!$A$4:$O$499,13,FALSE)</f>
        <v>0</v>
      </c>
      <c r="AB362" s="40">
        <f>VLOOKUP($B362,期貨大額交易人未沖銷部位!$A$4:$O$499,14,FALSE)</f>
        <v>0</v>
      </c>
      <c r="AC362" s="40">
        <f>VLOOKUP($B362,期貨大額交易人未沖銷部位!$A$4:$O$499,15,FALSE)</f>
        <v>0</v>
      </c>
      <c r="AD362" s="33">
        <f>VLOOKUP($B362,三大美股走勢!$A$4:$J$495,4,FALSE)</f>
        <v>0</v>
      </c>
      <c r="AE362" s="33">
        <f>VLOOKUP($B362,三大美股走勢!$A$4:$J$495,7,FALSE)</f>
        <v>0</v>
      </c>
      <c r="AF362" s="33">
        <f>VLOOKUP($B362,三大美股走勢!$A$4:$J$495,10,FALSE)</f>
        <v>0</v>
      </c>
    </row>
    <row r="363" spans="2:32">
      <c r="B363" s="32">
        <v>43142</v>
      </c>
      <c r="C363" s="33">
        <f>VLOOKUP($B363,大盤與近月台指!$A$4:$I$499,2,FALSE)</f>
        <v>0</v>
      </c>
      <c r="D363" s="34">
        <f>VLOOKUP($B363,大盤與近月台指!$A$4:$I$499,3,FALSE)</f>
        <v>0</v>
      </c>
      <c r="E363" s="35">
        <f>VLOOKUP($B363,大盤與近月台指!$A$4:$I$499,4,FALSE)</f>
        <v>0</v>
      </c>
      <c r="F363" s="33">
        <f>VLOOKUP($B363,大盤與近月台指!$A$4:$I$499,5,FALSE)</f>
        <v>0</v>
      </c>
      <c r="G363" s="49">
        <f>VLOOKUP($B363,三大法人買賣超!$A$4:$I$500,3,FALSE)</f>
        <v>0</v>
      </c>
      <c r="H363" s="34">
        <f>VLOOKUP($B363,三大法人買賣超!$A$4:$I$500,5,FALSE)</f>
        <v>0</v>
      </c>
      <c r="I363" s="27">
        <f>VLOOKUP($B363,三大法人買賣超!$A$4:$I$500,7,FALSE)</f>
        <v>0</v>
      </c>
      <c r="J363" s="27">
        <f>VLOOKUP($B363,三大法人買賣超!$A$4:$I$500,9,FALSE)</f>
        <v>0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>
        <f>VLOOKUP($B363,外資期貨未平倉口數!$A$4:$M$499,4,FALSE)</f>
        <v>0</v>
      </c>
      <c r="O363" s="27">
        <f>VLOOKUP($B363,外資期貨未平倉口數!$A$4:$M$499,9,FALSE)</f>
        <v>0</v>
      </c>
      <c r="P363" s="27">
        <f>VLOOKUP($B363,外資期貨未平倉口數!$A$4:$M$499,10,FALSE)</f>
        <v>0</v>
      </c>
      <c r="Q363" s="27">
        <f>VLOOKUP($B363,外資期貨未平倉口數!$A$4:$M$499,11,FALSE)</f>
        <v>0</v>
      </c>
      <c r="R363" s="64">
        <f>VLOOKUP($B363,選擇權未平倉餘額!$A$4:$I$500,6,FALSE)</f>
        <v>0</v>
      </c>
      <c r="S363" s="64">
        <f>VLOOKUP($B363,選擇權未平倉餘額!$A$4:$I$500,7,FALSE)</f>
        <v>0</v>
      </c>
      <c r="T363" s="64">
        <f>VLOOKUP($B363,選擇權未平倉餘額!$A$4:$I$500,8,FALSE)</f>
        <v>0</v>
      </c>
      <c r="U363" s="64">
        <f>VLOOKUP($B363,選擇權未平倉餘額!$A$4:$I$500,9,FALSE)</f>
        <v>0</v>
      </c>
      <c r="V363" s="39">
        <f>VLOOKUP($B363,臺指選擇權P_C_Ratios!$A$4:$C$500,3,FALSE)</f>
        <v>0</v>
      </c>
      <c r="W363" s="41">
        <f>VLOOKUP($B363,散戶多空比!$A$6:$L$500,12,FALSE)</f>
        <v>0</v>
      </c>
      <c r="X363" s="40">
        <f>VLOOKUP($B363,期貨大額交易人未沖銷部位!$A$4:$O$499,4,FALSE)</f>
        <v>0</v>
      </c>
      <c r="Y363" s="40">
        <f>VLOOKUP($B363,期貨大額交易人未沖銷部位!$A$4:$O$499,7,FALSE)</f>
        <v>0</v>
      </c>
      <c r="Z363" s="40">
        <f>VLOOKUP($B363,期貨大額交易人未沖銷部位!$A$4:$O$499,10,FALSE)</f>
        <v>0</v>
      </c>
      <c r="AA363" s="40">
        <f>VLOOKUP($B363,期貨大額交易人未沖銷部位!$A$4:$O$499,13,FALSE)</f>
        <v>0</v>
      </c>
      <c r="AB363" s="40">
        <f>VLOOKUP($B363,期貨大額交易人未沖銷部位!$A$4:$O$499,14,FALSE)</f>
        <v>0</v>
      </c>
      <c r="AC363" s="40">
        <f>VLOOKUP($B363,期貨大額交易人未沖銷部位!$A$4:$O$499,15,FALSE)</f>
        <v>0</v>
      </c>
      <c r="AD363" s="33">
        <f>VLOOKUP($B363,三大美股走勢!$A$4:$J$495,4,FALSE)</f>
        <v>0</v>
      </c>
      <c r="AE363" s="33">
        <f>VLOOKUP($B363,三大美股走勢!$A$4:$J$495,7,FALSE)</f>
        <v>0</v>
      </c>
      <c r="AF363" s="33">
        <f>VLOOKUP($B363,三大美股走勢!$A$4:$J$495,10,FALSE)</f>
        <v>0</v>
      </c>
    </row>
    <row r="364" spans="2:32">
      <c r="B364" s="32">
        <v>43143</v>
      </c>
      <c r="C364" s="33">
        <f>VLOOKUP($B364,大盤與近月台指!$A$4:$I$499,2,FALSE)</f>
        <v>0</v>
      </c>
      <c r="D364" s="34">
        <f>VLOOKUP($B364,大盤與近月台指!$A$4:$I$499,3,FALSE)</f>
        <v>0</v>
      </c>
      <c r="E364" s="35">
        <f>VLOOKUP($B364,大盤與近月台指!$A$4:$I$499,4,FALSE)</f>
        <v>0</v>
      </c>
      <c r="F364" s="33">
        <f>VLOOKUP($B364,大盤與近月台指!$A$4:$I$499,5,FALSE)</f>
        <v>0</v>
      </c>
      <c r="G364" s="49">
        <f>VLOOKUP($B364,三大法人買賣超!$A$4:$I$500,3,FALSE)</f>
        <v>-0.60268449000000002</v>
      </c>
      <c r="H364" s="34">
        <f>VLOOKUP($B364,三大法人買賣超!$A$4:$I$500,5,FALSE)</f>
        <v>-7.2169419599999998</v>
      </c>
      <c r="I364" s="27">
        <f>VLOOKUP($B364,三大法人買賣超!$A$4:$I$500,7,FALSE)</f>
        <v>2.9369828199999999</v>
      </c>
      <c r="J364" s="27">
        <f>VLOOKUP($B364,三大法人買賣超!$A$4:$I$500,9,FALSE)</f>
        <v>-193.77018634000001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>
        <f>VLOOKUP($B364,外資期貨未平倉口數!$A$4:$M$499,4,FALSE)</f>
        <v>-3744.75</v>
      </c>
      <c r="O364" s="27">
        <f>VLOOKUP($B364,外資期貨未平倉口數!$A$4:$M$499,9,FALSE)</f>
        <v>42464.75</v>
      </c>
      <c r="P364" s="27">
        <f>VLOOKUP($B364,外資期貨未平倉口數!$A$4:$M$499,10,FALSE)</f>
        <v>-10707.5</v>
      </c>
      <c r="Q364" s="27">
        <f>VLOOKUP($B364,外資期貨未平倉口數!$A$4:$M$499,11,FALSE)</f>
        <v>-89.5</v>
      </c>
      <c r="R364" s="64">
        <f>VLOOKUP($B364,選擇權未平倉餘額!$A$4:$I$500,6,FALSE)</f>
        <v>-13.2569</v>
      </c>
      <c r="S364" s="64">
        <f>VLOOKUP($B364,選擇權未平倉餘額!$A$4:$I$500,7,FALSE)</f>
        <v>-93.055199999999999</v>
      </c>
      <c r="T364" s="64">
        <f>VLOOKUP($B364,選擇權未平倉餘額!$A$4:$I$500,8,FALSE)</f>
        <v>6.5308999999999999</v>
      </c>
      <c r="U364" s="64">
        <f>VLOOKUP($B364,選擇權未平倉餘額!$A$4:$I$500,9,FALSE)</f>
        <v>130.4657</v>
      </c>
      <c r="V364" s="39">
        <f>VLOOKUP($B364,臺指選擇權P_C_Ratios!$A$4:$C$500,3,FALSE)</f>
        <v>1.2934000000000001</v>
      </c>
      <c r="W364" s="41">
        <f>VLOOKUP($B364,散戶多空比!$A$6:$L$500,12,FALSE)</f>
        <v>0.15084301236418135</v>
      </c>
      <c r="X364" s="40">
        <f>VLOOKUP($B364,期貨大額交易人未沖銷部位!$A$4:$O$499,4,FALSE)</f>
        <v>4132</v>
      </c>
      <c r="Y364" s="40">
        <f>VLOOKUP($B364,期貨大額交易人未沖銷部位!$A$4:$O$499,7,FALSE)</f>
        <v>2565</v>
      </c>
      <c r="Z364" s="40">
        <f>VLOOKUP($B364,期貨大額交易人未沖銷部位!$A$4:$O$499,10,FALSE)</f>
        <v>-3368</v>
      </c>
      <c r="AA364" s="40">
        <f>VLOOKUP($B364,期貨大額交易人未沖銷部位!$A$4:$O$499,13,FALSE)</f>
        <v>6254</v>
      </c>
      <c r="AB364" s="40">
        <f>VLOOKUP($B364,期貨大額交易人未沖銷部位!$A$4:$O$499,14,FALSE)</f>
        <v>-7500</v>
      </c>
      <c r="AC364" s="40">
        <f>VLOOKUP($B364,期貨大額交易人未沖銷部位!$A$4:$O$499,15,FALSE)</f>
        <v>3689</v>
      </c>
      <c r="AD364" s="33">
        <f>VLOOKUP($B364,三大美股走勢!$A$4:$J$495,4,FALSE)</f>
        <v>1.7000000000000001E-2</v>
      </c>
      <c r="AE364" s="33">
        <f>VLOOKUP($B364,三大美股走勢!$A$4:$J$495,7,FALSE)</f>
        <v>1.5599999999999999E-2</v>
      </c>
      <c r="AF364" s="33">
        <f>VLOOKUP($B364,三大美股走勢!$A$4:$J$495,10,FALSE)</f>
        <v>1.8599999999999998E-2</v>
      </c>
    </row>
    <row r="365" spans="2:32">
      <c r="B365" s="32">
        <v>43144</v>
      </c>
      <c r="C365" s="33">
        <f>VLOOKUP($B365,大盤與近月台指!$A$4:$I$499,2,FALSE)</f>
        <v>0</v>
      </c>
      <c r="D365" s="34">
        <f>VLOOKUP($B365,大盤與近月台指!$A$4:$I$499,3,FALSE)</f>
        <v>0</v>
      </c>
      <c r="E365" s="35">
        <f>VLOOKUP($B365,大盤與近月台指!$A$4:$I$499,4,FALSE)</f>
        <v>0</v>
      </c>
      <c r="F365" s="33">
        <f>VLOOKUP($B365,大盤與近月台指!$A$4:$I$499,5,FALSE)</f>
        <v>0</v>
      </c>
      <c r="G365" s="49">
        <f>VLOOKUP($B365,三大法人買賣超!$A$4:$I$500,3,FALSE)</f>
        <v>0</v>
      </c>
      <c r="H365" s="34">
        <f>VLOOKUP($B365,三大法人買賣超!$A$4:$I$500,5,FALSE)</f>
        <v>0</v>
      </c>
      <c r="I365" s="27">
        <f>VLOOKUP($B365,三大法人買賣超!$A$4:$I$500,7,FALSE)</f>
        <v>0</v>
      </c>
      <c r="J365" s="27">
        <f>VLOOKUP($B365,三大法人買賣超!$A$4:$I$500,9,FALSE)</f>
        <v>0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>
        <f>VLOOKUP($B365,外資期貨未平倉口數!$A$4:$M$499,4,FALSE)</f>
        <v>0</v>
      </c>
      <c r="O365" s="27">
        <f>VLOOKUP($B365,外資期貨未平倉口數!$A$4:$M$499,9,FALSE)</f>
        <v>0</v>
      </c>
      <c r="P365" s="27">
        <f>VLOOKUP($B365,外資期貨未平倉口數!$A$4:$M$499,10,FALSE)</f>
        <v>0</v>
      </c>
      <c r="Q365" s="27">
        <f>VLOOKUP($B365,外資期貨未平倉口數!$A$4:$M$499,11,FALSE)</f>
        <v>0</v>
      </c>
      <c r="R365" s="64">
        <f>VLOOKUP($B365,選擇權未平倉餘額!$A$4:$I$500,6,FALSE)</f>
        <v>0</v>
      </c>
      <c r="S365" s="64">
        <f>VLOOKUP($B365,選擇權未平倉餘額!$A$4:$I$500,7,FALSE)</f>
        <v>0</v>
      </c>
      <c r="T365" s="64">
        <f>VLOOKUP($B365,選擇權未平倉餘額!$A$4:$I$500,8,FALSE)</f>
        <v>0</v>
      </c>
      <c r="U365" s="64">
        <f>VLOOKUP($B365,選擇權未平倉餘額!$A$4:$I$500,9,FALSE)</f>
        <v>0</v>
      </c>
      <c r="V365" s="39">
        <f>VLOOKUP($B365,臺指選擇權P_C_Ratios!$A$4:$C$500,3,FALSE)</f>
        <v>0</v>
      </c>
      <c r="W365" s="41">
        <f>VLOOKUP($B365,散戶多空比!$A$6:$L$500,12,FALSE)</f>
        <v>0</v>
      </c>
      <c r="X365" s="40">
        <f>VLOOKUP($B365,期貨大額交易人未沖銷部位!$A$4:$O$499,4,FALSE)</f>
        <v>0</v>
      </c>
      <c r="Y365" s="40">
        <f>VLOOKUP($B365,期貨大額交易人未沖銷部位!$A$4:$O$499,7,FALSE)</f>
        <v>0</v>
      </c>
      <c r="Z365" s="40">
        <f>VLOOKUP($B365,期貨大額交易人未沖銷部位!$A$4:$O$499,10,FALSE)</f>
        <v>0</v>
      </c>
      <c r="AA365" s="40">
        <f>VLOOKUP($B365,期貨大額交易人未沖銷部位!$A$4:$O$499,13,FALSE)</f>
        <v>0</v>
      </c>
      <c r="AB365" s="40">
        <f>VLOOKUP($B365,期貨大額交易人未沖銷部位!$A$4:$O$499,14,FALSE)</f>
        <v>0</v>
      </c>
      <c r="AC365" s="40">
        <f>VLOOKUP($B365,期貨大額交易人未沖銷部位!$A$4:$O$499,15,FALSE)</f>
        <v>0</v>
      </c>
      <c r="AD365" s="33">
        <f>VLOOKUP($B365,三大美股走勢!$A$4:$J$495,4,FALSE)</f>
        <v>1.6000000000000001E-3</v>
      </c>
      <c r="AE365" s="33">
        <f>VLOOKUP($B365,三大美股走勢!$A$4:$J$495,7,FALSE)</f>
        <v>4.4999999999999997E-3</v>
      </c>
      <c r="AF365" s="33">
        <f>VLOOKUP($B365,三大美股走勢!$A$4:$J$495,10,FALSE)</f>
        <v>-5.0000000000000001E-4</v>
      </c>
    </row>
    <row r="366" spans="2:32">
      <c r="B366" s="32">
        <v>43145</v>
      </c>
      <c r="C366" s="33">
        <f>VLOOKUP($B366,大盤與近月台指!$A$4:$I$499,2,FALSE)</f>
        <v>0</v>
      </c>
      <c r="D366" s="34">
        <f>VLOOKUP($B366,大盤與近月台指!$A$4:$I$499,3,FALSE)</f>
        <v>0</v>
      </c>
      <c r="E366" s="35">
        <f>VLOOKUP($B366,大盤與近月台指!$A$4:$I$499,4,FALSE)</f>
        <v>0</v>
      </c>
      <c r="F366" s="33">
        <f>VLOOKUP($B366,大盤與近月台指!$A$4:$I$499,5,FALSE)</f>
        <v>0</v>
      </c>
      <c r="G366" s="49">
        <f>VLOOKUP($B366,三大法人買賣超!$A$4:$I$500,3,FALSE)</f>
        <v>0</v>
      </c>
      <c r="H366" s="34">
        <f>VLOOKUP($B366,三大法人買賣超!$A$4:$I$500,5,FALSE)</f>
        <v>0</v>
      </c>
      <c r="I366" s="27">
        <f>VLOOKUP($B366,三大法人買賣超!$A$4:$I$500,7,FALSE)</f>
        <v>0</v>
      </c>
      <c r="J366" s="27">
        <f>VLOOKUP($B366,三大法人買賣超!$A$4:$I$500,9,FALSE)</f>
        <v>0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>
        <f>VLOOKUP($B366,外資期貨未平倉口數!$A$4:$M$499,4,FALSE)</f>
        <v>0</v>
      </c>
      <c r="O366" s="27">
        <f>VLOOKUP($B366,外資期貨未平倉口數!$A$4:$M$499,9,FALSE)</f>
        <v>0</v>
      </c>
      <c r="P366" s="27">
        <f>VLOOKUP($B366,外資期貨未平倉口數!$A$4:$M$499,10,FALSE)</f>
        <v>0</v>
      </c>
      <c r="Q366" s="27">
        <f>VLOOKUP($B366,外資期貨未平倉口數!$A$4:$M$499,11,FALSE)</f>
        <v>0</v>
      </c>
      <c r="R366" s="64">
        <f>VLOOKUP($B366,選擇權未平倉餘額!$A$4:$I$500,6,FALSE)</f>
        <v>0</v>
      </c>
      <c r="S366" s="64">
        <f>VLOOKUP($B366,選擇權未平倉餘額!$A$4:$I$500,7,FALSE)</f>
        <v>0</v>
      </c>
      <c r="T366" s="64">
        <f>VLOOKUP($B366,選擇權未平倉餘額!$A$4:$I$500,8,FALSE)</f>
        <v>0</v>
      </c>
      <c r="U366" s="64">
        <f>VLOOKUP($B366,選擇權未平倉餘額!$A$4:$I$500,9,FALSE)</f>
        <v>0</v>
      </c>
      <c r="V366" s="39">
        <f>VLOOKUP($B366,臺指選擇權P_C_Ratios!$A$4:$C$500,3,FALSE)</f>
        <v>0</v>
      </c>
      <c r="W366" s="41">
        <f>VLOOKUP($B366,散戶多空比!$A$6:$L$500,12,FALSE)</f>
        <v>0</v>
      </c>
      <c r="X366" s="40">
        <f>VLOOKUP($B366,期貨大額交易人未沖銷部位!$A$4:$O$499,4,FALSE)</f>
        <v>0</v>
      </c>
      <c r="Y366" s="40">
        <f>VLOOKUP($B366,期貨大額交易人未沖銷部位!$A$4:$O$499,7,FALSE)</f>
        <v>0</v>
      </c>
      <c r="Z366" s="40">
        <f>VLOOKUP($B366,期貨大額交易人未沖銷部位!$A$4:$O$499,10,FALSE)</f>
        <v>0</v>
      </c>
      <c r="AA366" s="40">
        <f>VLOOKUP($B366,期貨大額交易人未沖銷部位!$A$4:$O$499,13,FALSE)</f>
        <v>0</v>
      </c>
      <c r="AB366" s="40">
        <f>VLOOKUP($B366,期貨大額交易人未沖銷部位!$A$4:$O$499,14,FALSE)</f>
        <v>0</v>
      </c>
      <c r="AC366" s="40">
        <f>VLOOKUP($B366,期貨大額交易人未沖銷部位!$A$4:$O$499,15,FALSE)</f>
        <v>0</v>
      </c>
      <c r="AD366" s="33">
        <f>VLOOKUP($B366,三大美股走勢!$A$4:$J$495,4,FALSE)</f>
        <v>1.03E-2</v>
      </c>
      <c r="AE366" s="33">
        <f>VLOOKUP($B366,三大美股走勢!$A$4:$J$495,7,FALSE)</f>
        <v>1.8599999999999998E-2</v>
      </c>
      <c r="AF366" s="33">
        <f>VLOOKUP($B366,三大美股走勢!$A$4:$J$495,10,FALSE)</f>
        <v>-5.0000000000000001E-4</v>
      </c>
    </row>
    <row r="367" spans="2:32">
      <c r="B367" s="32">
        <v>43146</v>
      </c>
      <c r="C367" s="33">
        <f>VLOOKUP($B367,大盤與近月台指!$A$4:$I$499,2,FALSE)</f>
        <v>0</v>
      </c>
      <c r="D367" s="34">
        <f>VLOOKUP($B367,大盤與近月台指!$A$4:$I$499,3,FALSE)</f>
        <v>0</v>
      </c>
      <c r="E367" s="35">
        <f>VLOOKUP($B367,大盤與近月台指!$A$4:$I$499,4,FALSE)</f>
        <v>0</v>
      </c>
      <c r="F367" s="33">
        <f>VLOOKUP($B367,大盤與近月台指!$A$4:$I$499,5,FALSE)</f>
        <v>0</v>
      </c>
      <c r="G367" s="49">
        <f>VLOOKUP($B367,三大法人買賣超!$A$4:$I$500,3,FALSE)</f>
        <v>0</v>
      </c>
      <c r="H367" s="34">
        <f>VLOOKUP($B367,三大法人買賣超!$A$4:$I$500,5,FALSE)</f>
        <v>0</v>
      </c>
      <c r="I367" s="27">
        <f>VLOOKUP($B367,三大法人買賣超!$A$4:$I$500,7,FALSE)</f>
        <v>0</v>
      </c>
      <c r="J367" s="27">
        <f>VLOOKUP($B367,三大法人買賣超!$A$4:$I$500,9,FALSE)</f>
        <v>0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>
        <f>VLOOKUP($B367,外資期貨未平倉口數!$A$4:$M$499,4,FALSE)</f>
        <v>0</v>
      </c>
      <c r="O367" s="27">
        <f>VLOOKUP($B367,外資期貨未平倉口數!$A$4:$M$499,9,FALSE)</f>
        <v>0</v>
      </c>
      <c r="P367" s="27">
        <f>VLOOKUP($B367,外資期貨未平倉口數!$A$4:$M$499,10,FALSE)</f>
        <v>0</v>
      </c>
      <c r="Q367" s="27">
        <f>VLOOKUP($B367,外資期貨未平倉口數!$A$4:$M$499,11,FALSE)</f>
        <v>0</v>
      </c>
      <c r="R367" s="64">
        <f>VLOOKUP($B367,選擇權未平倉餘額!$A$4:$I$500,6,FALSE)</f>
        <v>0</v>
      </c>
      <c r="S367" s="64">
        <f>VLOOKUP($B367,選擇權未平倉餘額!$A$4:$I$500,7,FALSE)</f>
        <v>0</v>
      </c>
      <c r="T367" s="64">
        <f>VLOOKUP($B367,選擇權未平倉餘額!$A$4:$I$500,8,FALSE)</f>
        <v>0</v>
      </c>
      <c r="U367" s="64">
        <f>VLOOKUP($B367,選擇權未平倉餘額!$A$4:$I$500,9,FALSE)</f>
        <v>0</v>
      </c>
      <c r="V367" s="39">
        <f>VLOOKUP($B367,臺指選擇權P_C_Ratios!$A$4:$C$500,3,FALSE)</f>
        <v>0</v>
      </c>
      <c r="W367" s="41">
        <f>VLOOKUP($B367,散戶多空比!$A$6:$L$500,12,FALSE)</f>
        <v>0</v>
      </c>
      <c r="X367" s="40">
        <f>VLOOKUP($B367,期貨大額交易人未沖銷部位!$A$4:$O$499,4,FALSE)</f>
        <v>0</v>
      </c>
      <c r="Y367" s="40">
        <f>VLOOKUP($B367,期貨大額交易人未沖銷部位!$A$4:$O$499,7,FALSE)</f>
        <v>0</v>
      </c>
      <c r="Z367" s="40">
        <f>VLOOKUP($B367,期貨大額交易人未沖銷部位!$A$4:$O$499,10,FALSE)</f>
        <v>0</v>
      </c>
      <c r="AA367" s="40">
        <f>VLOOKUP($B367,期貨大額交易人未沖銷部位!$A$4:$O$499,13,FALSE)</f>
        <v>0</v>
      </c>
      <c r="AB367" s="40">
        <f>VLOOKUP($B367,期貨大額交易人未沖銷部位!$A$4:$O$499,14,FALSE)</f>
        <v>0</v>
      </c>
      <c r="AC367" s="40">
        <f>VLOOKUP($B367,期貨大額交易人未沖銷部位!$A$4:$O$499,15,FALSE)</f>
        <v>0</v>
      </c>
      <c r="AD367" s="33">
        <f>VLOOKUP($B367,三大美股走勢!$A$4:$J$495,4,FALSE)</f>
        <v>1.23E-2</v>
      </c>
      <c r="AE367" s="33">
        <f>VLOOKUP($B367,三大美股走勢!$A$4:$J$495,7,FALSE)</f>
        <v>1.5800000000000002E-2</v>
      </c>
      <c r="AF367" s="33">
        <f>VLOOKUP($B367,三大美股走勢!$A$4:$J$495,10,FALSE)</f>
        <v>1.2200000000000001E-2</v>
      </c>
    </row>
    <row r="368" spans="2:32">
      <c r="B368" s="32">
        <v>43147</v>
      </c>
      <c r="C368" s="33">
        <f>VLOOKUP($B368,大盤與近月台指!$A$4:$I$499,2,FALSE)</f>
        <v>0</v>
      </c>
      <c r="D368" s="34">
        <f>VLOOKUP($B368,大盤與近月台指!$A$4:$I$499,3,FALSE)</f>
        <v>0</v>
      </c>
      <c r="E368" s="35">
        <f>VLOOKUP($B368,大盤與近月台指!$A$4:$I$499,4,FALSE)</f>
        <v>0</v>
      </c>
      <c r="F368" s="33">
        <f>VLOOKUP($B368,大盤與近月台指!$A$4:$I$499,5,FALSE)</f>
        <v>0</v>
      </c>
      <c r="G368" s="49">
        <f>VLOOKUP($B368,三大法人買賣超!$A$4:$I$500,3,FALSE)</f>
        <v>0</v>
      </c>
      <c r="H368" s="34">
        <f>VLOOKUP($B368,三大法人買賣超!$A$4:$I$500,5,FALSE)</f>
        <v>0</v>
      </c>
      <c r="I368" s="27">
        <f>VLOOKUP($B368,三大法人買賣超!$A$4:$I$500,7,FALSE)</f>
        <v>0</v>
      </c>
      <c r="J368" s="27">
        <f>VLOOKUP($B368,三大法人買賣超!$A$4:$I$500,9,FALSE)</f>
        <v>0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>
        <f>VLOOKUP($B368,外資期貨未平倉口數!$A$4:$M$499,4,FALSE)</f>
        <v>0</v>
      </c>
      <c r="O368" s="27">
        <f>VLOOKUP($B368,外資期貨未平倉口數!$A$4:$M$499,9,FALSE)</f>
        <v>0</v>
      </c>
      <c r="P368" s="27">
        <f>VLOOKUP($B368,外資期貨未平倉口數!$A$4:$M$499,10,FALSE)</f>
        <v>0</v>
      </c>
      <c r="Q368" s="27">
        <f>VLOOKUP($B368,外資期貨未平倉口數!$A$4:$M$499,11,FALSE)</f>
        <v>0</v>
      </c>
      <c r="R368" s="64">
        <f>VLOOKUP($B368,選擇權未平倉餘額!$A$4:$I$500,6,FALSE)</f>
        <v>0</v>
      </c>
      <c r="S368" s="64">
        <f>VLOOKUP($B368,選擇權未平倉餘額!$A$4:$I$500,7,FALSE)</f>
        <v>0</v>
      </c>
      <c r="T368" s="64">
        <f>VLOOKUP($B368,選擇權未平倉餘額!$A$4:$I$500,8,FALSE)</f>
        <v>0</v>
      </c>
      <c r="U368" s="64">
        <f>VLOOKUP($B368,選擇權未平倉餘額!$A$4:$I$500,9,FALSE)</f>
        <v>0</v>
      </c>
      <c r="V368" s="39">
        <f>VLOOKUP($B368,臺指選擇權P_C_Ratios!$A$4:$C$500,3,FALSE)</f>
        <v>0</v>
      </c>
      <c r="W368" s="41">
        <f>VLOOKUP($B368,散戶多空比!$A$6:$L$500,12,FALSE)</f>
        <v>0</v>
      </c>
      <c r="X368" s="40">
        <f>VLOOKUP($B368,期貨大額交易人未沖銷部位!$A$4:$O$499,4,FALSE)</f>
        <v>0</v>
      </c>
      <c r="Y368" s="40">
        <f>VLOOKUP($B368,期貨大額交易人未沖銷部位!$A$4:$O$499,7,FALSE)</f>
        <v>0</v>
      </c>
      <c r="Z368" s="40">
        <f>VLOOKUP($B368,期貨大額交易人未沖銷部位!$A$4:$O$499,10,FALSE)</f>
        <v>0</v>
      </c>
      <c r="AA368" s="40">
        <f>VLOOKUP($B368,期貨大額交易人未沖銷部位!$A$4:$O$499,13,FALSE)</f>
        <v>0</v>
      </c>
      <c r="AB368" s="40">
        <f>VLOOKUP($B368,期貨大額交易人未沖銷部位!$A$4:$O$499,14,FALSE)</f>
        <v>0</v>
      </c>
      <c r="AC368" s="40">
        <f>VLOOKUP($B368,期貨大額交易人未沖銷部位!$A$4:$O$499,15,FALSE)</f>
        <v>0</v>
      </c>
      <c r="AD368" s="33">
        <f>VLOOKUP($B368,三大美股走勢!$A$4:$J$495,4,FALSE)</f>
        <v>8.0000000000000004E-4</v>
      </c>
      <c r="AE368" s="33">
        <f>VLOOKUP($B368,三大美股走勢!$A$4:$J$495,7,FALSE)</f>
        <v>-2.3E-3</v>
      </c>
      <c r="AF368" s="33">
        <f>VLOOKUP($B368,三大美股走勢!$A$4:$J$495,10,FALSE)</f>
        <v>6.6E-3</v>
      </c>
    </row>
    <row r="369" spans="2:32">
      <c r="B369" s="32">
        <v>43148</v>
      </c>
      <c r="C369" s="33">
        <f>VLOOKUP($B369,大盤與近月台指!$A$4:$I$499,2,FALSE)</f>
        <v>0</v>
      </c>
      <c r="D369" s="34">
        <f>VLOOKUP($B369,大盤與近月台指!$A$4:$I$499,3,FALSE)</f>
        <v>0</v>
      </c>
      <c r="E369" s="35">
        <f>VLOOKUP($B369,大盤與近月台指!$A$4:$I$499,4,FALSE)</f>
        <v>0</v>
      </c>
      <c r="F369" s="33">
        <f>VLOOKUP($B369,大盤與近月台指!$A$4:$I$499,5,FALSE)</f>
        <v>0</v>
      </c>
      <c r="G369" s="49">
        <f>VLOOKUP($B369,三大法人買賣超!$A$4:$I$500,3,FALSE)</f>
        <v>0</v>
      </c>
      <c r="H369" s="34">
        <f>VLOOKUP($B369,三大法人買賣超!$A$4:$I$500,5,FALSE)</f>
        <v>0</v>
      </c>
      <c r="I369" s="27">
        <f>VLOOKUP($B369,三大法人買賣超!$A$4:$I$500,7,FALSE)</f>
        <v>0</v>
      </c>
      <c r="J369" s="27">
        <f>VLOOKUP($B369,三大法人買賣超!$A$4:$I$500,9,FALSE)</f>
        <v>0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>
        <f>VLOOKUP($B369,外資期貨未平倉口數!$A$4:$M$499,4,FALSE)</f>
        <v>0</v>
      </c>
      <c r="O369" s="27">
        <f>VLOOKUP($B369,外資期貨未平倉口數!$A$4:$M$499,9,FALSE)</f>
        <v>0</v>
      </c>
      <c r="P369" s="27">
        <f>VLOOKUP($B369,外資期貨未平倉口數!$A$4:$M$499,10,FALSE)</f>
        <v>0</v>
      </c>
      <c r="Q369" s="27">
        <f>VLOOKUP($B369,外資期貨未平倉口數!$A$4:$M$499,11,FALSE)</f>
        <v>0</v>
      </c>
      <c r="R369" s="64">
        <f>VLOOKUP($B369,選擇權未平倉餘額!$A$4:$I$500,6,FALSE)</f>
        <v>0</v>
      </c>
      <c r="S369" s="64">
        <f>VLOOKUP($B369,選擇權未平倉餘額!$A$4:$I$500,7,FALSE)</f>
        <v>0</v>
      </c>
      <c r="T369" s="64">
        <f>VLOOKUP($B369,選擇權未平倉餘額!$A$4:$I$500,8,FALSE)</f>
        <v>0</v>
      </c>
      <c r="U369" s="64">
        <f>VLOOKUP($B369,選擇權未平倉餘額!$A$4:$I$500,9,FALSE)</f>
        <v>0</v>
      </c>
      <c r="V369" s="39">
        <f>VLOOKUP($B369,臺指選擇權P_C_Ratios!$A$4:$C$500,3,FALSE)</f>
        <v>0</v>
      </c>
      <c r="W369" s="41">
        <f>VLOOKUP($B369,散戶多空比!$A$6:$L$500,12,FALSE)</f>
        <v>0</v>
      </c>
      <c r="X369" s="40">
        <f>VLOOKUP($B369,期貨大額交易人未沖銷部位!$A$4:$O$499,4,FALSE)</f>
        <v>0</v>
      </c>
      <c r="Y369" s="40">
        <f>VLOOKUP($B369,期貨大額交易人未沖銷部位!$A$4:$O$499,7,FALSE)</f>
        <v>0</v>
      </c>
      <c r="Z369" s="40">
        <f>VLOOKUP($B369,期貨大額交易人未沖銷部位!$A$4:$O$499,10,FALSE)</f>
        <v>0</v>
      </c>
      <c r="AA369" s="40">
        <f>VLOOKUP($B369,期貨大額交易人未沖銷部位!$A$4:$O$499,13,FALSE)</f>
        <v>0</v>
      </c>
      <c r="AB369" s="40">
        <f>VLOOKUP($B369,期貨大額交易人未沖銷部位!$A$4:$O$499,14,FALSE)</f>
        <v>0</v>
      </c>
      <c r="AC369" s="40">
        <f>VLOOKUP($B369,期貨大額交易人未沖銷部位!$A$4:$O$499,15,FALSE)</f>
        <v>0</v>
      </c>
      <c r="AD369" s="33">
        <f>VLOOKUP($B369,三大美股走勢!$A$4:$J$495,4,FALSE)</f>
        <v>0</v>
      </c>
      <c r="AE369" s="33">
        <f>VLOOKUP($B369,三大美股走勢!$A$4:$J$495,7,FALSE)</f>
        <v>0</v>
      </c>
      <c r="AF369" s="33">
        <f>VLOOKUP($B369,三大美股走勢!$A$4:$J$495,10,FALSE)</f>
        <v>0</v>
      </c>
    </row>
    <row r="370" spans="2:32">
      <c r="B370" s="32">
        <v>43149</v>
      </c>
      <c r="C370" s="33">
        <f>VLOOKUP($B370,大盤與近月台指!$A$4:$I$499,2,FALSE)</f>
        <v>0</v>
      </c>
      <c r="D370" s="34">
        <f>VLOOKUP($B370,大盤與近月台指!$A$4:$I$499,3,FALSE)</f>
        <v>0</v>
      </c>
      <c r="E370" s="35">
        <f>VLOOKUP($B370,大盤與近月台指!$A$4:$I$499,4,FALSE)</f>
        <v>0</v>
      </c>
      <c r="F370" s="33">
        <f>VLOOKUP($B370,大盤與近月台指!$A$4:$I$499,5,FALSE)</f>
        <v>0</v>
      </c>
      <c r="G370" s="49">
        <f>VLOOKUP($B370,三大法人買賣超!$A$4:$I$500,3,FALSE)</f>
        <v>0</v>
      </c>
      <c r="H370" s="34">
        <f>VLOOKUP($B370,三大法人買賣超!$A$4:$I$500,5,FALSE)</f>
        <v>0</v>
      </c>
      <c r="I370" s="27">
        <f>VLOOKUP($B370,三大法人買賣超!$A$4:$I$500,7,FALSE)</f>
        <v>0</v>
      </c>
      <c r="J370" s="27">
        <f>VLOOKUP($B370,三大法人買賣超!$A$4:$I$500,9,FALSE)</f>
        <v>0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>
        <f>VLOOKUP($B370,外資期貨未平倉口數!$A$4:$M$499,4,FALSE)</f>
        <v>0</v>
      </c>
      <c r="O370" s="27">
        <f>VLOOKUP($B370,外資期貨未平倉口數!$A$4:$M$499,9,FALSE)</f>
        <v>0</v>
      </c>
      <c r="P370" s="27">
        <f>VLOOKUP($B370,外資期貨未平倉口數!$A$4:$M$499,10,FALSE)</f>
        <v>0</v>
      </c>
      <c r="Q370" s="27">
        <f>VLOOKUP($B370,外資期貨未平倉口數!$A$4:$M$499,11,FALSE)</f>
        <v>0</v>
      </c>
      <c r="R370" s="64">
        <f>VLOOKUP($B370,選擇權未平倉餘額!$A$4:$I$500,6,FALSE)</f>
        <v>0</v>
      </c>
      <c r="S370" s="64">
        <f>VLOOKUP($B370,選擇權未平倉餘額!$A$4:$I$500,7,FALSE)</f>
        <v>0</v>
      </c>
      <c r="T370" s="64">
        <f>VLOOKUP($B370,選擇權未平倉餘額!$A$4:$I$500,8,FALSE)</f>
        <v>0</v>
      </c>
      <c r="U370" s="64">
        <f>VLOOKUP($B370,選擇權未平倉餘額!$A$4:$I$500,9,FALSE)</f>
        <v>0</v>
      </c>
      <c r="V370" s="39">
        <f>VLOOKUP($B370,臺指選擇權P_C_Ratios!$A$4:$C$500,3,FALSE)</f>
        <v>0</v>
      </c>
      <c r="W370" s="41">
        <f>VLOOKUP($B370,散戶多空比!$A$6:$L$500,12,FALSE)</f>
        <v>0</v>
      </c>
      <c r="X370" s="40">
        <f>VLOOKUP($B370,期貨大額交易人未沖銷部位!$A$4:$O$499,4,FALSE)</f>
        <v>0</v>
      </c>
      <c r="Y370" s="40">
        <f>VLOOKUP($B370,期貨大額交易人未沖銷部位!$A$4:$O$499,7,FALSE)</f>
        <v>0</v>
      </c>
      <c r="Z370" s="40">
        <f>VLOOKUP($B370,期貨大額交易人未沖銷部位!$A$4:$O$499,10,FALSE)</f>
        <v>0</v>
      </c>
      <c r="AA370" s="40">
        <f>VLOOKUP($B370,期貨大額交易人未沖銷部位!$A$4:$O$499,13,FALSE)</f>
        <v>0</v>
      </c>
      <c r="AB370" s="40">
        <f>VLOOKUP($B370,期貨大額交易人未沖銷部位!$A$4:$O$499,14,FALSE)</f>
        <v>0</v>
      </c>
      <c r="AC370" s="40">
        <f>VLOOKUP($B370,期貨大額交易人未沖銷部位!$A$4:$O$499,15,FALSE)</f>
        <v>0</v>
      </c>
      <c r="AD370" s="33">
        <f>VLOOKUP($B370,三大美股走勢!$A$4:$J$495,4,FALSE)</f>
        <v>0</v>
      </c>
      <c r="AE370" s="33">
        <f>VLOOKUP($B370,三大美股走勢!$A$4:$J$495,7,FALSE)</f>
        <v>0</v>
      </c>
      <c r="AF370" s="33">
        <f>VLOOKUP($B370,三大美股走勢!$A$4:$J$495,10,FALSE)</f>
        <v>0</v>
      </c>
    </row>
    <row r="371" spans="2:32">
      <c r="B371" s="32">
        <v>43150</v>
      </c>
      <c r="C371" s="33">
        <f>VLOOKUP($B371,大盤與近月台指!$A$4:$I$499,2,FALSE)</f>
        <v>0</v>
      </c>
      <c r="D371" s="34">
        <f>VLOOKUP($B371,大盤與近月台指!$A$4:$I$499,3,FALSE)</f>
        <v>0</v>
      </c>
      <c r="E371" s="35">
        <f>VLOOKUP($B371,大盤與近月台指!$A$4:$I$499,4,FALSE)</f>
        <v>0</v>
      </c>
      <c r="F371" s="33">
        <f>VLOOKUP($B371,大盤與近月台指!$A$4:$I$499,5,FALSE)</f>
        <v>0</v>
      </c>
      <c r="G371" s="49">
        <f>VLOOKUP($B371,三大法人買賣超!$A$4:$I$500,3,FALSE)</f>
        <v>0</v>
      </c>
      <c r="H371" s="34">
        <f>VLOOKUP($B371,三大法人買賣超!$A$4:$I$500,5,FALSE)</f>
        <v>0</v>
      </c>
      <c r="I371" s="27">
        <f>VLOOKUP($B371,三大法人買賣超!$A$4:$I$500,7,FALSE)</f>
        <v>0</v>
      </c>
      <c r="J371" s="27">
        <f>VLOOKUP($B371,三大法人買賣超!$A$4:$I$500,9,FALSE)</f>
        <v>0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>
        <f>VLOOKUP($B371,外資期貨未平倉口數!$A$4:$M$499,4,FALSE)</f>
        <v>0</v>
      </c>
      <c r="O371" s="27">
        <f>VLOOKUP($B371,外資期貨未平倉口數!$A$4:$M$499,9,FALSE)</f>
        <v>0</v>
      </c>
      <c r="P371" s="27">
        <f>VLOOKUP($B371,外資期貨未平倉口數!$A$4:$M$499,10,FALSE)</f>
        <v>0</v>
      </c>
      <c r="Q371" s="27">
        <f>VLOOKUP($B371,外資期貨未平倉口數!$A$4:$M$499,11,FALSE)</f>
        <v>0</v>
      </c>
      <c r="R371" s="64">
        <f>VLOOKUP($B371,選擇權未平倉餘額!$A$4:$I$500,6,FALSE)</f>
        <v>0</v>
      </c>
      <c r="S371" s="64">
        <f>VLOOKUP($B371,選擇權未平倉餘額!$A$4:$I$500,7,FALSE)</f>
        <v>0</v>
      </c>
      <c r="T371" s="64">
        <f>VLOOKUP($B371,選擇權未平倉餘額!$A$4:$I$500,8,FALSE)</f>
        <v>0</v>
      </c>
      <c r="U371" s="64">
        <f>VLOOKUP($B371,選擇權未平倉餘額!$A$4:$I$500,9,FALSE)</f>
        <v>0</v>
      </c>
      <c r="V371" s="39">
        <f>VLOOKUP($B371,臺指選擇權P_C_Ratios!$A$4:$C$500,3,FALSE)</f>
        <v>0</v>
      </c>
      <c r="W371" s="41">
        <f>VLOOKUP($B371,散戶多空比!$A$6:$L$500,12,FALSE)</f>
        <v>0</v>
      </c>
      <c r="X371" s="40">
        <f>VLOOKUP($B371,期貨大額交易人未沖銷部位!$A$4:$O$499,4,FALSE)</f>
        <v>0</v>
      </c>
      <c r="Y371" s="40">
        <f>VLOOKUP($B371,期貨大額交易人未沖銷部位!$A$4:$O$499,7,FALSE)</f>
        <v>0</v>
      </c>
      <c r="Z371" s="40">
        <f>VLOOKUP($B371,期貨大額交易人未沖銷部位!$A$4:$O$499,10,FALSE)</f>
        <v>0</v>
      </c>
      <c r="AA371" s="40">
        <f>VLOOKUP($B371,期貨大額交易人未沖銷部位!$A$4:$O$499,13,FALSE)</f>
        <v>0</v>
      </c>
      <c r="AB371" s="40">
        <f>VLOOKUP($B371,期貨大額交易人未沖銷部位!$A$4:$O$499,14,FALSE)</f>
        <v>0</v>
      </c>
      <c r="AC371" s="40">
        <f>VLOOKUP($B371,期貨大額交易人未沖銷部位!$A$4:$O$499,15,FALSE)</f>
        <v>0</v>
      </c>
      <c r="AD371" s="33">
        <f>VLOOKUP($B371,三大美股走勢!$A$4:$J$495,4,FALSE)</f>
        <v>8.0000000000000004E-4</v>
      </c>
      <c r="AE371" s="33">
        <f>VLOOKUP($B371,三大美股走勢!$A$4:$J$495,7,FALSE)</f>
        <v>-2.3E-3</v>
      </c>
      <c r="AF371" s="33">
        <f>VLOOKUP($B371,三大美股走勢!$A$4:$J$495,10,FALSE)</f>
        <v>-3.5000000000000001E-3</v>
      </c>
    </row>
    <row r="372" spans="2:32">
      <c r="B372" s="32">
        <v>43151</v>
      </c>
      <c r="C372" s="33">
        <f>VLOOKUP($B372,大盤與近月台指!$A$4:$I$499,2,FALSE)</f>
        <v>0</v>
      </c>
      <c r="D372" s="34">
        <f>VLOOKUP($B372,大盤與近月台指!$A$4:$I$499,3,FALSE)</f>
        <v>0</v>
      </c>
      <c r="E372" s="35">
        <f>VLOOKUP($B372,大盤與近月台指!$A$4:$I$499,4,FALSE)</f>
        <v>0</v>
      </c>
      <c r="F372" s="33">
        <f>VLOOKUP($B372,大盤與近月台指!$A$4:$I$499,5,FALSE)</f>
        <v>0</v>
      </c>
      <c r="G372" s="49">
        <f>VLOOKUP($B372,三大法人買賣超!$A$4:$I$500,3,FALSE)</f>
        <v>0</v>
      </c>
      <c r="H372" s="34">
        <f>VLOOKUP($B372,三大法人買賣超!$A$4:$I$500,5,FALSE)</f>
        <v>0</v>
      </c>
      <c r="I372" s="27">
        <f>VLOOKUP($B372,三大法人買賣超!$A$4:$I$500,7,FALSE)</f>
        <v>0</v>
      </c>
      <c r="J372" s="27">
        <f>VLOOKUP($B372,三大法人買賣超!$A$4:$I$500,9,FALSE)</f>
        <v>0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89.715999999999994</v>
      </c>
      <c r="N372" s="27">
        <f>VLOOKUP($B372,外資期貨未平倉口數!$A$4:$M$499,4,FALSE)</f>
        <v>0</v>
      </c>
      <c r="O372" s="27">
        <f>VLOOKUP($B372,外資期貨未平倉口數!$A$4:$M$499,9,FALSE)</f>
        <v>0</v>
      </c>
      <c r="P372" s="27">
        <f>VLOOKUP($B372,外資期貨未平倉口數!$A$4:$M$499,10,FALSE)</f>
        <v>0</v>
      </c>
      <c r="Q372" s="27">
        <f>VLOOKUP($B372,外資期貨未平倉口數!$A$4:$M$499,11,FALSE)</f>
        <v>0</v>
      </c>
      <c r="R372" s="64">
        <f>VLOOKUP($B372,選擇權未平倉餘額!$A$4:$I$500,6,FALSE)</f>
        <v>0</v>
      </c>
      <c r="S372" s="64">
        <f>VLOOKUP($B372,選擇權未平倉餘額!$A$4:$I$500,7,FALSE)</f>
        <v>0</v>
      </c>
      <c r="T372" s="64">
        <f>VLOOKUP($B372,選擇權未平倉餘額!$A$4:$I$500,8,FALSE)</f>
        <v>0</v>
      </c>
      <c r="U372" s="64">
        <f>VLOOKUP($B372,選擇權未平倉餘額!$A$4:$I$500,9,FALSE)</f>
        <v>0</v>
      </c>
      <c r="V372" s="39">
        <f>VLOOKUP($B372,臺指選擇權P_C_Ratios!$A$4:$C$500,3,FALSE)</f>
        <v>0</v>
      </c>
      <c r="W372" s="41">
        <f>VLOOKUP($B372,散戶多空比!$A$6:$L$500,12,FALSE)</f>
        <v>0</v>
      </c>
      <c r="X372" s="40">
        <f>VLOOKUP($B372,期貨大額交易人未沖銷部位!$A$4:$O$499,4,FALSE)</f>
        <v>0</v>
      </c>
      <c r="Y372" s="40">
        <f>VLOOKUP($B372,期貨大額交易人未沖銷部位!$A$4:$O$499,7,FALSE)</f>
        <v>0</v>
      </c>
      <c r="Z372" s="40">
        <f>VLOOKUP($B372,期貨大額交易人未沖銷部位!$A$4:$O$499,10,FALSE)</f>
        <v>0</v>
      </c>
      <c r="AA372" s="40">
        <f>VLOOKUP($B372,期貨大額交易人未沖銷部位!$A$4:$O$499,13,FALSE)</f>
        <v>0</v>
      </c>
      <c r="AB372" s="40">
        <f>VLOOKUP($B372,期貨大額交易人未沖銷部位!$A$4:$O$499,14,FALSE)</f>
        <v>0</v>
      </c>
      <c r="AC372" s="40">
        <f>VLOOKUP($B372,期貨大額交易人未沖銷部位!$A$4:$O$499,15,FALSE)</f>
        <v>0</v>
      </c>
      <c r="AD372" s="33">
        <f>VLOOKUP($B372,三大美股走勢!$A$4:$J$495,4,FALSE)</f>
        <v>-1.01E-2</v>
      </c>
      <c r="AE372" s="33">
        <f>VLOOKUP($B372,三大美股走勢!$A$4:$J$495,7,FALSE)</f>
        <v>-6.9999999999999999E-4</v>
      </c>
      <c r="AF372" s="33">
        <f>VLOOKUP($B372,三大美股走勢!$A$4:$J$495,10,FALSE)</f>
        <v>1.7600000000000001E-2</v>
      </c>
    </row>
    <row r="373" spans="2:32">
      <c r="B373" s="32">
        <v>43152</v>
      </c>
      <c r="C373" s="33">
        <f>VLOOKUP($B373,大盤與近月台指!$A$4:$I$499,2,FALSE)</f>
        <v>10714.44</v>
      </c>
      <c r="D373" s="34">
        <f>VLOOKUP($B373,大盤與近月台指!$A$4:$I$499,3,FALSE)</f>
        <v>293.35000000000002</v>
      </c>
      <c r="E373" s="35">
        <f>VLOOKUP($B373,大盤與近月台指!$A$4:$I$499,4,FALSE)</f>
        <v>2.81E-2</v>
      </c>
      <c r="F373" s="33" t="str">
        <f>VLOOKUP($B373,大盤與近月台指!$A$4:$I$499,5,FALSE)</f>
        <v>1453.14億</v>
      </c>
      <c r="G373" s="49">
        <f>VLOOKUP($B373,三大法人買賣超!$A$4:$I$500,3,FALSE)</f>
        <v>0.82978079999999999</v>
      </c>
      <c r="H373" s="34">
        <f>VLOOKUP($B373,三大法人買賣超!$A$4:$I$500,5,FALSE)</f>
        <v>16.280684229999999</v>
      </c>
      <c r="I373" s="27">
        <f>VLOOKUP($B373,三大法人買賣超!$A$4:$I$500,7,FALSE)</f>
        <v>4.0689159799999999</v>
      </c>
      <c r="J373" s="27">
        <f>VLOOKUP($B373,三大法人買賣超!$A$4:$I$500,9,FALSE)</f>
        <v>92.136241119999994</v>
      </c>
      <c r="K373" s="37">
        <f>新台幣匯率美元指數!B374</f>
        <v>29.245000000000001</v>
      </c>
      <c r="L373" s="38">
        <f>新台幣匯率美元指數!C374</f>
        <v>-9.7000000000000003E-2</v>
      </c>
      <c r="M373" s="39">
        <f>新台幣匯率美元指數!D374</f>
        <v>0</v>
      </c>
      <c r="N373" s="27">
        <f>VLOOKUP($B373,外資期貨未平倉口數!$A$4:$M$499,4,FALSE)</f>
        <v>-3867.5</v>
      </c>
      <c r="O373" s="27">
        <f>VLOOKUP($B373,外資期貨未平倉口數!$A$4:$M$499,9,FALSE)</f>
        <v>48284.75</v>
      </c>
      <c r="P373" s="27">
        <f>VLOOKUP($B373,外資期貨未平倉口數!$A$4:$M$499,10,FALSE)</f>
        <v>0</v>
      </c>
      <c r="Q373" s="27">
        <f>VLOOKUP($B373,外資期貨未平倉口數!$A$4:$M$499,11,FALSE)</f>
        <v>5820</v>
      </c>
      <c r="R373" s="64">
        <f>VLOOKUP($B373,選擇權未平倉餘額!$A$4:$I$500,6,FALSE)</f>
        <v>4.3067000000000002</v>
      </c>
      <c r="S373" s="64">
        <f>VLOOKUP($B373,選擇權未平倉餘額!$A$4:$I$500,7,FALSE)</f>
        <v>-49.09</v>
      </c>
      <c r="T373" s="64">
        <f>VLOOKUP($B373,選擇權未平倉餘額!$A$4:$I$500,8,FALSE)</f>
        <v>5.57</v>
      </c>
      <c r="U373" s="64">
        <f>VLOOKUP($B373,選擇權未平倉餘額!$A$4:$I$500,9,FALSE)</f>
        <v>52.284399999999998</v>
      </c>
      <c r="V373" s="39">
        <f>VLOOKUP($B373,臺指選擇權P_C_Ratios!$A$4:$C$500,3,FALSE)</f>
        <v>1.4878</v>
      </c>
      <c r="W373" s="41">
        <f>VLOOKUP($B373,散戶多空比!$A$6:$L$500,12,FALSE)</f>
        <v>-3.7329778116369866E-2</v>
      </c>
      <c r="X373" s="40">
        <f>VLOOKUP($B373,期貨大額交易人未沖銷部位!$A$4:$O$499,4,FALSE)</f>
        <v>978</v>
      </c>
      <c r="Y373" s="40">
        <f>VLOOKUP($B373,期貨大額交易人未沖銷部位!$A$4:$O$499,7,FALSE)</f>
        <v>10442</v>
      </c>
      <c r="Z373" s="40">
        <f>VLOOKUP($B373,期貨大額交易人未沖銷部位!$A$4:$O$499,10,FALSE)</f>
        <v>-496</v>
      </c>
      <c r="AA373" s="40">
        <f>VLOOKUP($B373,期貨大額交易人未沖銷部位!$A$4:$O$499,13,FALSE)</f>
        <v>7154</v>
      </c>
      <c r="AB373" s="40">
        <f>VLOOKUP($B373,期貨大額交易人未沖銷部位!$A$4:$O$499,14,FALSE)</f>
        <v>-1474</v>
      </c>
      <c r="AC373" s="40">
        <f>VLOOKUP($B373,期貨大額交易人未沖銷部位!$A$4:$O$499,15,FALSE)</f>
        <v>-3288</v>
      </c>
      <c r="AD373" s="33">
        <f>VLOOKUP($B373,三大美股走勢!$A$4:$J$495,4,FALSE)</f>
        <v>-6.7000000000000002E-3</v>
      </c>
      <c r="AE373" s="33">
        <f>VLOOKUP($B373,三大美股走勢!$A$4:$J$495,7,FALSE)</f>
        <v>-2.2000000000000001E-3</v>
      </c>
      <c r="AF373" s="33">
        <f>VLOOKUP($B373,三大美股走勢!$A$4:$J$495,10,FALSE)</f>
        <v>3.8E-3</v>
      </c>
    </row>
    <row r="374" spans="2:32">
      <c r="B374" s="32">
        <v>43153</v>
      </c>
      <c r="C374" s="33">
        <f>VLOOKUP($B374,大盤與近月台指!$A$4:$I$499,2,FALSE)</f>
        <v>0</v>
      </c>
      <c r="D374" s="34">
        <f>VLOOKUP($B374,大盤與近月台指!$A$4:$I$499,3,FALSE)</f>
        <v>0</v>
      </c>
      <c r="E374" s="35">
        <f>VLOOKUP($B374,大盤與近月台指!$A$4:$I$499,4,FALSE)</f>
        <v>0</v>
      </c>
      <c r="F374" s="33">
        <f>VLOOKUP($B374,大盤與近月台指!$A$4:$I$499,5,FALSE)</f>
        <v>0</v>
      </c>
      <c r="G374" s="49">
        <f>VLOOKUP($B374,三大法人買賣超!$A$4:$I$500,3,FALSE)</f>
        <v>4.9200694299999999</v>
      </c>
      <c r="H374" s="34">
        <f>VLOOKUP($B374,三大法人買賣超!$A$4:$I$500,5,FALSE)</f>
        <v>-8.8235320900000005</v>
      </c>
      <c r="I374" s="27">
        <f>VLOOKUP($B374,三大法人買賣超!$A$4:$I$500,7,FALSE)</f>
        <v>0.16901748</v>
      </c>
      <c r="J374" s="27">
        <f>VLOOKUP($B374,三大法人買賣超!$A$4:$I$500,9,FALSE)</f>
        <v>-68.831858639999993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89.736000000000004</v>
      </c>
      <c r="N374" s="27">
        <f>VLOOKUP($B374,外資期貨未平倉口數!$A$4:$M$499,4,FALSE)</f>
        <v>-3999.5</v>
      </c>
      <c r="O374" s="27">
        <f>VLOOKUP($B374,外資期貨未平倉口數!$A$4:$M$499,9,FALSE)</f>
        <v>42152.75</v>
      </c>
      <c r="P374" s="27">
        <f>VLOOKUP($B374,外資期貨未平倉口數!$A$4:$M$499,10,FALSE)</f>
        <v>-6132</v>
      </c>
      <c r="Q374" s="27">
        <f>VLOOKUP($B374,外資期貨未平倉口數!$A$4:$M$499,11,FALSE)</f>
        <v>-6132</v>
      </c>
      <c r="R374" s="64">
        <f>VLOOKUP($B374,選擇權未平倉餘額!$A$4:$I$500,6,FALSE)</f>
        <v>3.3734000000000002</v>
      </c>
      <c r="S374" s="64">
        <f>VLOOKUP($B374,選擇權未平倉餘額!$A$4:$I$500,7,FALSE)</f>
        <v>-49.987400000000001</v>
      </c>
      <c r="T374" s="64">
        <f>VLOOKUP($B374,選擇權未平倉餘額!$A$4:$I$500,8,FALSE)</f>
        <v>3.0434999999999999</v>
      </c>
      <c r="U374" s="64">
        <f>VLOOKUP($B374,選擇權未平倉餘額!$A$4:$I$500,9,FALSE)</f>
        <v>56.677700000000002</v>
      </c>
      <c r="V374" s="39">
        <f>VLOOKUP($B374,臺指選擇權P_C_Ratios!$A$4:$C$500,3,FALSE)</f>
        <v>1.3237999999999999</v>
      </c>
      <c r="W374" s="41">
        <f>VLOOKUP($B374,散戶多空比!$A$6:$L$500,12,FALSE)</f>
        <v>0.15478086474370317</v>
      </c>
      <c r="X374" s="40">
        <f>VLOOKUP($B374,期貨大額交易人未沖銷部位!$A$4:$O$499,4,FALSE)</f>
        <v>109</v>
      </c>
      <c r="Y374" s="40">
        <f>VLOOKUP($B374,期貨大額交易人未沖銷部位!$A$4:$O$499,7,FALSE)</f>
        <v>7366</v>
      </c>
      <c r="Z374" s="40">
        <f>VLOOKUP($B374,期貨大額交易人未沖銷部位!$A$4:$O$499,10,FALSE)</f>
        <v>-569</v>
      </c>
      <c r="AA374" s="40">
        <f>VLOOKUP($B374,期貨大額交易人未沖銷部位!$A$4:$O$499,13,FALSE)</f>
        <v>5143</v>
      </c>
      <c r="AB374" s="40">
        <f>VLOOKUP($B374,期貨大額交易人未沖銷部位!$A$4:$O$499,14,FALSE)</f>
        <v>-678</v>
      </c>
      <c r="AC374" s="40">
        <f>VLOOKUP($B374,期貨大額交易人未沖銷部位!$A$4:$O$499,15,FALSE)</f>
        <v>-2223</v>
      </c>
      <c r="AD374" s="33">
        <f>VLOOKUP($B374,三大美股走勢!$A$4:$J$495,4,FALSE)</f>
        <v>6.6E-3</v>
      </c>
      <c r="AE374" s="33">
        <f>VLOOKUP($B374,三大美股走勢!$A$4:$J$495,7,FALSE)</f>
        <v>-1.1000000000000001E-3</v>
      </c>
      <c r="AF374" s="33">
        <f>VLOOKUP($B374,三大美股走勢!$A$4:$J$495,10,FALSE)</f>
        <v>-2.5000000000000001E-3</v>
      </c>
    </row>
    <row r="375" spans="2:32">
      <c r="B375" s="32">
        <v>43154</v>
      </c>
      <c r="C375" s="33">
        <f>VLOOKUP($B375,大盤與近月台指!$A$4:$I$499,2,FALSE)</f>
        <v>10794.55</v>
      </c>
      <c r="D375" s="34">
        <f>VLOOKUP($B375,大盤與近月台指!$A$4:$I$499,3,FALSE)</f>
        <v>132.16999999999999</v>
      </c>
      <c r="E375" s="35">
        <f>VLOOKUP($B375,大盤與近月台指!$A$4:$I$499,4,FALSE)</f>
        <v>1.24E-2</v>
      </c>
      <c r="F375" s="33" t="str">
        <f>VLOOKUP($B375,大盤與近月台指!$A$4:$I$499,5,FALSE)</f>
        <v>1236.78億</v>
      </c>
      <c r="G375" s="49">
        <f>VLOOKUP($B375,三大法人買賣超!$A$4:$I$500,3,FALSE)</f>
        <v>-0.20388777</v>
      </c>
      <c r="H375" s="34">
        <f>VLOOKUP($B375,三大法人買賣超!$A$4:$I$500,5,FALSE)</f>
        <v>5.9712723499999996</v>
      </c>
      <c r="I375" s="27">
        <f>VLOOKUP($B375,三大法人買賣超!$A$4:$I$500,7,FALSE)</f>
        <v>6.9801298799999998</v>
      </c>
      <c r="J375" s="27">
        <f>VLOOKUP($B375,三大法人買賣超!$A$4:$I$500,9,FALSE)</f>
        <v>21.240964550000001</v>
      </c>
      <c r="K375" s="37">
        <f>新台幣匯率美元指數!B376</f>
        <v>29.306000000000001</v>
      </c>
      <c r="L375" s="38">
        <f>新台幣匯率美元指數!C376</f>
        <v>5.0000000000000001E-3</v>
      </c>
      <c r="M375" s="39">
        <f>新台幣匯率美元指數!D376</f>
        <v>89.882999999999996</v>
      </c>
      <c r="N375" s="27">
        <f>VLOOKUP($B375,外資期貨未平倉口數!$A$4:$M$499,4,FALSE)</f>
        <v>-4199.75</v>
      </c>
      <c r="O375" s="27">
        <f>VLOOKUP($B375,外資期貨未平倉口數!$A$4:$M$499,9,FALSE)</f>
        <v>48125.5</v>
      </c>
      <c r="P375" s="27">
        <f>VLOOKUP($B375,外資期貨未平倉口數!$A$4:$M$499,10,FALSE)</f>
        <v>-159.25</v>
      </c>
      <c r="Q375" s="27">
        <f>VLOOKUP($B375,外資期貨未平倉口數!$A$4:$M$499,11,FALSE)</f>
        <v>5972.75</v>
      </c>
      <c r="R375" s="64">
        <f>VLOOKUP($B375,選擇權未平倉餘額!$A$4:$I$500,6,FALSE)</f>
        <v>8.4146999999999998</v>
      </c>
      <c r="S375" s="64">
        <f>VLOOKUP($B375,選擇權未平倉餘額!$A$4:$I$500,7,FALSE)</f>
        <v>-40.218800000000002</v>
      </c>
      <c r="T375" s="64">
        <f>VLOOKUP($B375,選擇權未平倉餘額!$A$4:$I$500,8,FALSE)</f>
        <v>5.4336000000000002</v>
      </c>
      <c r="U375" s="64">
        <f>VLOOKUP($B375,選擇權未平倉餘額!$A$4:$I$500,9,FALSE)</f>
        <v>41.077199999999998</v>
      </c>
      <c r="V375" s="39">
        <f>VLOOKUP($B375,臺指選擇權P_C_Ratios!$A$4:$C$500,3,FALSE)</f>
        <v>1.4196</v>
      </c>
      <c r="W375" s="41">
        <f>VLOOKUP($B375,散戶多空比!$A$6:$L$500,12,FALSE)</f>
        <v>1.0334778243087699E-2</v>
      </c>
      <c r="X375" s="40">
        <f>VLOOKUP($B375,期貨大額交易人未沖銷部位!$A$4:$O$499,4,FALSE)</f>
        <v>3489</v>
      </c>
      <c r="Y375" s="40">
        <f>VLOOKUP($B375,期貨大額交易人未沖銷部位!$A$4:$O$499,7,FALSE)</f>
        <v>8760</v>
      </c>
      <c r="Z375" s="40">
        <f>VLOOKUP($B375,期貨大額交易人未沖銷部位!$A$4:$O$499,10,FALSE)</f>
        <v>1580</v>
      </c>
      <c r="AA375" s="40">
        <f>VLOOKUP($B375,期貨大額交易人未沖銷部位!$A$4:$O$499,13,FALSE)</f>
        <v>7403</v>
      </c>
      <c r="AB375" s="40">
        <f>VLOOKUP($B375,期貨大額交易人未沖銷部位!$A$4:$O$499,14,FALSE)</f>
        <v>-1909</v>
      </c>
      <c r="AC375" s="40">
        <f>VLOOKUP($B375,期貨大額交易人未沖銷部位!$A$4:$O$499,15,FALSE)</f>
        <v>-1357</v>
      </c>
      <c r="AD375" s="33">
        <f>VLOOKUP($B375,三大美股走勢!$A$4:$J$495,4,FALSE)</f>
        <v>1.3899999999999999E-2</v>
      </c>
      <c r="AE375" s="33">
        <f>VLOOKUP($B375,三大美股走勢!$A$4:$J$495,7,FALSE)</f>
        <v>1.77E-2</v>
      </c>
      <c r="AF375" s="33">
        <f>VLOOKUP($B375,三大美股走勢!$A$4:$J$495,10,FALSE)</f>
        <v>2.07E-2</v>
      </c>
    </row>
    <row r="376" spans="2:32">
      <c r="B376" s="32">
        <v>43155</v>
      </c>
      <c r="C376" s="33">
        <f>VLOOKUP($B376,大盤與近月台指!$A$4:$I$499,2,FALSE)</f>
        <v>0</v>
      </c>
      <c r="D376" s="34">
        <f>VLOOKUP($B376,大盤與近月台指!$A$4:$I$499,3,FALSE)</f>
        <v>0</v>
      </c>
      <c r="E376" s="35">
        <f>VLOOKUP($B376,大盤與近月台指!$A$4:$I$499,4,FALSE)</f>
        <v>0</v>
      </c>
      <c r="F376" s="33">
        <f>VLOOKUP($B376,大盤與近月台指!$A$4:$I$499,5,FALSE)</f>
        <v>0</v>
      </c>
      <c r="G376" s="49">
        <f>VLOOKUP($B376,三大法人買賣超!$A$4:$I$500,3,FALSE)</f>
        <v>0</v>
      </c>
      <c r="H376" s="34">
        <f>VLOOKUP($B376,三大法人買賣超!$A$4:$I$500,5,FALSE)</f>
        <v>0</v>
      </c>
      <c r="I376" s="27">
        <f>VLOOKUP($B376,三大法人買賣超!$A$4:$I$500,7,FALSE)</f>
        <v>0</v>
      </c>
      <c r="J376" s="27">
        <f>VLOOKUP($B376,三大法人買賣超!$A$4:$I$500,9,FALSE)</f>
        <v>0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>
        <f>VLOOKUP($B376,外資期貨未平倉口數!$A$4:$M$499,4,FALSE)</f>
        <v>0</v>
      </c>
      <c r="O376" s="27">
        <f>VLOOKUP($B376,外資期貨未平倉口數!$A$4:$M$499,9,FALSE)</f>
        <v>0</v>
      </c>
      <c r="P376" s="27">
        <f>VLOOKUP($B376,外資期貨未平倉口數!$A$4:$M$499,10,FALSE)</f>
        <v>0</v>
      </c>
      <c r="Q376" s="27">
        <f>VLOOKUP($B376,外資期貨未平倉口數!$A$4:$M$499,11,FALSE)</f>
        <v>0</v>
      </c>
      <c r="R376" s="64">
        <f>VLOOKUP($B376,選擇權未平倉餘額!$A$4:$I$500,6,FALSE)</f>
        <v>0</v>
      </c>
      <c r="S376" s="64">
        <f>VLOOKUP($B376,選擇權未平倉餘額!$A$4:$I$500,7,FALSE)</f>
        <v>0</v>
      </c>
      <c r="T376" s="64">
        <f>VLOOKUP($B376,選擇權未平倉餘額!$A$4:$I$500,8,FALSE)</f>
        <v>0</v>
      </c>
      <c r="U376" s="64">
        <f>VLOOKUP($B376,選擇權未平倉餘額!$A$4:$I$500,9,FALSE)</f>
        <v>0</v>
      </c>
      <c r="V376" s="39">
        <f>VLOOKUP($B376,臺指選擇權P_C_Ratios!$A$4:$C$500,3,FALSE)</f>
        <v>0</v>
      </c>
      <c r="W376" s="41">
        <f>VLOOKUP($B376,散戶多空比!$A$6:$L$500,12,FALSE)</f>
        <v>0</v>
      </c>
      <c r="X376" s="40">
        <f>VLOOKUP($B376,期貨大額交易人未沖銷部位!$A$4:$O$499,4,FALSE)</f>
        <v>0</v>
      </c>
      <c r="Y376" s="40">
        <f>VLOOKUP($B376,期貨大額交易人未沖銷部位!$A$4:$O$499,7,FALSE)</f>
        <v>0</v>
      </c>
      <c r="Z376" s="40">
        <f>VLOOKUP($B376,期貨大額交易人未沖銷部位!$A$4:$O$499,10,FALSE)</f>
        <v>0</v>
      </c>
      <c r="AA376" s="40">
        <f>VLOOKUP($B376,期貨大額交易人未沖銷部位!$A$4:$O$499,13,FALSE)</f>
        <v>0</v>
      </c>
      <c r="AB376" s="40">
        <f>VLOOKUP($B376,期貨大額交易人未沖銷部位!$A$4:$O$499,14,FALSE)</f>
        <v>0</v>
      </c>
      <c r="AC376" s="40">
        <f>VLOOKUP($B376,期貨大額交易人未沖銷部位!$A$4:$O$499,15,FALSE)</f>
        <v>0</v>
      </c>
      <c r="AD376" s="33">
        <f>VLOOKUP($B376,三大美股走勢!$A$4:$J$495,4,FALSE)</f>
        <v>0</v>
      </c>
      <c r="AE376" s="33">
        <f>VLOOKUP($B376,三大美股走勢!$A$4:$J$495,7,FALSE)</f>
        <v>0</v>
      </c>
      <c r="AF376" s="33">
        <f>VLOOKUP($B376,三大美股走勢!$A$4:$J$495,10,FALSE)</f>
        <v>0</v>
      </c>
    </row>
    <row r="377" spans="2:32">
      <c r="B377" s="32">
        <v>43156</v>
      </c>
      <c r="C377" s="33">
        <f>VLOOKUP($B377,大盤與近月台指!$A$4:$I$499,2,FALSE)</f>
        <v>0</v>
      </c>
      <c r="D377" s="34">
        <f>VLOOKUP($B377,大盤與近月台指!$A$4:$I$499,3,FALSE)</f>
        <v>0</v>
      </c>
      <c r="E377" s="35">
        <f>VLOOKUP($B377,大盤與近月台指!$A$4:$I$499,4,FALSE)</f>
        <v>0</v>
      </c>
      <c r="F377" s="33">
        <f>VLOOKUP($B377,大盤與近月台指!$A$4:$I$499,5,FALSE)</f>
        <v>0</v>
      </c>
      <c r="G377" s="49">
        <f>VLOOKUP($B377,三大法人買賣超!$A$4:$I$500,3,FALSE)</f>
        <v>0</v>
      </c>
      <c r="H377" s="34">
        <f>VLOOKUP($B377,三大法人買賣超!$A$4:$I$500,5,FALSE)</f>
        <v>0</v>
      </c>
      <c r="I377" s="27">
        <f>VLOOKUP($B377,三大法人買賣超!$A$4:$I$500,7,FALSE)</f>
        <v>0</v>
      </c>
      <c r="J377" s="27">
        <f>VLOOKUP($B377,三大法人買賣超!$A$4:$I$500,9,FALSE)</f>
        <v>0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>
        <f>VLOOKUP($B377,外資期貨未平倉口數!$A$4:$M$499,4,FALSE)</f>
        <v>0</v>
      </c>
      <c r="O377" s="27">
        <f>VLOOKUP($B377,外資期貨未平倉口數!$A$4:$M$499,9,FALSE)</f>
        <v>0</v>
      </c>
      <c r="P377" s="27">
        <f>VLOOKUP($B377,外資期貨未平倉口數!$A$4:$M$499,10,FALSE)</f>
        <v>0</v>
      </c>
      <c r="Q377" s="27">
        <f>VLOOKUP($B377,外資期貨未平倉口數!$A$4:$M$499,11,FALSE)</f>
        <v>0</v>
      </c>
      <c r="R377" s="64">
        <f>VLOOKUP($B377,選擇權未平倉餘額!$A$4:$I$500,6,FALSE)</f>
        <v>0</v>
      </c>
      <c r="S377" s="64">
        <f>VLOOKUP($B377,選擇權未平倉餘額!$A$4:$I$500,7,FALSE)</f>
        <v>0</v>
      </c>
      <c r="T377" s="64">
        <f>VLOOKUP($B377,選擇權未平倉餘額!$A$4:$I$500,8,FALSE)</f>
        <v>0</v>
      </c>
      <c r="U377" s="64">
        <f>VLOOKUP($B377,選擇權未平倉餘額!$A$4:$I$500,9,FALSE)</f>
        <v>0</v>
      </c>
      <c r="V377" s="39">
        <f>VLOOKUP($B377,臺指選擇權P_C_Ratios!$A$4:$C$500,3,FALSE)</f>
        <v>0</v>
      </c>
      <c r="W377" s="41">
        <f>VLOOKUP($B377,散戶多空比!$A$6:$L$500,12,FALSE)</f>
        <v>0</v>
      </c>
      <c r="X377" s="40">
        <f>VLOOKUP($B377,期貨大額交易人未沖銷部位!$A$4:$O$499,4,FALSE)</f>
        <v>0</v>
      </c>
      <c r="Y377" s="40">
        <f>VLOOKUP($B377,期貨大額交易人未沖銷部位!$A$4:$O$499,7,FALSE)</f>
        <v>0</v>
      </c>
      <c r="Z377" s="40">
        <f>VLOOKUP($B377,期貨大額交易人未沖銷部位!$A$4:$O$499,10,FALSE)</f>
        <v>0</v>
      </c>
      <c r="AA377" s="40">
        <f>VLOOKUP($B377,期貨大額交易人未沖銷部位!$A$4:$O$499,13,FALSE)</f>
        <v>0</v>
      </c>
      <c r="AB377" s="40">
        <f>VLOOKUP($B377,期貨大額交易人未沖銷部位!$A$4:$O$499,14,FALSE)</f>
        <v>0</v>
      </c>
      <c r="AC377" s="40">
        <f>VLOOKUP($B377,期貨大額交易人未沖銷部位!$A$4:$O$499,15,FALSE)</f>
        <v>0</v>
      </c>
      <c r="AD377" s="33">
        <f>VLOOKUP($B377,三大美股走勢!$A$4:$J$495,4,FALSE)</f>
        <v>0</v>
      </c>
      <c r="AE377" s="33">
        <f>VLOOKUP($B377,三大美股走勢!$A$4:$J$495,7,FALSE)</f>
        <v>0</v>
      </c>
      <c r="AF377" s="33">
        <f>VLOOKUP($B377,三大美股走勢!$A$4:$J$495,10,FALSE)</f>
        <v>0</v>
      </c>
    </row>
    <row r="378" spans="2:32">
      <c r="B378" s="32">
        <v>43157</v>
      </c>
      <c r="C378" s="33">
        <f>VLOOKUP($B378,大盤與近月台指!$A$4:$I$499,2,FALSE)</f>
        <v>10836.7</v>
      </c>
      <c r="D378" s="34">
        <f>VLOOKUP($B378,大盤與近月台指!$A$4:$I$499,3,FALSE)</f>
        <v>42.15</v>
      </c>
      <c r="E378" s="35">
        <f>VLOOKUP($B378,大盤與近月台指!$A$4:$I$499,4,FALSE)</f>
        <v>3.8999999999999998E-3</v>
      </c>
      <c r="F378" s="33" t="str">
        <f>VLOOKUP($B378,大盤與近月台指!$A$4:$I$499,5,FALSE)</f>
        <v>1202.84億</v>
      </c>
      <c r="G378" s="49">
        <f>VLOOKUP($B378,三大法人買賣超!$A$4:$I$500,3,FALSE)</f>
        <v>3.5920888600000001</v>
      </c>
      <c r="H378" s="34">
        <f>VLOOKUP($B378,三大法人買賣超!$A$4:$I$500,5,FALSE)</f>
        <v>-3.6040154900000001</v>
      </c>
      <c r="I378" s="27">
        <f>VLOOKUP($B378,三大法人買賣超!$A$4:$I$500,7,FALSE)</f>
        <v>7.2871867899999998</v>
      </c>
      <c r="J378" s="27">
        <f>VLOOKUP($B378,三大法人買賣超!$A$4:$I$500,9,FALSE)</f>
        <v>2.6515080499999999</v>
      </c>
      <c r="K378" s="37">
        <f>新台幣匯率美元指數!B379</f>
        <v>29.234999999999999</v>
      </c>
      <c r="L378" s="38">
        <f>新台幣匯率美元指數!C379</f>
        <v>-7.0999999999999994E-2</v>
      </c>
      <c r="M378" s="39">
        <f>新台幣匯率美元指數!D379</f>
        <v>89.852999999999994</v>
      </c>
      <c r="N378" s="27">
        <f>VLOOKUP($B378,外資期貨未平倉口數!$A$4:$M$499,4,FALSE)</f>
        <v>-3347</v>
      </c>
      <c r="O378" s="27">
        <f>VLOOKUP($B378,外資期貨未平倉口數!$A$4:$M$499,9,FALSE)</f>
        <v>43624.75</v>
      </c>
      <c r="P378" s="27">
        <f>VLOOKUP($B378,外資期貨未平倉口數!$A$4:$M$499,10,FALSE)</f>
        <v>-4660</v>
      </c>
      <c r="Q378" s="27">
        <f>VLOOKUP($B378,外資期貨未平倉口數!$A$4:$M$499,11,FALSE)</f>
        <v>-4500.75</v>
      </c>
      <c r="R378" s="64">
        <f>VLOOKUP($B378,選擇權未平倉餘額!$A$4:$I$500,6,FALSE)</f>
        <v>6.8005000000000004</v>
      </c>
      <c r="S378" s="64">
        <f>VLOOKUP($B378,選擇權未平倉餘額!$A$4:$I$500,7,FALSE)</f>
        <v>4.5846999999999998</v>
      </c>
      <c r="T378" s="64">
        <f>VLOOKUP($B378,選擇權未平倉餘額!$A$4:$I$500,8,FALSE)</f>
        <v>-35.300400000000003</v>
      </c>
      <c r="U378" s="64">
        <f>VLOOKUP($B378,選擇權未平倉餘額!$A$4:$I$500,9,FALSE)</f>
        <v>36.873399999999997</v>
      </c>
      <c r="V378" s="39">
        <f>VLOOKUP($B378,臺指選擇權P_C_Ratios!$A$4:$C$500,3,FALSE)</f>
        <v>1.3537000000000001</v>
      </c>
      <c r="W378" s="41">
        <f>VLOOKUP($B378,散戶多空比!$A$6:$L$500,12,FALSE)</f>
        <v>7.7935624875819592E-2</v>
      </c>
      <c r="X378" s="40">
        <f>VLOOKUP($B378,期貨大額交易人未沖銷部位!$A$4:$O$499,4,FALSE)</f>
        <v>870</v>
      </c>
      <c r="Y378" s="40">
        <f>VLOOKUP($B378,期貨大額交易人未沖銷部位!$A$4:$O$499,7,FALSE)</f>
        <v>6658</v>
      </c>
      <c r="Z378" s="40">
        <f>VLOOKUP($B378,期貨大額交易人未沖銷部位!$A$4:$O$499,10,FALSE)</f>
        <v>-742</v>
      </c>
      <c r="AA378" s="40">
        <f>VLOOKUP($B378,期貨大額交易人未沖銷部位!$A$4:$O$499,13,FALSE)</f>
        <v>5469</v>
      </c>
      <c r="AB378" s="40">
        <f>VLOOKUP($B378,期貨大額交易人未沖銷部位!$A$4:$O$499,14,FALSE)</f>
        <v>-1612</v>
      </c>
      <c r="AC378" s="40">
        <f>VLOOKUP($B378,期貨大額交易人未沖銷部位!$A$4:$O$499,15,FALSE)</f>
        <v>-1189</v>
      </c>
      <c r="AD378" s="33">
        <f>VLOOKUP($B378,三大美股走勢!$A$4:$J$495,4,FALSE)</f>
        <v>1.5800000000000002E-2</v>
      </c>
      <c r="AE378" s="33">
        <f>VLOOKUP($B378,三大美股走勢!$A$4:$J$495,7,FALSE)</f>
        <v>1.15E-2</v>
      </c>
      <c r="AF378" s="33">
        <f>VLOOKUP($B378,三大美股走勢!$A$4:$J$495,10,FALSE)</f>
        <v>2.1600000000000001E-2</v>
      </c>
    </row>
    <row r="379" spans="2:32">
      <c r="B379" s="32">
        <v>43158</v>
      </c>
      <c r="C379" s="33">
        <f>VLOOKUP($B379,大盤與近月台指!$A$4:$I$499,2,FALSE)</f>
        <v>10815.47</v>
      </c>
      <c r="D379" s="34">
        <f>VLOOKUP($B379,大盤與近月台指!$A$4:$I$499,3,FALSE)</f>
        <v>-21.23</v>
      </c>
      <c r="E379" s="35">
        <f>VLOOKUP($B379,大盤與近月台指!$A$4:$I$499,4,FALSE)</f>
        <v>-2E-3</v>
      </c>
      <c r="F379" s="33" t="str">
        <f>VLOOKUP($B379,大盤與近月台指!$A$4:$I$499,5,FALSE)</f>
        <v>1360.23億</v>
      </c>
      <c r="G379" s="49">
        <f>VLOOKUP($B379,三大法人買賣超!$A$4:$I$500,3,FALSE)</f>
        <v>3.8654527399999998</v>
      </c>
      <c r="H379" s="34">
        <f>VLOOKUP($B379,三大法人買賣超!$A$4:$I$500,5,FALSE)</f>
        <v>-25.489026849999998</v>
      </c>
      <c r="I379" s="27">
        <f>VLOOKUP($B379,三大法人買賣超!$A$4:$I$500,7,FALSE)</f>
        <v>5.2832284600000001</v>
      </c>
      <c r="J379" s="27">
        <f>VLOOKUP($B379,三大法人買賣超!$A$4:$I$500,9,FALSE)</f>
        <v>-20.918860509999998</v>
      </c>
      <c r="K379" s="37">
        <f>新台幣匯率美元指數!B380</f>
        <v>29.23</v>
      </c>
      <c r="L379" s="38">
        <f>新台幣匯率美元指數!C380</f>
        <v>-5.0000000000000001E-3</v>
      </c>
      <c r="M379" s="39">
        <f>新台幣匯率美元指數!D380</f>
        <v>0</v>
      </c>
      <c r="N379" s="27">
        <f>VLOOKUP($B379,外資期貨未平倉口數!$A$4:$M$499,4,FALSE)</f>
        <v>-4799</v>
      </c>
      <c r="O379" s="27">
        <f>VLOOKUP($B379,外資期貨未平倉口數!$A$4:$M$499,9,FALSE)</f>
        <v>44973.5</v>
      </c>
      <c r="P379" s="27">
        <f>VLOOKUP($B379,外資期貨未平倉口數!$A$4:$M$499,10,FALSE)</f>
        <v>-3311.25</v>
      </c>
      <c r="Q379" s="27">
        <f>VLOOKUP($B379,外資期貨未平倉口數!$A$4:$M$499,11,FALSE)</f>
        <v>1348.75</v>
      </c>
      <c r="R379" s="64">
        <f>VLOOKUP($B379,選擇權未平倉餘額!$A$4:$I$500,6,FALSE)</f>
        <v>8.5277999999999992</v>
      </c>
      <c r="S379" s="64">
        <f>VLOOKUP($B379,選擇權未平倉餘額!$A$4:$I$500,7,FALSE)</f>
        <v>-36.818100000000001</v>
      </c>
      <c r="T379" s="64">
        <f>VLOOKUP($B379,選擇權未平倉餘額!$A$4:$I$500,8,FALSE)</f>
        <v>1.7910999999999999</v>
      </c>
      <c r="U379" s="64">
        <f>VLOOKUP($B379,選擇權未平倉餘額!$A$4:$I$500,9,FALSE)</f>
        <v>35.387999999999998</v>
      </c>
      <c r="V379" s="39">
        <f>VLOOKUP($B379,臺指選擇權P_C_Ratios!$A$4:$C$500,3,FALSE)</f>
        <v>1.3634999999999999</v>
      </c>
      <c r="W379" s="41">
        <f>VLOOKUP($B379,散戶多空比!$A$6:$L$500,12,FALSE)</f>
        <v>7.3427083840202426E-2</v>
      </c>
      <c r="X379" s="40">
        <f>VLOOKUP($B379,期貨大額交易人未沖銷部位!$A$4:$O$499,4,FALSE)</f>
        <v>135</v>
      </c>
      <c r="Y379" s="40">
        <f>VLOOKUP($B379,期貨大額交易人未沖銷部位!$A$4:$O$499,7,FALSE)</f>
        <v>7075</v>
      </c>
      <c r="Z379" s="40">
        <f>VLOOKUP($B379,期貨大額交易人未沖銷部位!$A$4:$O$499,10,FALSE)</f>
        <v>-1747</v>
      </c>
      <c r="AA379" s="40">
        <f>VLOOKUP($B379,期貨大額交易人未沖銷部位!$A$4:$O$499,13,FALSE)</f>
        <v>6493</v>
      </c>
      <c r="AB379" s="40">
        <f>VLOOKUP($B379,期貨大額交易人未沖銷部位!$A$4:$O$499,14,FALSE)</f>
        <v>-1882</v>
      </c>
      <c r="AC379" s="40">
        <f>VLOOKUP($B379,期貨大額交易人未沖銷部位!$A$4:$O$499,15,FALSE)</f>
        <v>-582</v>
      </c>
      <c r="AD379" s="33">
        <f>VLOOKUP($B379,三大美股走勢!$A$4:$J$495,4,FALSE)</f>
        <v>-1.1599999999999999E-2</v>
      </c>
      <c r="AE379" s="33">
        <f>VLOOKUP($B379,三大美股走勢!$A$4:$J$495,7,FALSE)</f>
        <v>-1.23E-2</v>
      </c>
      <c r="AF379" s="33">
        <f>VLOOKUP($B379,三大美股走勢!$A$4:$J$495,10,FALSE)</f>
        <v>0</v>
      </c>
    </row>
    <row r="380" spans="2:32">
      <c r="B380" s="32">
        <v>43159</v>
      </c>
      <c r="C380" s="33">
        <f>VLOOKUP($B380,大盤與近月台指!$A$4:$I$499,2,FALSE)</f>
        <v>0</v>
      </c>
      <c r="D380" s="34">
        <f>VLOOKUP($B380,大盤與近月台指!$A$4:$I$499,3,FALSE)</f>
        <v>0</v>
      </c>
      <c r="E380" s="35">
        <f>VLOOKUP($B380,大盤與近月台指!$A$4:$I$499,4,FALSE)</f>
        <v>0</v>
      </c>
      <c r="F380" s="33">
        <f>VLOOKUP($B380,大盤與近月台指!$A$4:$I$499,5,FALSE)</f>
        <v>0</v>
      </c>
      <c r="G380" s="49">
        <f>VLOOKUP($B380,三大法人買賣超!$A$4:$I$500,3,FALSE)</f>
        <v>0</v>
      </c>
      <c r="H380" s="34">
        <f>VLOOKUP($B380,三大法人買賣超!$A$4:$I$500,5,FALSE)</f>
        <v>0</v>
      </c>
      <c r="I380" s="27">
        <f>VLOOKUP($B380,三大法人買賣超!$A$4:$I$500,7,FALSE)</f>
        <v>0</v>
      </c>
      <c r="J380" s="27">
        <f>VLOOKUP($B380,三大法人買賣超!$A$4:$I$500,9,FALSE)</f>
        <v>0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90.613</v>
      </c>
      <c r="N380" s="27">
        <f>VLOOKUP($B380,外資期貨未平倉口數!$A$4:$M$499,4,FALSE)</f>
        <v>0</v>
      </c>
      <c r="O380" s="27">
        <f>VLOOKUP($B380,外資期貨未平倉口數!$A$4:$M$499,9,FALSE)</f>
        <v>0</v>
      </c>
      <c r="P380" s="27">
        <f>VLOOKUP($B380,外資期貨未平倉口數!$A$4:$M$499,10,FALSE)</f>
        <v>0</v>
      </c>
      <c r="Q380" s="27">
        <f>VLOOKUP($B380,外資期貨未平倉口數!$A$4:$M$499,11,FALSE)</f>
        <v>0</v>
      </c>
      <c r="R380" s="64">
        <f>VLOOKUP($B380,選擇權未平倉餘額!$A$4:$I$500,6,FALSE)</f>
        <v>0</v>
      </c>
      <c r="S380" s="64">
        <f>VLOOKUP($B380,選擇權未平倉餘額!$A$4:$I$500,7,FALSE)</f>
        <v>0</v>
      </c>
      <c r="T380" s="64">
        <f>VLOOKUP($B380,選擇權未平倉餘額!$A$4:$I$500,8,FALSE)</f>
        <v>0</v>
      </c>
      <c r="U380" s="64">
        <f>VLOOKUP($B380,選擇權未平倉餘額!$A$4:$I$500,9,FALSE)</f>
        <v>0</v>
      </c>
      <c r="V380" s="39">
        <f>VLOOKUP($B380,臺指選擇權P_C_Ratios!$A$4:$C$500,3,FALSE)</f>
        <v>0</v>
      </c>
      <c r="W380" s="41">
        <f>VLOOKUP($B380,散戶多空比!$A$6:$L$500,12,FALSE)</f>
        <v>0</v>
      </c>
      <c r="X380" s="40">
        <f>VLOOKUP($B380,期貨大額交易人未沖銷部位!$A$4:$O$499,4,FALSE)</f>
        <v>0</v>
      </c>
      <c r="Y380" s="40">
        <f>VLOOKUP($B380,期貨大額交易人未沖銷部位!$A$4:$O$499,7,FALSE)</f>
        <v>0</v>
      </c>
      <c r="Z380" s="40">
        <f>VLOOKUP($B380,期貨大額交易人未沖銷部位!$A$4:$O$499,10,FALSE)</f>
        <v>0</v>
      </c>
      <c r="AA380" s="40">
        <f>VLOOKUP($B380,期貨大額交易人未沖銷部位!$A$4:$O$499,13,FALSE)</f>
        <v>0</v>
      </c>
      <c r="AB380" s="40">
        <f>VLOOKUP($B380,期貨大額交易人未沖銷部位!$A$4:$O$499,14,FALSE)</f>
        <v>0</v>
      </c>
      <c r="AC380" s="40">
        <f>VLOOKUP($B380,期貨大額交易人未沖銷部位!$A$4:$O$499,15,FALSE)</f>
        <v>0</v>
      </c>
      <c r="AD380" s="33">
        <f>VLOOKUP($B380,三大美股走勢!$A$4:$J$495,4,FALSE)</f>
        <v>-1.4999999999999999E-2</v>
      </c>
      <c r="AE380" s="33">
        <f>VLOOKUP($B380,三大美股走勢!$A$4:$J$495,7,FALSE)</f>
        <v>-7.7999999999999996E-3</v>
      </c>
      <c r="AF380" s="33">
        <f>VLOOKUP($B380,三大美股走勢!$A$4:$J$495,10,FALSE)</f>
        <v>-2.29E-2</v>
      </c>
    </row>
    <row r="381" spans="2:32">
      <c r="B381" s="32">
        <v>43160</v>
      </c>
      <c r="C381" s="33">
        <f>VLOOKUP($B381,大盤與近月台指!$A$4:$I$499,2,FALSE)</f>
        <v>10785.79</v>
      </c>
      <c r="D381" s="34">
        <f>VLOOKUP($B381,大盤與近月台指!$A$4:$I$499,3,FALSE)</f>
        <v>-29.68</v>
      </c>
      <c r="E381" s="35">
        <f>VLOOKUP($B381,大盤與近月台指!$A$4:$I$499,4,FALSE)</f>
        <v>-2.7000000000000001E-3</v>
      </c>
      <c r="F381" s="33" t="str">
        <f>VLOOKUP($B381,大盤與近月台指!$A$4:$I$499,5,FALSE)</f>
        <v>1288.03億</v>
      </c>
      <c r="G381" s="49">
        <f>VLOOKUP($B381,三大法人買賣超!$A$4:$I$500,3,FALSE)</f>
        <v>1.9950517000000001</v>
      </c>
      <c r="H381" s="34">
        <f>VLOOKUP($B381,三大法人買賣超!$A$4:$I$500,5,FALSE)</f>
        <v>-14.93888565</v>
      </c>
      <c r="I381" s="27">
        <f>VLOOKUP($B381,三大法人買賣超!$A$4:$I$500,7,FALSE)</f>
        <v>-2.2623828399999999</v>
      </c>
      <c r="J381" s="27">
        <f>VLOOKUP($B381,三大法人買賣超!$A$4:$I$500,9,FALSE)</f>
        <v>-28.799382609999999</v>
      </c>
      <c r="K381" s="37">
        <f>新台幣匯率美元指數!B382</f>
        <v>29.318000000000001</v>
      </c>
      <c r="L381" s="38">
        <f>新台幣匯率美元指數!C382</f>
        <v>8.7999999999999995E-2</v>
      </c>
      <c r="M381" s="39">
        <f>新台幣匯率美元指數!D382</f>
        <v>90.323999999999998</v>
      </c>
      <c r="N381" s="27">
        <f>VLOOKUP($B381,外資期貨未平倉口數!$A$4:$M$499,4,FALSE)</f>
        <v>-4982.25</v>
      </c>
      <c r="O381" s="27">
        <f>VLOOKUP($B381,外資期貨未平倉口數!$A$4:$M$499,9,FALSE)</f>
        <v>45172.75</v>
      </c>
      <c r="P381" s="27">
        <f>VLOOKUP($B381,外資期貨未平倉口數!$A$4:$M$499,10,FALSE)</f>
        <v>-3112</v>
      </c>
      <c r="Q381" s="27">
        <f>VLOOKUP($B381,外資期貨未平倉口數!$A$4:$M$499,11,FALSE)</f>
        <v>199.25</v>
      </c>
      <c r="R381" s="64">
        <f>VLOOKUP($B381,選擇權未平倉餘額!$A$4:$I$500,6,FALSE)</f>
        <v>5.7135999999999996</v>
      </c>
      <c r="S381" s="64">
        <f>VLOOKUP($B381,選擇權未平倉餘額!$A$4:$I$500,7,FALSE)</f>
        <v>-43.022799999999997</v>
      </c>
      <c r="T381" s="64">
        <f>VLOOKUP($B381,選擇權未平倉餘額!$A$4:$I$500,8,FALSE)</f>
        <v>1.7287999999999999</v>
      </c>
      <c r="U381" s="64">
        <f>VLOOKUP($B381,選擇權未平倉餘額!$A$4:$I$500,9,FALSE)</f>
        <v>42.702599999999997</v>
      </c>
      <c r="V381" s="39">
        <f>VLOOKUP($B381,臺指選擇權P_C_Ratios!$A$4:$C$500,3,FALSE)</f>
        <v>1.4680000000000002</v>
      </c>
      <c r="W381" s="41">
        <f>VLOOKUP($B381,散戶多空比!$A$6:$L$500,12,FALSE)</f>
        <v>4.5841300191204588E-2</v>
      </c>
      <c r="X381" s="40">
        <f>VLOOKUP($B381,期貨大額交易人未沖銷部位!$A$4:$O$499,4,FALSE)</f>
        <v>303</v>
      </c>
      <c r="Y381" s="40">
        <f>VLOOKUP($B381,期貨大額交易人未沖銷部位!$A$4:$O$499,7,FALSE)</f>
        <v>7400</v>
      </c>
      <c r="Z381" s="40">
        <f>VLOOKUP($B381,期貨大額交易人未沖銷部位!$A$4:$O$499,10,FALSE)</f>
        <v>-919</v>
      </c>
      <c r="AA381" s="40">
        <f>VLOOKUP($B381,期貨大額交易人未沖銷部位!$A$4:$O$499,13,FALSE)</f>
        <v>6928</v>
      </c>
      <c r="AB381" s="40">
        <f>VLOOKUP($B381,期貨大額交易人未沖銷部位!$A$4:$O$499,14,FALSE)</f>
        <v>-1222</v>
      </c>
      <c r="AC381" s="40">
        <f>VLOOKUP($B381,期貨大額交易人未沖銷部位!$A$4:$O$499,15,FALSE)</f>
        <v>-472</v>
      </c>
      <c r="AD381" s="33">
        <f>VLOOKUP($B381,三大美股走勢!$A$4:$J$495,4,FALSE)</f>
        <v>-1.6799999999999999E-2</v>
      </c>
      <c r="AE381" s="33">
        <f>VLOOKUP($B381,三大美股走勢!$A$4:$J$495,7,FALSE)</f>
        <v>-1.2699999999999999E-2</v>
      </c>
      <c r="AF381" s="33">
        <f>VLOOKUP($B381,三大美股走勢!$A$4:$J$495,10,FALSE)</f>
        <v>-1.61E-2</v>
      </c>
    </row>
    <row r="382" spans="2:32">
      <c r="B382" s="32">
        <v>43161</v>
      </c>
      <c r="C382" s="33">
        <f>VLOOKUP($B382,大盤與近月台指!$A$4:$I$499,2,FALSE)</f>
        <v>10698.17</v>
      </c>
      <c r="D382" s="34">
        <f>VLOOKUP($B382,大盤與近月台指!$A$4:$I$499,3,FALSE)</f>
        <v>-87.62</v>
      </c>
      <c r="E382" s="35">
        <f>VLOOKUP($B382,大盤與近月台指!$A$4:$I$499,4,FALSE)</f>
        <v>-8.0999999999999996E-3</v>
      </c>
      <c r="F382" s="33" t="str">
        <f>VLOOKUP($B382,大盤與近月台指!$A$4:$I$499,5,FALSE)</f>
        <v>1096.51億</v>
      </c>
      <c r="G382" s="49">
        <f>VLOOKUP($B382,三大法人買賣超!$A$4:$I$500,3,FALSE)</f>
        <v>2.3012592199999999</v>
      </c>
      <c r="H382" s="34">
        <f>VLOOKUP($B382,三大法人買賣超!$A$4:$I$500,5,FALSE)</f>
        <v>-4.5102864699999996</v>
      </c>
      <c r="I382" s="27">
        <f>VLOOKUP($B382,三大法人買賣超!$A$4:$I$500,7,FALSE)</f>
        <v>0.69037419</v>
      </c>
      <c r="J382" s="27">
        <f>VLOOKUP($B382,三大法人買賣超!$A$4:$I$500,9,FALSE)</f>
        <v>-155.76291320999999</v>
      </c>
      <c r="K382" s="37">
        <f>新台幣匯率美元指數!B383</f>
        <v>29.29</v>
      </c>
      <c r="L382" s="38">
        <f>新台幣匯率美元指數!C383</f>
        <v>-2.8000000000000001E-2</v>
      </c>
      <c r="M382" s="39">
        <f>新台幣匯率美元指數!D383</f>
        <v>89.935000000000002</v>
      </c>
      <c r="N382" s="27">
        <f>VLOOKUP($B382,外資期貨未平倉口數!$A$4:$M$499,4,FALSE)</f>
        <v>-5211.25</v>
      </c>
      <c r="O382" s="27">
        <f>VLOOKUP($B382,外資期貨未平倉口數!$A$4:$M$499,9,FALSE)</f>
        <v>45575.5</v>
      </c>
      <c r="P382" s="27">
        <f>VLOOKUP($B382,外資期貨未平倉口數!$A$4:$M$499,10,FALSE)</f>
        <v>-2709.25</v>
      </c>
      <c r="Q382" s="27">
        <f>VLOOKUP($B382,外資期貨未平倉口數!$A$4:$M$499,11,FALSE)</f>
        <v>402.75</v>
      </c>
      <c r="R382" s="64">
        <f>VLOOKUP($B382,選擇權未平倉餘額!$A$4:$I$500,6,FALSE)</f>
        <v>2.9274</v>
      </c>
      <c r="S382" s="64">
        <f>VLOOKUP($B382,選擇權未平倉餘額!$A$4:$I$500,7,FALSE)</f>
        <v>-48.790999999999997</v>
      </c>
      <c r="T382" s="64">
        <f>VLOOKUP($B382,選擇權未平倉餘額!$A$4:$I$500,8,FALSE)</f>
        <v>0.1651</v>
      </c>
      <c r="U382" s="64">
        <f>VLOOKUP($B382,選擇權未平倉餘額!$A$4:$I$500,9,FALSE)</f>
        <v>51.029200000000003</v>
      </c>
      <c r="V382" s="39">
        <f>VLOOKUP($B382,臺指選擇權P_C_Ratios!$A$4:$C$500,3,FALSE)</f>
        <v>1.3326</v>
      </c>
      <c r="W382" s="41">
        <f>VLOOKUP($B382,散戶多空比!$A$6:$L$500,12,FALSE)</f>
        <v>4.9949878976064156E-2</v>
      </c>
      <c r="X382" s="40">
        <f>VLOOKUP($B382,期貨大額交易人未沖銷部位!$A$4:$O$499,4,FALSE)</f>
        <v>-15</v>
      </c>
      <c r="Y382" s="40">
        <f>VLOOKUP($B382,期貨大額交易人未沖銷部位!$A$4:$O$499,7,FALSE)</f>
        <v>8704</v>
      </c>
      <c r="Z382" s="40">
        <f>VLOOKUP($B382,期貨大額交易人未沖銷部位!$A$4:$O$499,10,FALSE)</f>
        <v>-1915</v>
      </c>
      <c r="AA382" s="40">
        <f>VLOOKUP($B382,期貨大額交易人未沖銷部位!$A$4:$O$499,13,FALSE)</f>
        <v>8082</v>
      </c>
      <c r="AB382" s="40">
        <f>VLOOKUP($B382,期貨大額交易人未沖銷部位!$A$4:$O$499,14,FALSE)</f>
        <v>-1900</v>
      </c>
      <c r="AC382" s="40">
        <f>VLOOKUP($B382,期貨大額交易人未沖銷部位!$A$4:$O$499,15,FALSE)</f>
        <v>-622</v>
      </c>
      <c r="AD382" s="33">
        <f>VLOOKUP($B382,三大美股走勢!$A$4:$J$495,4,FALSE)</f>
        <v>-2.8999999999999998E-3</v>
      </c>
      <c r="AE382" s="33">
        <f>VLOOKUP($B382,三大美股走勢!$A$4:$J$495,7,FALSE)</f>
        <v>1.0800000000000001E-2</v>
      </c>
      <c r="AF382" s="33">
        <f>VLOOKUP($B382,三大美股走勢!$A$4:$J$495,10,FALSE)</f>
        <v>1.7600000000000001E-2</v>
      </c>
    </row>
    <row r="383" spans="2:32">
      <c r="B383" s="32">
        <v>43162</v>
      </c>
      <c r="C383" s="33">
        <f>VLOOKUP($B383,大盤與近月台指!$A$4:$I$499,2,FALSE)</f>
        <v>0</v>
      </c>
      <c r="D383" s="34">
        <f>VLOOKUP($B383,大盤與近月台指!$A$4:$I$499,3,FALSE)</f>
        <v>0</v>
      </c>
      <c r="E383" s="35">
        <f>VLOOKUP($B383,大盤與近月台指!$A$4:$I$499,4,FALSE)</f>
        <v>0</v>
      </c>
      <c r="F383" s="33">
        <f>VLOOKUP($B383,大盤與近月台指!$A$4:$I$499,5,FALSE)</f>
        <v>0</v>
      </c>
      <c r="G383" s="49">
        <f>VLOOKUP($B383,三大法人買賣超!$A$4:$I$500,3,FALSE)</f>
        <v>0</v>
      </c>
      <c r="H383" s="34">
        <f>VLOOKUP($B383,三大法人買賣超!$A$4:$I$500,5,FALSE)</f>
        <v>0</v>
      </c>
      <c r="I383" s="27">
        <f>VLOOKUP($B383,三大法人買賣超!$A$4:$I$500,7,FALSE)</f>
        <v>0</v>
      </c>
      <c r="J383" s="27">
        <f>VLOOKUP($B383,三大法人買賣超!$A$4:$I$500,9,FALSE)</f>
        <v>0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>
        <f>VLOOKUP($B383,外資期貨未平倉口數!$A$4:$M$499,4,FALSE)</f>
        <v>0</v>
      </c>
      <c r="O383" s="27">
        <f>VLOOKUP($B383,外資期貨未平倉口數!$A$4:$M$499,9,FALSE)</f>
        <v>0</v>
      </c>
      <c r="P383" s="27">
        <f>VLOOKUP($B383,外資期貨未平倉口數!$A$4:$M$499,10,FALSE)</f>
        <v>0</v>
      </c>
      <c r="Q383" s="27">
        <f>VLOOKUP($B383,外資期貨未平倉口數!$A$4:$M$499,11,FALSE)</f>
        <v>0</v>
      </c>
      <c r="R383" s="64">
        <f>VLOOKUP($B383,選擇權未平倉餘額!$A$4:$I$500,6,FALSE)</f>
        <v>0</v>
      </c>
      <c r="S383" s="64">
        <f>VLOOKUP($B383,選擇權未平倉餘額!$A$4:$I$500,7,FALSE)</f>
        <v>0</v>
      </c>
      <c r="T383" s="64">
        <f>VLOOKUP($B383,選擇權未平倉餘額!$A$4:$I$500,8,FALSE)</f>
        <v>0</v>
      </c>
      <c r="U383" s="64">
        <f>VLOOKUP($B383,選擇權未平倉餘額!$A$4:$I$500,9,FALSE)</f>
        <v>0</v>
      </c>
      <c r="V383" s="39">
        <f>VLOOKUP($B383,臺指選擇權P_C_Ratios!$A$4:$C$500,3,FALSE)</f>
        <v>0</v>
      </c>
      <c r="W383" s="41">
        <f>VLOOKUP($B383,散戶多空比!$A$6:$L$500,12,FALSE)</f>
        <v>0</v>
      </c>
      <c r="X383" s="40">
        <f>VLOOKUP($B383,期貨大額交易人未沖銷部位!$A$4:$O$499,4,FALSE)</f>
        <v>0</v>
      </c>
      <c r="Y383" s="40">
        <f>VLOOKUP($B383,期貨大額交易人未沖銷部位!$A$4:$O$499,7,FALSE)</f>
        <v>0</v>
      </c>
      <c r="Z383" s="40">
        <f>VLOOKUP($B383,期貨大額交易人未沖銷部位!$A$4:$O$499,10,FALSE)</f>
        <v>0</v>
      </c>
      <c r="AA383" s="40">
        <f>VLOOKUP($B383,期貨大額交易人未沖銷部位!$A$4:$O$499,13,FALSE)</f>
        <v>0</v>
      </c>
      <c r="AB383" s="40">
        <f>VLOOKUP($B383,期貨大額交易人未沖銷部位!$A$4:$O$499,14,FALSE)</f>
        <v>0</v>
      </c>
      <c r="AC383" s="40">
        <f>VLOOKUP($B383,期貨大額交易人未沖銷部位!$A$4:$O$499,15,FALSE)</f>
        <v>0</v>
      </c>
      <c r="AD383" s="33">
        <f>VLOOKUP($B383,三大美股走勢!$A$4:$J$495,4,FALSE)</f>
        <v>0</v>
      </c>
      <c r="AE383" s="33">
        <f>VLOOKUP($B383,三大美股走勢!$A$4:$J$495,7,FALSE)</f>
        <v>0</v>
      </c>
      <c r="AF383" s="33">
        <f>VLOOKUP($B383,三大美股走勢!$A$4:$J$495,10,FALSE)</f>
        <v>0</v>
      </c>
    </row>
    <row r="384" spans="2:32">
      <c r="B384" s="32">
        <v>43163</v>
      </c>
      <c r="C384" s="33">
        <f>VLOOKUP($B384,大盤與近月台指!$A$4:$I$499,2,FALSE)</f>
        <v>0</v>
      </c>
      <c r="D384" s="34">
        <f>VLOOKUP($B384,大盤與近月台指!$A$4:$I$499,3,FALSE)</f>
        <v>0</v>
      </c>
      <c r="E384" s="35">
        <f>VLOOKUP($B384,大盤與近月台指!$A$4:$I$499,4,FALSE)</f>
        <v>0</v>
      </c>
      <c r="F384" s="33">
        <f>VLOOKUP($B384,大盤與近月台指!$A$4:$I$499,5,FALSE)</f>
        <v>0</v>
      </c>
      <c r="G384" s="49">
        <f>VLOOKUP($B384,三大法人買賣超!$A$4:$I$500,3,FALSE)</f>
        <v>0</v>
      </c>
      <c r="H384" s="34">
        <f>VLOOKUP($B384,三大法人買賣超!$A$4:$I$500,5,FALSE)</f>
        <v>0</v>
      </c>
      <c r="I384" s="27">
        <f>VLOOKUP($B384,三大法人買賣超!$A$4:$I$500,7,FALSE)</f>
        <v>0</v>
      </c>
      <c r="J384" s="27">
        <f>VLOOKUP($B384,三大法人買賣超!$A$4:$I$500,9,FALSE)</f>
        <v>0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>
        <f>VLOOKUP($B384,外資期貨未平倉口數!$A$4:$M$499,4,FALSE)</f>
        <v>0</v>
      </c>
      <c r="O384" s="27">
        <f>VLOOKUP($B384,外資期貨未平倉口數!$A$4:$M$499,9,FALSE)</f>
        <v>0</v>
      </c>
      <c r="P384" s="27">
        <f>VLOOKUP($B384,外資期貨未平倉口數!$A$4:$M$499,10,FALSE)</f>
        <v>0</v>
      </c>
      <c r="Q384" s="27">
        <f>VLOOKUP($B384,外資期貨未平倉口數!$A$4:$M$499,11,FALSE)</f>
        <v>0</v>
      </c>
      <c r="R384" s="64">
        <f>VLOOKUP($B384,選擇權未平倉餘額!$A$4:$I$500,6,FALSE)</f>
        <v>0</v>
      </c>
      <c r="S384" s="64">
        <f>VLOOKUP($B384,選擇權未平倉餘額!$A$4:$I$500,7,FALSE)</f>
        <v>0</v>
      </c>
      <c r="T384" s="64">
        <f>VLOOKUP($B384,選擇權未平倉餘額!$A$4:$I$500,8,FALSE)</f>
        <v>0</v>
      </c>
      <c r="U384" s="64">
        <f>VLOOKUP($B384,選擇權未平倉餘額!$A$4:$I$500,9,FALSE)</f>
        <v>0</v>
      </c>
      <c r="V384" s="39">
        <f>VLOOKUP($B384,臺指選擇權P_C_Ratios!$A$4:$C$500,3,FALSE)</f>
        <v>0</v>
      </c>
      <c r="W384" s="41">
        <f>VLOOKUP($B384,散戶多空比!$A$6:$L$500,12,FALSE)</f>
        <v>0</v>
      </c>
      <c r="X384" s="40">
        <f>VLOOKUP($B384,期貨大額交易人未沖銷部位!$A$4:$O$499,4,FALSE)</f>
        <v>0</v>
      </c>
      <c r="Y384" s="40">
        <f>VLOOKUP($B384,期貨大額交易人未沖銷部位!$A$4:$O$499,7,FALSE)</f>
        <v>0</v>
      </c>
      <c r="Z384" s="40">
        <f>VLOOKUP($B384,期貨大額交易人未沖銷部位!$A$4:$O$499,10,FALSE)</f>
        <v>0</v>
      </c>
      <c r="AA384" s="40">
        <f>VLOOKUP($B384,期貨大額交易人未沖銷部位!$A$4:$O$499,13,FALSE)</f>
        <v>0</v>
      </c>
      <c r="AB384" s="40">
        <f>VLOOKUP($B384,期貨大額交易人未沖銷部位!$A$4:$O$499,14,FALSE)</f>
        <v>0</v>
      </c>
      <c r="AC384" s="40">
        <f>VLOOKUP($B384,期貨大額交易人未沖銷部位!$A$4:$O$499,15,FALSE)</f>
        <v>0</v>
      </c>
      <c r="AD384" s="33">
        <f>VLOOKUP($B384,三大美股走勢!$A$4:$J$495,4,FALSE)</f>
        <v>0</v>
      </c>
      <c r="AE384" s="33">
        <f>VLOOKUP($B384,三大美股走勢!$A$4:$J$495,7,FALSE)</f>
        <v>0</v>
      </c>
      <c r="AF384" s="33">
        <f>VLOOKUP($B384,三大美股走勢!$A$4:$J$495,10,FALSE)</f>
        <v>0</v>
      </c>
    </row>
    <row r="385" spans="2:32">
      <c r="B385" s="32">
        <v>43164</v>
      </c>
      <c r="C385" s="33">
        <f>VLOOKUP($B385,大盤與近月台指!$A$4:$I$499,2,FALSE)</f>
        <v>10642.9</v>
      </c>
      <c r="D385" s="34">
        <f>VLOOKUP($B385,大盤與近月台指!$A$4:$I$499,3,FALSE)</f>
        <v>-55.27</v>
      </c>
      <c r="E385" s="35">
        <f>VLOOKUP($B385,大盤與近月台指!$A$4:$I$499,4,FALSE)</f>
        <v>-5.1999999999999998E-3</v>
      </c>
      <c r="F385" s="33" t="str">
        <f>VLOOKUP($B385,大盤與近月台指!$A$4:$I$499,5,FALSE)</f>
        <v>1122.94億</v>
      </c>
      <c r="G385" s="49">
        <f>VLOOKUP($B385,三大法人買賣超!$A$4:$I$500,3,FALSE)</f>
        <v>-2.8917441199999998</v>
      </c>
      <c r="H385" s="34">
        <f>VLOOKUP($B385,三大法人買賣超!$A$4:$I$500,5,FALSE)</f>
        <v>-18.162578580000002</v>
      </c>
      <c r="I385" s="27">
        <f>VLOOKUP($B385,三大法人買賣超!$A$4:$I$500,7,FALSE)</f>
        <v>-1.94815655</v>
      </c>
      <c r="J385" s="27">
        <f>VLOOKUP($B385,三大法人買賣超!$A$4:$I$500,9,FALSE)</f>
        <v>-102.13111395</v>
      </c>
      <c r="K385" s="37">
        <f>新台幣匯率美元指數!B386</f>
        <v>29.292000000000002</v>
      </c>
      <c r="L385" s="38">
        <f>新台幣匯率美元指數!C386</f>
        <v>2E-3</v>
      </c>
      <c r="M385" s="39">
        <f>新台幣匯率美元指數!D386</f>
        <v>90.08</v>
      </c>
      <c r="N385" s="27">
        <f>VLOOKUP($B385,外資期貨未平倉口數!$A$4:$M$499,4,FALSE)</f>
        <v>-5267.75</v>
      </c>
      <c r="O385" s="27">
        <f>VLOOKUP($B385,外資期貨未平倉口數!$A$4:$M$499,9,FALSE)</f>
        <v>44457.25</v>
      </c>
      <c r="P385" s="27">
        <f>VLOOKUP($B385,外資期貨未平倉口數!$A$4:$M$499,10,FALSE)</f>
        <v>-3827.5</v>
      </c>
      <c r="Q385" s="27">
        <f>VLOOKUP($B385,外資期貨未平倉口數!$A$4:$M$499,11,FALSE)</f>
        <v>-1118.25</v>
      </c>
      <c r="R385" s="64">
        <f>VLOOKUP($B385,選擇權未平倉餘額!$A$4:$I$500,6,FALSE)</f>
        <v>1.0201</v>
      </c>
      <c r="S385" s="64">
        <f>VLOOKUP($B385,選擇權未平倉餘額!$A$4:$I$500,7,FALSE)</f>
        <v>-48.953299999999999</v>
      </c>
      <c r="T385" s="64">
        <f>VLOOKUP($B385,選擇權未平倉餘額!$A$4:$I$500,8,FALSE)</f>
        <v>4.8856999999999999</v>
      </c>
      <c r="U385" s="64">
        <f>VLOOKUP($B385,選擇權未平倉餘額!$A$4:$I$500,9,FALSE)</f>
        <v>49.449800000000003</v>
      </c>
      <c r="V385" s="39">
        <f>VLOOKUP($B385,臺指選擇權P_C_Ratios!$A$4:$C$500,3,FALSE)</f>
        <v>1.2763</v>
      </c>
      <c r="W385" s="41">
        <f>VLOOKUP($B385,散戶多空比!$A$6:$L$500,12,FALSE)</f>
        <v>0.11924739978964591</v>
      </c>
      <c r="X385" s="40">
        <f>VLOOKUP($B385,期貨大額交易人未沖銷部位!$A$4:$O$499,4,FALSE)</f>
        <v>-1530</v>
      </c>
      <c r="Y385" s="40">
        <f>VLOOKUP($B385,期貨大額交易人未沖銷部位!$A$4:$O$499,7,FALSE)</f>
        <v>6727</v>
      </c>
      <c r="Z385" s="40">
        <f>VLOOKUP($B385,期貨大額交易人未沖銷部位!$A$4:$O$499,10,FALSE)</f>
        <v>-3786</v>
      </c>
      <c r="AA385" s="40">
        <f>VLOOKUP($B385,期貨大額交易人未沖銷部位!$A$4:$O$499,13,FALSE)</f>
        <v>5937</v>
      </c>
      <c r="AB385" s="40">
        <f>VLOOKUP($B385,期貨大額交易人未沖銷部位!$A$4:$O$499,14,FALSE)</f>
        <v>-2256</v>
      </c>
      <c r="AC385" s="40">
        <f>VLOOKUP($B385,期貨大額交易人未沖銷部位!$A$4:$O$499,15,FALSE)</f>
        <v>-790</v>
      </c>
      <c r="AD385" s="33">
        <f>VLOOKUP($B385,三大美股走勢!$A$4:$J$495,4,FALSE)</f>
        <v>1.37E-2</v>
      </c>
      <c r="AE385" s="33">
        <f>VLOOKUP($B385,三大美股走勢!$A$4:$J$495,7,FALSE)</f>
        <v>0.01</v>
      </c>
      <c r="AF385" s="33">
        <f>VLOOKUP($B385,三大美股走勢!$A$4:$J$495,10,FALSE)</f>
        <v>7.9000000000000008E-3</v>
      </c>
    </row>
    <row r="386" spans="2:32">
      <c r="B386" s="32">
        <v>43165</v>
      </c>
      <c r="C386" s="33">
        <f>VLOOKUP($B386,大盤與近月台指!$A$4:$I$499,2,FALSE)</f>
        <v>10784.34</v>
      </c>
      <c r="D386" s="34">
        <f>VLOOKUP($B386,大盤與近月台指!$A$4:$I$499,3,FALSE)</f>
        <v>141.44</v>
      </c>
      <c r="E386" s="35">
        <f>VLOOKUP($B386,大盤與近月台指!$A$4:$I$499,4,FALSE)</f>
        <v>1.3299999999999999E-2</v>
      </c>
      <c r="F386" s="33" t="str">
        <f>VLOOKUP($B386,大盤與近月台指!$A$4:$I$499,5,FALSE)</f>
        <v>1110.36億</v>
      </c>
      <c r="G386" s="49">
        <f>VLOOKUP($B386,三大法人買賣超!$A$4:$I$500,3,FALSE)</f>
        <v>2.54371233</v>
      </c>
      <c r="H386" s="34">
        <f>VLOOKUP($B386,三大法人買賣超!$A$4:$I$500,5,FALSE)</f>
        <v>-9.3520325199999998</v>
      </c>
      <c r="I386" s="27">
        <f>VLOOKUP($B386,三大法人買賣超!$A$4:$I$500,7,FALSE)</f>
        <v>-2.3759223600000001</v>
      </c>
      <c r="J386" s="27">
        <f>VLOOKUP($B386,三大法人買賣超!$A$4:$I$500,9,FALSE)</f>
        <v>37.313798980000001</v>
      </c>
      <c r="K386" s="37">
        <f>新台幣匯率美元指數!B387</f>
        <v>29.286999999999999</v>
      </c>
      <c r="L386" s="38">
        <f>新台幣匯率美元指數!C387</f>
        <v>-5.0000000000000001E-3</v>
      </c>
      <c r="M386" s="39">
        <f>新台幣匯率美元指數!D387</f>
        <v>89.617999999999995</v>
      </c>
      <c r="N386" s="27">
        <f>VLOOKUP($B386,外資期貨未平倉口數!$A$4:$M$499,4,FALSE)</f>
        <v>-3785.75</v>
      </c>
      <c r="O386" s="27">
        <f>VLOOKUP($B386,外資期貨未平倉口數!$A$4:$M$499,9,FALSE)</f>
        <v>48047.5</v>
      </c>
      <c r="P386" s="27">
        <f>VLOOKUP($B386,外資期貨未平倉口數!$A$4:$M$499,10,FALSE)</f>
        <v>-237.25</v>
      </c>
      <c r="Q386" s="27">
        <f>VLOOKUP($B386,外資期貨未平倉口數!$A$4:$M$499,11,FALSE)</f>
        <v>3590.25</v>
      </c>
      <c r="R386" s="64">
        <f>VLOOKUP($B386,選擇權未平倉餘額!$A$4:$I$500,6,FALSE)</f>
        <v>7.9946000000000002</v>
      </c>
      <c r="S386" s="64">
        <f>VLOOKUP($B386,選擇權未平倉餘額!$A$4:$I$500,7,FALSE)</f>
        <v>-32.599600000000002</v>
      </c>
      <c r="T386" s="64">
        <f>VLOOKUP($B386,選擇權未平倉餘額!$A$4:$I$500,8,FALSE)</f>
        <v>6.2359</v>
      </c>
      <c r="U386" s="64">
        <f>VLOOKUP($B386,選擇權未平倉餘額!$A$4:$I$500,9,FALSE)</f>
        <v>32.647100000000002</v>
      </c>
      <c r="V386" s="39">
        <f>VLOOKUP($B386,臺指選擇權P_C_Ratios!$A$4:$C$500,3,FALSE)</f>
        <v>1.3658000000000001</v>
      </c>
      <c r="W386" s="41">
        <f>VLOOKUP($B386,散戶多空比!$A$6:$L$500,12,FALSE)</f>
        <v>-1.04418209462481E-2</v>
      </c>
      <c r="X386" s="40">
        <f>VLOOKUP($B386,期貨大額交易人未沖銷部位!$A$4:$O$499,4,FALSE)</f>
        <v>1488</v>
      </c>
      <c r="Y386" s="40">
        <f>VLOOKUP($B386,期貨大額交易人未沖銷部位!$A$4:$O$499,7,FALSE)</f>
        <v>8658</v>
      </c>
      <c r="Z386" s="40">
        <f>VLOOKUP($B386,期貨大額交易人未沖銷部位!$A$4:$O$499,10,FALSE)</f>
        <v>-720</v>
      </c>
      <c r="AA386" s="40">
        <f>VLOOKUP($B386,期貨大額交易人未沖銷部位!$A$4:$O$499,13,FALSE)</f>
        <v>7822</v>
      </c>
      <c r="AB386" s="40">
        <f>VLOOKUP($B386,期貨大額交易人未沖銷部位!$A$4:$O$499,14,FALSE)</f>
        <v>-2208</v>
      </c>
      <c r="AC386" s="40">
        <f>VLOOKUP($B386,期貨大額交易人未沖銷部位!$A$4:$O$499,15,FALSE)</f>
        <v>-836</v>
      </c>
      <c r="AD386" s="33">
        <f>VLOOKUP($B386,三大美股走勢!$A$4:$J$495,4,FALSE)</f>
        <v>4.0000000000000002E-4</v>
      </c>
      <c r="AE386" s="33">
        <f>VLOOKUP($B386,三大美股走勢!$A$4:$J$495,7,FALSE)</f>
        <v>5.5999999999999999E-3</v>
      </c>
      <c r="AF386" s="33">
        <f>VLOOKUP($B386,三大美股走勢!$A$4:$J$495,10,FALSE)</f>
        <v>1.4999999999999999E-2</v>
      </c>
    </row>
    <row r="387" spans="2:32">
      <c r="B387" s="32">
        <v>43166</v>
      </c>
      <c r="C387" s="33">
        <f>VLOOKUP($B387,大盤與近月台指!$A$4:$I$499,2,FALSE)</f>
        <v>10745.32</v>
      </c>
      <c r="D387" s="34">
        <f>VLOOKUP($B387,大盤與近月台指!$A$4:$I$499,3,FALSE)</f>
        <v>-39.020000000000003</v>
      </c>
      <c r="E387" s="35">
        <f>VLOOKUP($B387,大盤與近月台指!$A$4:$I$499,4,FALSE)</f>
        <v>-3.5999999999999999E-3</v>
      </c>
      <c r="F387" s="33" t="str">
        <f>VLOOKUP($B387,大盤與近月台指!$A$4:$I$499,5,FALSE)</f>
        <v>1210.54億</v>
      </c>
      <c r="G387" s="49">
        <f>VLOOKUP($B387,三大法人買賣超!$A$4:$I$500,3,FALSE)</f>
        <v>4.3950933000000001</v>
      </c>
      <c r="H387" s="34">
        <f>VLOOKUP($B387,三大法人買賣超!$A$4:$I$500,5,FALSE)</f>
        <v>-0.83338361000000005</v>
      </c>
      <c r="I387" s="27">
        <f>VLOOKUP($B387,三大法人買賣超!$A$4:$I$500,7,FALSE)</f>
        <v>4.3402054200000002</v>
      </c>
      <c r="J387" s="27">
        <f>VLOOKUP($B387,三大法人買賣超!$A$4:$I$500,9,FALSE)</f>
        <v>-6.30449036</v>
      </c>
      <c r="K387" s="37">
        <f>新台幣匯率美元指數!B388</f>
        <v>29.254000000000001</v>
      </c>
      <c r="L387" s="38">
        <f>新台幣匯率美元指數!C388</f>
        <v>-3.3000000000000002E-2</v>
      </c>
      <c r="M387" s="39">
        <f>新台幣匯率美元指數!D388</f>
        <v>89.637</v>
      </c>
      <c r="N387" s="27">
        <f>VLOOKUP($B387,外資期貨未平倉口數!$A$4:$M$499,4,FALSE)</f>
        <v>-5241</v>
      </c>
      <c r="O387" s="27">
        <f>VLOOKUP($B387,外資期貨未平倉口數!$A$4:$M$499,9,FALSE)</f>
        <v>46059.5</v>
      </c>
      <c r="P387" s="27">
        <f>VLOOKUP($B387,外資期貨未平倉口數!$A$4:$M$499,10,FALSE)</f>
        <v>-2225.25</v>
      </c>
      <c r="Q387" s="27">
        <f>VLOOKUP($B387,外資期貨未平倉口數!$A$4:$M$499,11,FALSE)</f>
        <v>-1988</v>
      </c>
      <c r="R387" s="64">
        <f>VLOOKUP($B387,選擇權未平倉餘額!$A$4:$I$500,6,FALSE)</f>
        <v>2.1989000000000001</v>
      </c>
      <c r="S387" s="64">
        <f>VLOOKUP($B387,選擇權未平倉餘額!$A$4:$I$500,7,FALSE)</f>
        <v>-44.497199999999999</v>
      </c>
      <c r="T387" s="64">
        <f>VLOOKUP($B387,選擇權未平倉餘額!$A$4:$I$500,8,FALSE)</f>
        <v>5.9455999999999998</v>
      </c>
      <c r="U387" s="64">
        <f>VLOOKUP($B387,選擇權未平倉餘額!$A$4:$I$500,9,FALSE)</f>
        <v>39.6327</v>
      </c>
      <c r="V387" s="39">
        <f>VLOOKUP($B387,臺指選擇權P_C_Ratios!$A$4:$C$500,3,FALSE)</f>
        <v>1.4490000000000001</v>
      </c>
      <c r="W387" s="41">
        <f>VLOOKUP($B387,散戶多空比!$A$6:$L$500,12,FALSE)</f>
        <v>8.2362190159082499E-2</v>
      </c>
      <c r="X387" s="40">
        <f>VLOOKUP($B387,期貨大額交易人未沖銷部位!$A$4:$O$499,4,FALSE)</f>
        <v>-47</v>
      </c>
      <c r="Y387" s="40">
        <f>VLOOKUP($B387,期貨大額交易人未沖銷部位!$A$4:$O$499,7,FALSE)</f>
        <v>7594</v>
      </c>
      <c r="Z387" s="40">
        <f>VLOOKUP($B387,期貨大額交易人未沖銷部位!$A$4:$O$499,10,FALSE)</f>
        <v>-2060</v>
      </c>
      <c r="AA387" s="40">
        <f>VLOOKUP($B387,期貨大額交易人未沖銷部位!$A$4:$O$499,13,FALSE)</f>
        <v>6627</v>
      </c>
      <c r="AB387" s="40">
        <f>VLOOKUP($B387,期貨大額交易人未沖銷部位!$A$4:$O$499,14,FALSE)</f>
        <v>-2013</v>
      </c>
      <c r="AC387" s="40">
        <f>VLOOKUP($B387,期貨大額交易人未沖銷部位!$A$4:$O$499,15,FALSE)</f>
        <v>-967</v>
      </c>
      <c r="AD387" s="33">
        <f>VLOOKUP($B387,三大美股走勢!$A$4:$J$495,4,FALSE)</f>
        <v>-3.3E-3</v>
      </c>
      <c r="AE387" s="33">
        <f>VLOOKUP($B387,三大美股走勢!$A$4:$J$495,7,FALSE)</f>
        <v>3.3E-3</v>
      </c>
      <c r="AF387" s="33">
        <f>VLOOKUP($B387,三大美股走勢!$A$4:$J$495,10,FALSE)</f>
        <v>2.8999999999999998E-3</v>
      </c>
    </row>
    <row r="388" spans="2:32">
      <c r="B388" s="32">
        <v>43167</v>
      </c>
      <c r="C388" s="33">
        <f>VLOOKUP($B388,大盤與近月台指!$A$4:$I$499,2,FALSE)</f>
        <v>10823.24</v>
      </c>
      <c r="D388" s="34">
        <f>VLOOKUP($B388,大盤與近月台指!$A$4:$I$499,3,FALSE)</f>
        <v>77.92</v>
      </c>
      <c r="E388" s="35">
        <f>VLOOKUP($B388,大盤與近月台指!$A$4:$I$499,4,FALSE)</f>
        <v>7.3000000000000001E-3</v>
      </c>
      <c r="F388" s="33" t="str">
        <f>VLOOKUP($B388,大盤與近月台指!$A$4:$I$499,5,FALSE)</f>
        <v>1207.5億</v>
      </c>
      <c r="G388" s="49">
        <f>VLOOKUP($B388,三大法人買賣超!$A$4:$I$500,3,FALSE)</f>
        <v>3.9149405000000002</v>
      </c>
      <c r="H388" s="34">
        <f>VLOOKUP($B388,三大法人買賣超!$A$4:$I$500,5,FALSE)</f>
        <v>5.8576164200000003</v>
      </c>
      <c r="I388" s="27">
        <f>VLOOKUP($B388,三大法人買賣超!$A$4:$I$500,7,FALSE)</f>
        <v>-2.59007415</v>
      </c>
      <c r="J388" s="27">
        <f>VLOOKUP($B388,三大法人買賣超!$A$4:$I$500,9,FALSE)</f>
        <v>-9.5189063699999998</v>
      </c>
      <c r="K388" s="37">
        <f>新台幣匯率美元指數!B389</f>
        <v>29.260999999999999</v>
      </c>
      <c r="L388" s="38">
        <f>新台幣匯率美元指數!C389</f>
        <v>7.0000000000000001E-3</v>
      </c>
      <c r="M388" s="39">
        <f>新台幣匯率美元指數!D389</f>
        <v>90.179000000000002</v>
      </c>
      <c r="N388" s="27">
        <f>VLOOKUP($B388,外資期貨未平倉口數!$A$4:$M$499,4,FALSE)</f>
        <v>-4071.25</v>
      </c>
      <c r="O388" s="27">
        <f>VLOOKUP($B388,外資期貨未平倉口數!$A$4:$M$499,9,FALSE)</f>
        <v>50937.5</v>
      </c>
      <c r="P388" s="27">
        <f>VLOOKUP($B388,外資期貨未平倉口數!$A$4:$M$499,10,FALSE)</f>
        <v>2652.75</v>
      </c>
      <c r="Q388" s="27">
        <f>VLOOKUP($B388,外資期貨未平倉口數!$A$4:$M$499,11,FALSE)</f>
        <v>4878</v>
      </c>
      <c r="R388" s="64">
        <f>VLOOKUP($B388,選擇權未平倉餘額!$A$4:$I$500,6,FALSE)</f>
        <v>6.7245999999999997</v>
      </c>
      <c r="S388" s="64">
        <f>VLOOKUP($B388,選擇權未平倉餘額!$A$4:$I$500,7,FALSE)</f>
        <v>-34.4099</v>
      </c>
      <c r="T388" s="64">
        <f>VLOOKUP($B388,選擇權未平倉餘額!$A$4:$I$500,8,FALSE)</f>
        <v>6.1207000000000003</v>
      </c>
      <c r="U388" s="64">
        <f>VLOOKUP($B388,選擇權未平倉餘額!$A$4:$I$500,9,FALSE)</f>
        <v>29.563400000000001</v>
      </c>
      <c r="V388" s="39">
        <f>VLOOKUP($B388,臺指選擇權P_C_Ratios!$A$4:$C$500,3,FALSE)</f>
        <v>1.4950000000000001</v>
      </c>
      <c r="W388" s="41">
        <f>VLOOKUP($B388,散戶多空比!$A$6:$L$500,12,FALSE)</f>
        <v>-6.7642086620511993E-2</v>
      </c>
      <c r="X388" s="40">
        <f>VLOOKUP($B388,期貨大額交易人未沖銷部位!$A$4:$O$499,4,FALSE)</f>
        <v>3672</v>
      </c>
      <c r="Y388" s="40">
        <f>VLOOKUP($B388,期貨大額交易人未沖銷部位!$A$4:$O$499,7,FALSE)</f>
        <v>11083</v>
      </c>
      <c r="Z388" s="40">
        <f>VLOOKUP($B388,期貨大額交易人未沖銷部位!$A$4:$O$499,10,FALSE)</f>
        <v>1851</v>
      </c>
      <c r="AA388" s="40">
        <f>VLOOKUP($B388,期貨大額交易人未沖銷部位!$A$4:$O$499,13,FALSE)</f>
        <v>9796</v>
      </c>
      <c r="AB388" s="40">
        <f>VLOOKUP($B388,期貨大額交易人未沖銷部位!$A$4:$O$499,14,FALSE)</f>
        <v>-1821</v>
      </c>
      <c r="AC388" s="40">
        <f>VLOOKUP($B388,期貨大額交易人未沖銷部位!$A$4:$O$499,15,FALSE)</f>
        <v>-1287</v>
      </c>
      <c r="AD388" s="33">
        <f>VLOOKUP($B388,三大美股走勢!$A$4:$J$495,4,FALSE)</f>
        <v>3.8E-3</v>
      </c>
      <c r="AE388" s="33">
        <f>VLOOKUP($B388,三大美股走勢!$A$4:$J$495,7,FALSE)</f>
        <v>4.1999999999999997E-3</v>
      </c>
      <c r="AF388" s="33">
        <f>VLOOKUP($B388,三大美股走勢!$A$4:$J$495,10,FALSE)</f>
        <v>1.1000000000000001E-3</v>
      </c>
    </row>
    <row r="389" spans="2:32">
      <c r="B389" s="32">
        <v>43168</v>
      </c>
      <c r="C389" s="33">
        <f>VLOOKUP($B389,大盤與近月台指!$A$4:$I$499,2,FALSE)</f>
        <v>10864.82</v>
      </c>
      <c r="D389" s="34">
        <f>VLOOKUP($B389,大盤與近月台指!$A$4:$I$499,3,FALSE)</f>
        <v>41.58</v>
      </c>
      <c r="E389" s="35">
        <f>VLOOKUP($B389,大盤與近月台指!$A$4:$I$499,4,FALSE)</f>
        <v>3.8E-3</v>
      </c>
      <c r="F389" s="33" t="str">
        <f>VLOOKUP($B389,大盤與近月台指!$A$4:$I$499,5,FALSE)</f>
        <v>1231.56億</v>
      </c>
      <c r="G389" s="49">
        <f>VLOOKUP($B389,三大法人買賣超!$A$4:$I$500,3,FALSE)</f>
        <v>2.4555934000000001</v>
      </c>
      <c r="H389" s="34">
        <f>VLOOKUP($B389,三大法人買賣超!$A$4:$I$500,5,FALSE)</f>
        <v>10.92086928</v>
      </c>
      <c r="I389" s="27">
        <f>VLOOKUP($B389,三大法人買賣超!$A$4:$I$500,7,FALSE)</f>
        <v>2.7484293000000002</v>
      </c>
      <c r="J389" s="27">
        <f>VLOOKUP($B389,三大法人買賣超!$A$4:$I$500,9,FALSE)</f>
        <v>-19.804922999999999</v>
      </c>
      <c r="K389" s="37">
        <f>新台幣匯率美元指數!B390</f>
        <v>29.3</v>
      </c>
      <c r="L389" s="38">
        <f>新台幣匯率美元指數!C390</f>
        <v>3.9E-2</v>
      </c>
      <c r="M389" s="39">
        <f>新台幣匯率美元指數!D390</f>
        <v>90.093000000000004</v>
      </c>
      <c r="N389" s="27">
        <f>VLOOKUP($B389,外資期貨未平倉口數!$A$4:$M$499,4,FALSE)</f>
        <v>-4578.75</v>
      </c>
      <c r="O389" s="27">
        <f>VLOOKUP($B389,外資期貨未平倉口數!$A$4:$M$499,9,FALSE)</f>
        <v>49924.5</v>
      </c>
      <c r="P389" s="27">
        <f>VLOOKUP($B389,外資期貨未平倉口數!$A$4:$M$499,10,FALSE)</f>
        <v>1639.75</v>
      </c>
      <c r="Q389" s="27">
        <f>VLOOKUP($B389,外資期貨未平倉口數!$A$4:$M$499,11,FALSE)</f>
        <v>-1013</v>
      </c>
      <c r="R389" s="64">
        <f>VLOOKUP($B389,選擇權未平倉餘額!$A$4:$I$500,6,FALSE)</f>
        <v>6.4581999999999997</v>
      </c>
      <c r="S389" s="64">
        <f>VLOOKUP($B389,選擇權未平倉餘額!$A$4:$I$500,7,FALSE)</f>
        <v>-29.5428</v>
      </c>
      <c r="T389" s="64">
        <f>VLOOKUP($B389,選擇權未平倉餘額!$A$4:$I$500,8,FALSE)</f>
        <v>5.0846</v>
      </c>
      <c r="U389" s="64">
        <f>VLOOKUP($B389,選擇權未平倉餘額!$A$4:$I$500,9,FALSE)</f>
        <v>26.0688</v>
      </c>
      <c r="V389" s="39">
        <f>VLOOKUP($B389,臺指選擇權P_C_Ratios!$A$4:$C$500,3,FALSE)</f>
        <v>1.4593</v>
      </c>
      <c r="W389" s="41">
        <f>VLOOKUP($B389,散戶多空比!$A$6:$L$500,12,FALSE)</f>
        <v>-6.8807339449541288E-2</v>
      </c>
      <c r="X389" s="40">
        <f>VLOOKUP($B389,期貨大額交易人未沖銷部位!$A$4:$O$499,4,FALSE)</f>
        <v>3864</v>
      </c>
      <c r="Y389" s="40">
        <f>VLOOKUP($B389,期貨大額交易人未沖銷部位!$A$4:$O$499,7,FALSE)</f>
        <v>9818</v>
      </c>
      <c r="Z389" s="40">
        <f>VLOOKUP($B389,期貨大額交易人未沖銷部位!$A$4:$O$499,10,FALSE)</f>
        <v>1748</v>
      </c>
      <c r="AA389" s="40">
        <f>VLOOKUP($B389,期貨大額交易人未沖銷部位!$A$4:$O$499,13,FALSE)</f>
        <v>9509</v>
      </c>
      <c r="AB389" s="40">
        <f>VLOOKUP($B389,期貨大額交易人未沖銷部位!$A$4:$O$499,14,FALSE)</f>
        <v>-2116</v>
      </c>
      <c r="AC389" s="40">
        <f>VLOOKUP($B389,期貨大額交易人未沖銷部位!$A$4:$O$499,15,FALSE)</f>
        <v>-309</v>
      </c>
      <c r="AD389" s="33">
        <f>VLOOKUP($B389,三大美股走勢!$A$4:$J$495,4,FALSE)</f>
        <v>1.77E-2</v>
      </c>
      <c r="AE389" s="33">
        <f>VLOOKUP($B389,三大美股走勢!$A$4:$J$495,7,FALSE)</f>
        <v>1.7899999999999999E-2</v>
      </c>
      <c r="AF389" s="33">
        <f>VLOOKUP($B389,三大美股走勢!$A$4:$J$495,10,FALSE)</f>
        <v>2.0799999999999999E-2</v>
      </c>
    </row>
    <row r="390" spans="2:32">
      <c r="B390" s="32">
        <v>43169</v>
      </c>
      <c r="C390" s="33">
        <f>VLOOKUP($B390,大盤與近月台指!$A$4:$I$499,2,FALSE)</f>
        <v>0</v>
      </c>
      <c r="D390" s="34">
        <f>VLOOKUP($B390,大盤與近月台指!$A$4:$I$499,3,FALSE)</f>
        <v>0</v>
      </c>
      <c r="E390" s="35">
        <f>VLOOKUP($B390,大盤與近月台指!$A$4:$I$499,4,FALSE)</f>
        <v>0</v>
      </c>
      <c r="F390" s="33">
        <f>VLOOKUP($B390,大盤與近月台指!$A$4:$I$499,5,FALSE)</f>
        <v>0</v>
      </c>
      <c r="G390" s="49">
        <f>VLOOKUP($B390,三大法人買賣超!$A$4:$I$500,3,FALSE)</f>
        <v>0</v>
      </c>
      <c r="H390" s="34">
        <f>VLOOKUP($B390,三大法人買賣超!$A$4:$I$500,5,FALSE)</f>
        <v>0</v>
      </c>
      <c r="I390" s="27">
        <f>VLOOKUP($B390,三大法人買賣超!$A$4:$I$500,7,FALSE)</f>
        <v>0</v>
      </c>
      <c r="J390" s="27">
        <f>VLOOKUP($B390,三大法人買賣超!$A$4:$I$500,9,FALSE)</f>
        <v>0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>
        <f>VLOOKUP($B390,外資期貨未平倉口數!$A$4:$M$499,4,FALSE)</f>
        <v>0</v>
      </c>
      <c r="O390" s="27">
        <f>VLOOKUP($B390,外資期貨未平倉口數!$A$4:$M$499,9,FALSE)</f>
        <v>0</v>
      </c>
      <c r="P390" s="27">
        <f>VLOOKUP($B390,外資期貨未平倉口數!$A$4:$M$499,10,FALSE)</f>
        <v>0</v>
      </c>
      <c r="Q390" s="27">
        <f>VLOOKUP($B390,外資期貨未平倉口數!$A$4:$M$499,11,FALSE)</f>
        <v>0</v>
      </c>
      <c r="R390" s="64">
        <f>VLOOKUP($B390,選擇權未平倉餘額!$A$4:$I$500,6,FALSE)</f>
        <v>0</v>
      </c>
      <c r="S390" s="64">
        <f>VLOOKUP($B390,選擇權未平倉餘額!$A$4:$I$500,7,FALSE)</f>
        <v>0</v>
      </c>
      <c r="T390" s="64">
        <f>VLOOKUP($B390,選擇權未平倉餘額!$A$4:$I$500,8,FALSE)</f>
        <v>0</v>
      </c>
      <c r="U390" s="64">
        <f>VLOOKUP($B390,選擇權未平倉餘額!$A$4:$I$500,9,FALSE)</f>
        <v>0</v>
      </c>
      <c r="V390" s="39">
        <f>VLOOKUP($B390,臺指選擇權P_C_Ratios!$A$4:$C$500,3,FALSE)</f>
        <v>0</v>
      </c>
      <c r="W390" s="41">
        <f>VLOOKUP($B390,散戶多空比!$A$6:$L$500,12,FALSE)</f>
        <v>0</v>
      </c>
      <c r="X390" s="40">
        <f>VLOOKUP($B390,期貨大額交易人未沖銷部位!$A$4:$O$499,4,FALSE)</f>
        <v>0</v>
      </c>
      <c r="Y390" s="40">
        <f>VLOOKUP($B390,期貨大額交易人未沖銷部位!$A$4:$O$499,7,FALSE)</f>
        <v>0</v>
      </c>
      <c r="Z390" s="40">
        <f>VLOOKUP($B390,期貨大額交易人未沖銷部位!$A$4:$O$499,10,FALSE)</f>
        <v>0</v>
      </c>
      <c r="AA390" s="40">
        <f>VLOOKUP($B390,期貨大額交易人未沖銷部位!$A$4:$O$499,13,FALSE)</f>
        <v>0</v>
      </c>
      <c r="AB390" s="40">
        <f>VLOOKUP($B390,期貨大額交易人未沖銷部位!$A$4:$O$499,14,FALSE)</f>
        <v>0</v>
      </c>
      <c r="AC390" s="40">
        <f>VLOOKUP($B390,期貨大額交易人未沖銷部位!$A$4:$O$499,15,FALSE)</f>
        <v>0</v>
      </c>
      <c r="AD390" s="33">
        <f>VLOOKUP($B390,三大美股走勢!$A$4:$J$495,4,FALSE)</f>
        <v>0</v>
      </c>
      <c r="AE390" s="33">
        <f>VLOOKUP($B390,三大美股走勢!$A$4:$J$495,7,FALSE)</f>
        <v>0</v>
      </c>
      <c r="AF390" s="33">
        <f>VLOOKUP($B390,三大美股走勢!$A$4:$J$495,10,FALSE)</f>
        <v>0</v>
      </c>
    </row>
    <row r="391" spans="2:32">
      <c r="B391" s="32">
        <v>43170</v>
      </c>
      <c r="C391" s="33">
        <f>VLOOKUP($B391,大盤與近月台指!$A$4:$I$499,2,FALSE)</f>
        <v>0</v>
      </c>
      <c r="D391" s="34">
        <f>VLOOKUP($B391,大盤與近月台指!$A$4:$I$499,3,FALSE)</f>
        <v>0</v>
      </c>
      <c r="E391" s="35">
        <f>VLOOKUP($B391,大盤與近月台指!$A$4:$I$499,4,FALSE)</f>
        <v>0</v>
      </c>
      <c r="F391" s="33">
        <f>VLOOKUP($B391,大盤與近月台指!$A$4:$I$499,5,FALSE)</f>
        <v>0</v>
      </c>
      <c r="G391" s="49">
        <f>VLOOKUP($B391,三大法人買賣超!$A$4:$I$500,3,FALSE)</f>
        <v>0</v>
      </c>
      <c r="H391" s="34">
        <f>VLOOKUP($B391,三大法人買賣超!$A$4:$I$500,5,FALSE)</f>
        <v>0</v>
      </c>
      <c r="I391" s="27">
        <f>VLOOKUP($B391,三大法人買賣超!$A$4:$I$500,7,FALSE)</f>
        <v>0</v>
      </c>
      <c r="J391" s="27">
        <f>VLOOKUP($B391,三大法人買賣超!$A$4:$I$500,9,FALSE)</f>
        <v>0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>
        <f>VLOOKUP($B391,外資期貨未平倉口數!$A$4:$M$499,4,FALSE)</f>
        <v>0</v>
      </c>
      <c r="O391" s="27">
        <f>VLOOKUP($B391,外資期貨未平倉口數!$A$4:$M$499,9,FALSE)</f>
        <v>0</v>
      </c>
      <c r="P391" s="27">
        <f>VLOOKUP($B391,外資期貨未平倉口數!$A$4:$M$499,10,FALSE)</f>
        <v>0</v>
      </c>
      <c r="Q391" s="27">
        <f>VLOOKUP($B391,外資期貨未平倉口數!$A$4:$M$499,11,FALSE)</f>
        <v>0</v>
      </c>
      <c r="R391" s="64">
        <f>VLOOKUP($B391,選擇權未平倉餘額!$A$4:$I$500,6,FALSE)</f>
        <v>0</v>
      </c>
      <c r="S391" s="64">
        <f>VLOOKUP($B391,選擇權未平倉餘額!$A$4:$I$500,7,FALSE)</f>
        <v>0</v>
      </c>
      <c r="T391" s="64">
        <f>VLOOKUP($B391,選擇權未平倉餘額!$A$4:$I$500,8,FALSE)</f>
        <v>0</v>
      </c>
      <c r="U391" s="64">
        <f>VLOOKUP($B391,選擇權未平倉餘額!$A$4:$I$500,9,FALSE)</f>
        <v>0</v>
      </c>
      <c r="V391" s="39">
        <f>VLOOKUP($B391,臺指選擇權P_C_Ratios!$A$4:$C$500,3,FALSE)</f>
        <v>0</v>
      </c>
      <c r="W391" s="41">
        <f>VLOOKUP($B391,散戶多空比!$A$6:$L$500,12,FALSE)</f>
        <v>0</v>
      </c>
      <c r="X391" s="40">
        <f>VLOOKUP($B391,期貨大額交易人未沖銷部位!$A$4:$O$499,4,FALSE)</f>
        <v>0</v>
      </c>
      <c r="Y391" s="40">
        <f>VLOOKUP($B391,期貨大額交易人未沖銷部位!$A$4:$O$499,7,FALSE)</f>
        <v>0</v>
      </c>
      <c r="Z391" s="40">
        <f>VLOOKUP($B391,期貨大額交易人未沖銷部位!$A$4:$O$499,10,FALSE)</f>
        <v>0</v>
      </c>
      <c r="AA391" s="40">
        <f>VLOOKUP($B391,期貨大額交易人未沖銷部位!$A$4:$O$499,13,FALSE)</f>
        <v>0</v>
      </c>
      <c r="AB391" s="40">
        <f>VLOOKUP($B391,期貨大額交易人未沖銷部位!$A$4:$O$499,14,FALSE)</f>
        <v>0</v>
      </c>
      <c r="AC391" s="40">
        <f>VLOOKUP($B391,期貨大額交易人未沖銷部位!$A$4:$O$499,15,FALSE)</f>
        <v>0</v>
      </c>
      <c r="AD391" s="33">
        <f>VLOOKUP($B391,三大美股走勢!$A$4:$J$495,4,FALSE)</f>
        <v>0</v>
      </c>
      <c r="AE391" s="33">
        <f>VLOOKUP($B391,三大美股走勢!$A$4:$J$495,7,FALSE)</f>
        <v>0</v>
      </c>
      <c r="AF391" s="33">
        <f>VLOOKUP($B391,三大美股走勢!$A$4:$J$495,10,FALSE)</f>
        <v>0</v>
      </c>
    </row>
    <row r="392" spans="2:32">
      <c r="B392" s="32">
        <v>43171</v>
      </c>
      <c r="C392" s="33">
        <f>VLOOKUP($B392,大盤與近月台指!$A$4:$I$499,2,FALSE)</f>
        <v>11002.1</v>
      </c>
      <c r="D392" s="34">
        <f>VLOOKUP($B392,大盤與近月台指!$A$4:$I$499,3,FALSE)</f>
        <v>137.28</v>
      </c>
      <c r="E392" s="35">
        <f>VLOOKUP($B392,大盤與近月台指!$A$4:$I$499,4,FALSE)</f>
        <v>1.26E-2</v>
      </c>
      <c r="F392" s="33" t="str">
        <f>VLOOKUP($B392,大盤與近月台指!$A$4:$I$499,5,FALSE)</f>
        <v>1401.03億</v>
      </c>
      <c r="G392" s="49">
        <f>VLOOKUP($B392,三大法人買賣超!$A$4:$I$500,3,FALSE)</f>
        <v>14.0782077</v>
      </c>
      <c r="H392" s="34">
        <f>VLOOKUP($B392,三大法人買賣超!$A$4:$I$500,5,FALSE)</f>
        <v>6.6133670000000006E-2</v>
      </c>
      <c r="I392" s="27">
        <f>VLOOKUP($B392,三大法人買賣超!$A$4:$I$500,7,FALSE)</f>
        <v>2.5064055000000001</v>
      </c>
      <c r="J392" s="27">
        <f>VLOOKUP($B392,三大法人買賣超!$A$4:$I$500,9,FALSE)</f>
        <v>123.71173652</v>
      </c>
      <c r="K392" s="37">
        <f>新台幣匯率美元指數!B393</f>
        <v>29.28</v>
      </c>
      <c r="L392" s="38">
        <f>新台幣匯率美元指數!C393</f>
        <v>-0.02</v>
      </c>
      <c r="M392" s="39">
        <f>新台幣匯率美元指數!D393</f>
        <v>89.894999999999996</v>
      </c>
      <c r="N392" s="27">
        <f>VLOOKUP($B392,外資期貨未平倉口數!$A$4:$M$499,4,FALSE)</f>
        <v>-3468.75</v>
      </c>
      <c r="O392" s="27">
        <f>VLOOKUP($B392,外資期貨未平倉口數!$A$4:$M$499,9,FALSE)</f>
        <v>52813</v>
      </c>
      <c r="P392" s="27">
        <f>VLOOKUP($B392,外資期貨未平倉口數!$A$4:$M$499,10,FALSE)</f>
        <v>4528.25</v>
      </c>
      <c r="Q392" s="27">
        <f>VLOOKUP($B392,外資期貨未平倉口數!$A$4:$M$499,11,FALSE)</f>
        <v>2888.5</v>
      </c>
      <c r="R392" s="64">
        <f>VLOOKUP($B392,選擇權未平倉餘額!$A$4:$I$500,6,FALSE)</f>
        <v>10.0943</v>
      </c>
      <c r="S392" s="64">
        <f>VLOOKUP($B392,選擇權未平倉餘額!$A$4:$I$500,7,FALSE)</f>
        <v>-23.313600000000001</v>
      </c>
      <c r="T392" s="64">
        <f>VLOOKUP($B392,選擇權未平倉餘額!$A$4:$I$500,8,FALSE)</f>
        <v>11.345800000000001</v>
      </c>
      <c r="U392" s="64">
        <f>VLOOKUP($B392,選擇權未平倉餘額!$A$4:$I$500,9,FALSE)</f>
        <v>16.809699999999999</v>
      </c>
      <c r="V392" s="39">
        <f>VLOOKUP($B392,臺指選擇權P_C_Ratios!$A$4:$C$500,3,FALSE)</f>
        <v>1.6403999999999999</v>
      </c>
      <c r="W392" s="41">
        <f>VLOOKUP($B392,散戶多空比!$A$6:$L$500,12,FALSE)</f>
        <v>-0.14801217765042979</v>
      </c>
      <c r="X392" s="40">
        <f>VLOOKUP($B392,期貨大額交易人未沖銷部位!$A$4:$O$499,4,FALSE)</f>
        <v>5324</v>
      </c>
      <c r="Y392" s="40">
        <f>VLOOKUP($B392,期貨大額交易人未沖銷部位!$A$4:$O$499,7,FALSE)</f>
        <v>11070</v>
      </c>
      <c r="Z392" s="40">
        <f>VLOOKUP($B392,期貨大額交易人未沖銷部位!$A$4:$O$499,10,FALSE)</f>
        <v>3218</v>
      </c>
      <c r="AA392" s="40">
        <f>VLOOKUP($B392,期貨大額交易人未沖銷部位!$A$4:$O$499,13,FALSE)</f>
        <v>10585</v>
      </c>
      <c r="AB392" s="40">
        <f>VLOOKUP($B392,期貨大額交易人未沖銷部位!$A$4:$O$499,14,FALSE)</f>
        <v>-2106</v>
      </c>
      <c r="AC392" s="40">
        <f>VLOOKUP($B392,期貨大額交易人未沖銷部位!$A$4:$O$499,15,FALSE)</f>
        <v>-485</v>
      </c>
      <c r="AD392" s="33">
        <f>VLOOKUP($B392,三大美股走勢!$A$4:$J$495,4,FALSE)</f>
        <v>-6.1999999999999998E-3</v>
      </c>
      <c r="AE392" s="33">
        <f>VLOOKUP($B392,三大美股走勢!$A$4:$J$495,7,FALSE)</f>
        <v>3.5999999999999999E-3</v>
      </c>
      <c r="AF392" s="33">
        <f>VLOOKUP($B392,三大美股走勢!$A$4:$J$495,10,FALSE)</f>
        <v>1.03E-2</v>
      </c>
    </row>
    <row r="393" spans="2:32">
      <c r="B393" s="32">
        <v>43172</v>
      </c>
      <c r="C393" s="33">
        <f>VLOOKUP($B393,大盤與近月台指!$A$4:$I$499,2,FALSE)</f>
        <v>11095.63</v>
      </c>
      <c r="D393" s="34">
        <f>VLOOKUP($B393,大盤與近月台指!$A$4:$I$499,3,FALSE)</f>
        <v>93.53</v>
      </c>
      <c r="E393" s="35">
        <f>VLOOKUP($B393,大盤與近月台指!$A$4:$I$499,4,FALSE)</f>
        <v>8.5000000000000006E-3</v>
      </c>
      <c r="F393" s="33" t="str">
        <f>VLOOKUP($B393,大盤與近月台指!$A$4:$I$499,5,FALSE)</f>
        <v>1307.8億</v>
      </c>
      <c r="G393" s="49">
        <f>VLOOKUP($B393,三大法人買賣超!$A$4:$I$500,3,FALSE)</f>
        <v>4.7463575000000002</v>
      </c>
      <c r="H393" s="34">
        <f>VLOOKUP($B393,三大法人買賣超!$A$4:$I$500,5,FALSE)</f>
        <v>-7.6127334099999997</v>
      </c>
      <c r="I393" s="27">
        <f>VLOOKUP($B393,三大法人買賣超!$A$4:$I$500,7,FALSE)</f>
        <v>-1.75829824</v>
      </c>
      <c r="J393" s="27">
        <f>VLOOKUP($B393,三大法人買賣超!$A$4:$I$500,9,FALSE)</f>
        <v>76.847195740000004</v>
      </c>
      <c r="K393" s="37">
        <f>新台幣匯率美元指數!B394</f>
        <v>29.251999999999999</v>
      </c>
      <c r="L393" s="38">
        <f>新台幣匯率美元指數!C394</f>
        <v>-2.8000000000000001E-2</v>
      </c>
      <c r="M393" s="39">
        <f>新台幣匯率美元指數!D394</f>
        <v>89.664000000000001</v>
      </c>
      <c r="N393" s="27">
        <f>VLOOKUP($B393,外資期貨未平倉口數!$A$4:$M$499,4,FALSE)</f>
        <v>-2002</v>
      </c>
      <c r="O393" s="27">
        <f>VLOOKUP($B393,外資期貨未平倉口數!$A$4:$M$499,9,FALSE)</f>
        <v>52205</v>
      </c>
      <c r="P393" s="27">
        <f>VLOOKUP($B393,外資期貨未平倉口數!$A$4:$M$499,10,FALSE)</f>
        <v>3920.25</v>
      </c>
      <c r="Q393" s="27">
        <f>VLOOKUP($B393,外資期貨未平倉口數!$A$4:$M$499,11,FALSE)</f>
        <v>-608</v>
      </c>
      <c r="R393" s="64">
        <f>VLOOKUP($B393,選擇權未平倉餘額!$A$4:$I$500,6,FALSE)</f>
        <v>8.1355000000000004</v>
      </c>
      <c r="S393" s="64">
        <f>VLOOKUP($B393,選擇權未平倉餘額!$A$4:$I$500,7,FALSE)</f>
        <v>-17.146899999999999</v>
      </c>
      <c r="T393" s="64">
        <f>VLOOKUP($B393,選擇權未平倉餘額!$A$4:$I$500,8,FALSE)</f>
        <v>17.700700000000001</v>
      </c>
      <c r="U393" s="64">
        <f>VLOOKUP($B393,選擇權未平倉餘額!$A$4:$I$500,9,FALSE)</f>
        <v>13.201599999999999</v>
      </c>
      <c r="V393" s="39">
        <f>VLOOKUP($B393,臺指選擇權P_C_Ratios!$A$4:$C$500,3,FALSE)</f>
        <v>1.7375</v>
      </c>
      <c r="W393" s="41">
        <f>VLOOKUP($B393,散戶多空比!$A$6:$L$500,12,FALSE)</f>
        <v>-0.16961807849874455</v>
      </c>
      <c r="X393" s="40">
        <f>VLOOKUP($B393,期貨大額交易人未沖銷部位!$A$4:$O$499,4,FALSE)</f>
        <v>5145</v>
      </c>
      <c r="Y393" s="40">
        <f>VLOOKUP($B393,期貨大額交易人未沖銷部位!$A$4:$O$499,7,FALSE)</f>
        <v>12064</v>
      </c>
      <c r="Z393" s="40">
        <f>VLOOKUP($B393,期貨大額交易人未沖銷部位!$A$4:$O$499,10,FALSE)</f>
        <v>2791</v>
      </c>
      <c r="AA393" s="40">
        <f>VLOOKUP($B393,期貨大額交易人未沖銷部位!$A$4:$O$499,13,FALSE)</f>
        <v>12720</v>
      </c>
      <c r="AB393" s="40">
        <f>VLOOKUP($B393,期貨大額交易人未沖銷部位!$A$4:$O$499,14,FALSE)</f>
        <v>-2354</v>
      </c>
      <c r="AC393" s="40">
        <f>VLOOKUP($B393,期貨大額交易人未沖銷部位!$A$4:$O$499,15,FALSE)</f>
        <v>656</v>
      </c>
      <c r="AD393" s="33">
        <f>VLOOKUP($B393,三大美股走勢!$A$4:$J$495,4,FALSE)</f>
        <v>-6.7999999999999996E-3</v>
      </c>
      <c r="AE393" s="33">
        <f>VLOOKUP($B393,三大美股走勢!$A$4:$J$495,7,FALSE)</f>
        <v>-1.0200000000000001E-2</v>
      </c>
      <c r="AF393" s="33">
        <f>VLOOKUP($B393,三大美股走勢!$A$4:$J$495,10,FALSE)</f>
        <v>1.03E-2</v>
      </c>
    </row>
    <row r="394" spans="2:32">
      <c r="B394" s="32">
        <v>43173</v>
      </c>
      <c r="C394" s="33">
        <f>VLOOKUP($B394,大盤與近月台指!$A$4:$I$499,2,FALSE)</f>
        <v>11038.8</v>
      </c>
      <c r="D394" s="34">
        <f>VLOOKUP($B394,大盤與近月台指!$A$4:$I$499,3,FALSE)</f>
        <v>-56.83</v>
      </c>
      <c r="E394" s="35">
        <f>VLOOKUP($B394,大盤與近月台指!$A$4:$I$499,4,FALSE)</f>
        <v>-5.1000000000000004E-3</v>
      </c>
      <c r="F394" s="33" t="str">
        <f>VLOOKUP($B394,大盤與近月台指!$A$4:$I$499,5,FALSE)</f>
        <v>1186.62億</v>
      </c>
      <c r="G394" s="49">
        <f>VLOOKUP($B394,三大法人買賣超!$A$4:$I$500,3,FALSE)</f>
        <v>5.8770065000000002</v>
      </c>
      <c r="H394" s="34">
        <f>VLOOKUP($B394,三大法人買賣超!$A$4:$I$500,5,FALSE)</f>
        <v>-13.3848418</v>
      </c>
      <c r="I394" s="27">
        <f>VLOOKUP($B394,三大法人買賣超!$A$4:$I$500,7,FALSE)</f>
        <v>-2.3694795900000001</v>
      </c>
      <c r="J394" s="27">
        <f>VLOOKUP($B394,三大法人買賣超!$A$4:$I$500,9,FALSE)</f>
        <v>-83.188114389999996</v>
      </c>
      <c r="K394" s="37">
        <f>新台幣匯率美元指數!B395</f>
        <v>29.257000000000001</v>
      </c>
      <c r="L394" s="38">
        <f>新台幣匯率美元指數!C395</f>
        <v>5.0000000000000001E-3</v>
      </c>
      <c r="M394" s="39">
        <f>新台幣匯率美元指數!D395</f>
        <v>89.703999999999994</v>
      </c>
      <c r="N394" s="27">
        <f>VLOOKUP($B394,外資期貨未平倉口數!$A$4:$M$499,4,FALSE)</f>
        <v>-2118</v>
      </c>
      <c r="O394" s="27">
        <f>VLOOKUP($B394,外資期貨未平倉口數!$A$4:$M$499,9,FALSE)</f>
        <v>49338</v>
      </c>
      <c r="P394" s="27">
        <f>VLOOKUP($B394,外資期貨未平倉口數!$A$4:$M$499,10,FALSE)</f>
        <v>1053.25</v>
      </c>
      <c r="Q394" s="27">
        <f>VLOOKUP($B394,外資期貨未平倉口數!$A$4:$M$499,11,FALSE)</f>
        <v>-2867</v>
      </c>
      <c r="R394" s="64">
        <f>VLOOKUP($B394,選擇權未平倉餘額!$A$4:$I$500,6,FALSE)</f>
        <v>3.5952000000000002</v>
      </c>
      <c r="S394" s="64">
        <f>VLOOKUP($B394,選擇權未平倉餘額!$A$4:$I$500,7,FALSE)</f>
        <v>-18.141500000000001</v>
      </c>
      <c r="T394" s="64">
        <f>VLOOKUP($B394,選擇權未平倉餘額!$A$4:$I$500,8,FALSE)</f>
        <v>13.3078</v>
      </c>
      <c r="U394" s="64">
        <f>VLOOKUP($B394,選擇權未平倉餘額!$A$4:$I$500,9,FALSE)</f>
        <v>17.308</v>
      </c>
      <c r="V394" s="39">
        <f>VLOOKUP($B394,臺指選擇權P_C_Ratios!$A$4:$C$500,3,FALSE)</f>
        <v>1.6505000000000001</v>
      </c>
      <c r="W394" s="41">
        <f>VLOOKUP($B394,散戶多空比!$A$6:$L$500,12,FALSE)</f>
        <v>-0.13101953831551424</v>
      </c>
      <c r="X394" s="40">
        <f>VLOOKUP($B394,期貨大額交易人未沖銷部位!$A$4:$O$499,4,FALSE)</f>
        <v>7620</v>
      </c>
      <c r="Y394" s="40">
        <f>VLOOKUP($B394,期貨大額交易人未沖銷部位!$A$4:$O$499,7,FALSE)</f>
        <v>14933</v>
      </c>
      <c r="Z394" s="40">
        <f>VLOOKUP($B394,期貨大額交易人未沖銷部位!$A$4:$O$499,10,FALSE)</f>
        <v>5553</v>
      </c>
      <c r="AA394" s="40">
        <f>VLOOKUP($B394,期貨大額交易人未沖銷部位!$A$4:$O$499,13,FALSE)</f>
        <v>16419</v>
      </c>
      <c r="AB394" s="40">
        <f>VLOOKUP($B394,期貨大額交易人未沖銷部位!$A$4:$O$499,14,FALSE)</f>
        <v>-2067</v>
      </c>
      <c r="AC394" s="40">
        <f>VLOOKUP($B394,期貨大額交易人未沖銷部位!$A$4:$O$499,15,FALSE)</f>
        <v>1486</v>
      </c>
      <c r="AD394" s="33">
        <f>VLOOKUP($B394,三大美股走勢!$A$4:$J$495,4,FALSE)</f>
        <v>-0.01</v>
      </c>
      <c r="AE394" s="33">
        <f>VLOOKUP($B394,三大美股走勢!$A$4:$J$495,7,FALSE)</f>
        <v>-1.9E-3</v>
      </c>
      <c r="AF394" s="33">
        <f>VLOOKUP($B394,三大美股走勢!$A$4:$J$495,10,FALSE)</f>
        <v>0</v>
      </c>
    </row>
    <row r="395" spans="2:32">
      <c r="B395" s="32">
        <v>43174</v>
      </c>
      <c r="C395" s="33">
        <f>VLOOKUP($B395,大盤與近月台指!$A$4:$I$499,2,FALSE)</f>
        <v>11018.45</v>
      </c>
      <c r="D395" s="34">
        <f>VLOOKUP($B395,大盤與近月台指!$A$4:$I$499,3,FALSE)</f>
        <v>-20.350000000000001</v>
      </c>
      <c r="E395" s="35">
        <f>VLOOKUP($B395,大盤與近月台指!$A$4:$I$499,4,FALSE)</f>
        <v>-1.8E-3</v>
      </c>
      <c r="F395" s="33" t="str">
        <f>VLOOKUP($B395,大盤與近月台指!$A$4:$I$499,5,FALSE)</f>
        <v>1111.23億</v>
      </c>
      <c r="G395" s="49">
        <f>VLOOKUP($B395,三大法人買賣超!$A$4:$I$500,3,FALSE)</f>
        <v>3.1047132999999998</v>
      </c>
      <c r="H395" s="34">
        <f>VLOOKUP($B395,三大法人買賣超!$A$4:$I$500,5,FALSE)</f>
        <v>-11.2537035</v>
      </c>
      <c r="I395" s="27">
        <f>VLOOKUP($B395,三大法人買賣超!$A$4:$I$500,7,FALSE)</f>
        <v>-7.1007774399999999</v>
      </c>
      <c r="J395" s="27">
        <f>VLOOKUP($B395,三大法人買賣超!$A$4:$I$500,9,FALSE)</f>
        <v>-20.57128118</v>
      </c>
      <c r="K395" s="37">
        <f>新台幣匯率美元指數!B396</f>
        <v>29.2</v>
      </c>
      <c r="L395" s="38">
        <f>新台幣匯率美元指數!C396</f>
        <v>-5.7000000000000002E-2</v>
      </c>
      <c r="M395" s="39">
        <f>新台幣匯率美元指數!D396</f>
        <v>90.138999999999996</v>
      </c>
      <c r="N395" s="27">
        <f>VLOOKUP($B395,外資期貨未平倉口數!$A$4:$M$499,4,FALSE)</f>
        <v>-2906</v>
      </c>
      <c r="O395" s="27">
        <f>VLOOKUP($B395,外資期貨未平倉口數!$A$4:$M$499,9,FALSE)</f>
        <v>50190.75</v>
      </c>
      <c r="P395" s="27">
        <f>VLOOKUP($B395,外資期貨未平倉口數!$A$4:$M$499,10,FALSE)</f>
        <v>1906</v>
      </c>
      <c r="Q395" s="27">
        <f>VLOOKUP($B395,外資期貨未平倉口數!$A$4:$M$499,11,FALSE)</f>
        <v>852.75</v>
      </c>
      <c r="R395" s="64">
        <f>VLOOKUP($B395,選擇權未平倉餘額!$A$4:$I$500,6,FALSE)</f>
        <v>3.7642000000000002</v>
      </c>
      <c r="S395" s="64">
        <f>VLOOKUP($B395,選擇權未平倉餘額!$A$4:$I$500,7,FALSE)</f>
        <v>-17.942</v>
      </c>
      <c r="T395" s="64">
        <f>VLOOKUP($B395,選擇權未平倉餘額!$A$4:$I$500,8,FALSE)</f>
        <v>12.351000000000001</v>
      </c>
      <c r="U395" s="64">
        <f>VLOOKUP($B395,選擇權未平倉餘額!$A$4:$I$500,9,FALSE)</f>
        <v>15.617699999999999</v>
      </c>
      <c r="V395" s="39">
        <f>VLOOKUP($B395,臺指選擇權P_C_Ratios!$A$4:$C$500,3,FALSE)</f>
        <v>1.6113999999999999</v>
      </c>
      <c r="W395" s="41">
        <f>VLOOKUP($B395,散戶多空比!$A$6:$L$500,12,FALSE)</f>
        <v>-0.15108531044926804</v>
      </c>
      <c r="X395" s="40">
        <f>VLOOKUP($B395,期貨大額交易人未沖銷部位!$A$4:$O$499,4,FALSE)</f>
        <v>7855</v>
      </c>
      <c r="Y395" s="40">
        <f>VLOOKUP($B395,期貨大額交易人未沖銷部位!$A$4:$O$499,7,FALSE)</f>
        <v>15453</v>
      </c>
      <c r="Z395" s="40">
        <f>VLOOKUP($B395,期貨大額交易人未沖銷部位!$A$4:$O$499,10,FALSE)</f>
        <v>4082</v>
      </c>
      <c r="AA395" s="40">
        <f>VLOOKUP($B395,期貨大額交易人未沖銷部位!$A$4:$O$499,13,FALSE)</f>
        <v>15967</v>
      </c>
      <c r="AB395" s="40">
        <f>VLOOKUP($B395,期貨大額交易人未沖銷部位!$A$4:$O$499,14,FALSE)</f>
        <v>-3773</v>
      </c>
      <c r="AC395" s="40">
        <f>VLOOKUP($B395,期貨大額交易人未沖銷部位!$A$4:$O$499,15,FALSE)</f>
        <v>514</v>
      </c>
      <c r="AD395" s="33">
        <f>VLOOKUP($B395,三大美股走勢!$A$4:$J$495,4,FALSE)</f>
        <v>4.7000000000000002E-3</v>
      </c>
      <c r="AE395" s="33">
        <f>VLOOKUP($B395,三大美股走勢!$A$4:$J$495,7,FALSE)</f>
        <v>-2E-3</v>
      </c>
      <c r="AF395" s="33">
        <f>VLOOKUP($B395,三大美股走勢!$A$4:$J$495,10,FALSE)</f>
        <v>-1E-3</v>
      </c>
    </row>
    <row r="396" spans="2:32">
      <c r="B396" s="32">
        <v>43175</v>
      </c>
      <c r="C396" s="33">
        <f>VLOOKUP($B396,大盤與近月台指!$A$4:$I$499,2,FALSE)</f>
        <v>11027.7</v>
      </c>
      <c r="D396" s="34">
        <f>VLOOKUP($B396,大盤與近月台指!$A$4:$I$499,3,FALSE)</f>
        <v>9.25</v>
      </c>
      <c r="E396" s="35">
        <f>VLOOKUP($B396,大盤與近月台指!$A$4:$I$499,4,FALSE)</f>
        <v>8.0000000000000004E-4</v>
      </c>
      <c r="F396" s="33" t="str">
        <f>VLOOKUP($B396,大盤與近月台指!$A$4:$I$499,5,FALSE)</f>
        <v>1663.85億</v>
      </c>
      <c r="G396" s="49">
        <f>VLOOKUP($B396,三大法人買賣超!$A$4:$I$500,3,FALSE)</f>
        <v>2.0383686000000001</v>
      </c>
      <c r="H396" s="34">
        <f>VLOOKUP($B396,三大法人買賣超!$A$4:$I$500,5,FALSE)</f>
        <v>-14.29122053</v>
      </c>
      <c r="I396" s="27">
        <f>VLOOKUP($B396,三大法人買賣超!$A$4:$I$500,7,FALSE)</f>
        <v>-0.64631503000000001</v>
      </c>
      <c r="J396" s="27">
        <f>VLOOKUP($B396,三大法人買賣超!$A$4:$I$500,9,FALSE)</f>
        <v>15.64145407</v>
      </c>
      <c r="K396" s="37">
        <f>新台幣匯率美元指數!B397</f>
        <v>29.231000000000002</v>
      </c>
      <c r="L396" s="38">
        <f>新台幣匯率美元指數!C397</f>
        <v>3.1E-2</v>
      </c>
      <c r="M396" s="39">
        <f>新台幣匯率美元指數!D397</f>
        <v>0</v>
      </c>
      <c r="N396" s="27">
        <f>VLOOKUP($B396,外資期貨未平倉口數!$A$4:$M$499,4,FALSE)</f>
        <v>-212.75</v>
      </c>
      <c r="O396" s="27">
        <f>VLOOKUP($B396,外資期貨未平倉口數!$A$4:$M$499,9,FALSE)</f>
        <v>42889</v>
      </c>
      <c r="P396" s="27">
        <f>VLOOKUP($B396,外資期貨未平倉口數!$A$4:$M$499,10,FALSE)</f>
        <v>-5395.75</v>
      </c>
      <c r="Q396" s="27">
        <f>VLOOKUP($B396,外資期貨未平倉口數!$A$4:$M$499,11,FALSE)</f>
        <v>-7301.75</v>
      </c>
      <c r="R396" s="64">
        <f>VLOOKUP($B396,選擇權未平倉餘額!$A$4:$I$500,6,FALSE)</f>
        <v>-3.5264000000000002</v>
      </c>
      <c r="S396" s="64">
        <f>VLOOKUP($B396,選擇權未平倉餘額!$A$4:$I$500,7,FALSE)</f>
        <v>-15.0884</v>
      </c>
      <c r="T396" s="64">
        <f>VLOOKUP($B396,選擇權未平倉餘額!$A$4:$I$500,8,FALSE)</f>
        <v>11.1181</v>
      </c>
      <c r="U396" s="64">
        <f>VLOOKUP($B396,選擇權未平倉餘額!$A$4:$I$500,9,FALSE)</f>
        <v>17.461600000000001</v>
      </c>
      <c r="V396" s="39">
        <f>VLOOKUP($B396,臺指選擇權P_C_Ratios!$A$4:$C$500,3,FALSE)</f>
        <v>1.5497000000000001</v>
      </c>
      <c r="W396" s="41">
        <f>VLOOKUP($B396,散戶多空比!$A$6:$L$500,12,FALSE)</f>
        <v>-0.10785098410157529</v>
      </c>
      <c r="X396" s="40">
        <f>VLOOKUP($B396,期貨大額交易人未沖銷部位!$A$4:$O$499,4,FALSE)</f>
        <v>5567</v>
      </c>
      <c r="Y396" s="40">
        <f>VLOOKUP($B396,期貨大額交易人未沖銷部位!$A$4:$O$499,7,FALSE)</f>
        <v>10436</v>
      </c>
      <c r="Z396" s="40">
        <f>VLOOKUP($B396,期貨大額交易人未沖銷部位!$A$4:$O$499,10,FALSE)</f>
        <v>2880</v>
      </c>
      <c r="AA396" s="40">
        <f>VLOOKUP($B396,期貨大額交易人未沖銷部位!$A$4:$O$499,13,FALSE)</f>
        <v>11910</v>
      </c>
      <c r="AB396" s="40">
        <f>VLOOKUP($B396,期貨大額交易人未沖銷部位!$A$4:$O$499,14,FALSE)</f>
        <v>-2687</v>
      </c>
      <c r="AC396" s="40">
        <f>VLOOKUP($B396,期貨大額交易人未沖銷部位!$A$4:$O$499,15,FALSE)</f>
        <v>1474</v>
      </c>
      <c r="AD396" s="33" t="e">
        <f>VLOOKUP($B396,三大美股走勢!$A$4:$J$495,4,FALSE)</f>
        <v>#N/A</v>
      </c>
      <c r="AE396" s="33" t="e">
        <f>VLOOKUP($B396,三大美股走勢!$A$4:$J$495,7,FALSE)</f>
        <v>#N/A</v>
      </c>
      <c r="AF396" s="33" t="e">
        <f>VLOOKUP($B396,三大美股走勢!$A$4:$J$495,10,FALSE)</f>
        <v>#N/A</v>
      </c>
    </row>
    <row r="397" spans="2:32">
      <c r="B397" s="32">
        <v>43176</v>
      </c>
      <c r="C397" s="33" t="e">
        <f>VLOOKUP($B397,大盤與近月台指!$A$4:$I$499,2,FALSE)</f>
        <v>#N/A</v>
      </c>
      <c r="D397" s="34" t="e">
        <f>VLOOKUP($B397,大盤與近月台指!$A$4:$I$499,3,FALSE)</f>
        <v>#N/A</v>
      </c>
      <c r="E397" s="35" t="e">
        <f>VLOOKUP($B397,大盤與近月台指!$A$4:$I$499,4,FALSE)</f>
        <v>#N/A</v>
      </c>
      <c r="F397" s="33" t="e">
        <f>VLOOKUP($B397,大盤與近月台指!$A$4:$I$499,5,FALSE)</f>
        <v>#N/A</v>
      </c>
      <c r="G397" s="49" t="e">
        <f>VLOOKUP($B397,三大法人買賣超!$A$4:$I$500,3,FALSE)</f>
        <v>#N/A</v>
      </c>
      <c r="H397" s="34" t="e">
        <f>VLOOKUP($B397,三大法人買賣超!$A$4:$I$500,5,FALSE)</f>
        <v>#N/A</v>
      </c>
      <c r="I397" s="27" t="e">
        <f>VLOOKUP($B397,三大法人買賣超!$A$4:$I$500,7,FALSE)</f>
        <v>#N/A</v>
      </c>
      <c r="J397" s="27" t="e">
        <f>VLOOKUP($B397,三大法人買賣超!$A$4:$I$500,9,FALSE)</f>
        <v>#N/A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 t="e">
        <f>VLOOKUP($B397,外資期貨未平倉口數!$A$4:$M$499,4,FALSE)</f>
        <v>#N/A</v>
      </c>
      <c r="O397" s="27" t="e">
        <f>VLOOKUP($B397,外資期貨未平倉口數!$A$4:$M$499,9,FALSE)</f>
        <v>#N/A</v>
      </c>
      <c r="P397" s="27" t="e">
        <f>VLOOKUP($B397,外資期貨未平倉口數!$A$4:$M$499,10,FALSE)</f>
        <v>#N/A</v>
      </c>
      <c r="Q397" s="27" t="e">
        <f>VLOOKUP($B397,外資期貨未平倉口數!$A$4:$M$499,11,FALSE)</f>
        <v>#N/A</v>
      </c>
      <c r="R397" s="64" t="e">
        <f>VLOOKUP($B397,選擇權未平倉餘額!$A$4:$I$500,6,FALSE)</f>
        <v>#N/A</v>
      </c>
      <c r="S397" s="64" t="e">
        <f>VLOOKUP($B397,選擇權未平倉餘額!$A$4:$I$500,7,FALSE)</f>
        <v>#N/A</v>
      </c>
      <c r="T397" s="64" t="e">
        <f>VLOOKUP($B397,選擇權未平倉餘額!$A$4:$I$500,8,FALSE)</f>
        <v>#N/A</v>
      </c>
      <c r="U397" s="64" t="e">
        <f>VLOOKUP($B397,選擇權未平倉餘額!$A$4:$I$500,9,FALSE)</f>
        <v>#N/A</v>
      </c>
      <c r="V397" s="39" t="e">
        <f>VLOOKUP($B397,臺指選擇權P_C_Ratios!$A$4:$C$500,3,FALSE)</f>
        <v>#N/A</v>
      </c>
      <c r="W397" s="41" t="e">
        <f>VLOOKUP($B397,散戶多空比!$A$6:$L$500,12,FALSE)</f>
        <v>#N/A</v>
      </c>
      <c r="X397" s="40" t="e">
        <f>VLOOKUP($B397,期貨大額交易人未沖銷部位!$A$4:$O$499,4,FALSE)</f>
        <v>#N/A</v>
      </c>
      <c r="Y397" s="40" t="e">
        <f>VLOOKUP($B397,期貨大額交易人未沖銷部位!$A$4:$O$499,7,FALSE)</f>
        <v>#N/A</v>
      </c>
      <c r="Z397" s="40" t="e">
        <f>VLOOKUP($B397,期貨大額交易人未沖銷部位!$A$4:$O$499,10,FALSE)</f>
        <v>#N/A</v>
      </c>
      <c r="AA397" s="40" t="e">
        <f>VLOOKUP($B397,期貨大額交易人未沖銷部位!$A$4:$O$499,13,FALSE)</f>
        <v>#N/A</v>
      </c>
      <c r="AB397" s="40" t="e">
        <f>VLOOKUP($B397,期貨大額交易人未沖銷部位!$A$4:$O$499,14,FALSE)</f>
        <v>#N/A</v>
      </c>
      <c r="AC397" s="40" t="e">
        <f>VLOOKUP($B397,期貨大額交易人未沖銷部位!$A$4:$O$499,15,FALSE)</f>
        <v>#N/A</v>
      </c>
      <c r="AD397" s="33" t="e">
        <f>VLOOKUP($B397,三大美股走勢!$A$4:$J$495,4,FALSE)</f>
        <v>#N/A</v>
      </c>
      <c r="AE397" s="33" t="e">
        <f>VLOOKUP($B397,三大美股走勢!$A$4:$J$495,7,FALSE)</f>
        <v>#N/A</v>
      </c>
      <c r="AF397" s="33" t="e">
        <f>VLOOKUP($B397,三大美股走勢!$A$4:$J$495,10,FALSE)</f>
        <v>#N/A</v>
      </c>
    </row>
    <row r="398" spans="2:32">
      <c r="B398" s="32">
        <v>43177</v>
      </c>
      <c r="C398" s="33" t="e">
        <f>VLOOKUP($B398,大盤與近月台指!$A$4:$I$499,2,FALSE)</f>
        <v>#N/A</v>
      </c>
      <c r="D398" s="34" t="e">
        <f>VLOOKUP($B398,大盤與近月台指!$A$4:$I$499,3,FALSE)</f>
        <v>#N/A</v>
      </c>
      <c r="E398" s="35" t="e">
        <f>VLOOKUP($B398,大盤與近月台指!$A$4:$I$499,4,FALSE)</f>
        <v>#N/A</v>
      </c>
      <c r="F398" s="33" t="e">
        <f>VLOOKUP($B398,大盤與近月台指!$A$4:$I$499,5,FALSE)</f>
        <v>#N/A</v>
      </c>
      <c r="G398" s="49" t="e">
        <f>VLOOKUP($B398,三大法人買賣超!$A$4:$I$500,3,FALSE)</f>
        <v>#N/A</v>
      </c>
      <c r="H398" s="34" t="e">
        <f>VLOOKUP($B398,三大法人買賣超!$A$4:$I$500,5,FALSE)</f>
        <v>#N/A</v>
      </c>
      <c r="I398" s="27" t="e">
        <f>VLOOKUP($B398,三大法人買賣超!$A$4:$I$500,7,FALSE)</f>
        <v>#N/A</v>
      </c>
      <c r="J398" s="27" t="e">
        <f>VLOOKUP($B398,三大法人買賣超!$A$4:$I$500,9,FALSE)</f>
        <v>#N/A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 t="e">
        <f>VLOOKUP($B398,外資期貨未平倉口數!$A$4:$M$499,4,FALSE)</f>
        <v>#N/A</v>
      </c>
      <c r="O398" s="27" t="e">
        <f>VLOOKUP($B398,外資期貨未平倉口數!$A$4:$M$499,9,FALSE)</f>
        <v>#N/A</v>
      </c>
      <c r="P398" s="27" t="e">
        <f>VLOOKUP($B398,外資期貨未平倉口數!$A$4:$M$499,10,FALSE)</f>
        <v>#N/A</v>
      </c>
      <c r="Q398" s="27" t="e">
        <f>VLOOKUP($B398,外資期貨未平倉口數!$A$4:$M$499,11,FALSE)</f>
        <v>#N/A</v>
      </c>
      <c r="R398" s="64" t="e">
        <f>VLOOKUP($B398,選擇權未平倉餘額!$A$4:$I$500,6,FALSE)</f>
        <v>#N/A</v>
      </c>
      <c r="S398" s="64" t="e">
        <f>VLOOKUP($B398,選擇權未平倉餘額!$A$4:$I$500,7,FALSE)</f>
        <v>#N/A</v>
      </c>
      <c r="T398" s="64" t="e">
        <f>VLOOKUP($B398,選擇權未平倉餘額!$A$4:$I$500,8,FALSE)</f>
        <v>#N/A</v>
      </c>
      <c r="U398" s="64" t="e">
        <f>VLOOKUP($B398,選擇權未平倉餘額!$A$4:$I$500,9,FALSE)</f>
        <v>#N/A</v>
      </c>
      <c r="V398" s="39" t="e">
        <f>VLOOKUP($B398,臺指選擇權P_C_Ratios!$A$4:$C$500,3,FALSE)</f>
        <v>#N/A</v>
      </c>
      <c r="W398" s="41" t="e">
        <f>VLOOKUP($B398,散戶多空比!$A$6:$L$500,12,FALSE)</f>
        <v>#N/A</v>
      </c>
      <c r="X398" s="40" t="e">
        <f>VLOOKUP($B398,期貨大額交易人未沖銷部位!$A$4:$O$499,4,FALSE)</f>
        <v>#N/A</v>
      </c>
      <c r="Y398" s="40" t="e">
        <f>VLOOKUP($B398,期貨大額交易人未沖銷部位!$A$4:$O$499,7,FALSE)</f>
        <v>#N/A</v>
      </c>
      <c r="Z398" s="40" t="e">
        <f>VLOOKUP($B398,期貨大額交易人未沖銷部位!$A$4:$O$499,10,FALSE)</f>
        <v>#N/A</v>
      </c>
      <c r="AA398" s="40" t="e">
        <f>VLOOKUP($B398,期貨大額交易人未沖銷部位!$A$4:$O$499,13,FALSE)</f>
        <v>#N/A</v>
      </c>
      <c r="AB398" s="40" t="e">
        <f>VLOOKUP($B398,期貨大額交易人未沖銷部位!$A$4:$O$499,14,FALSE)</f>
        <v>#N/A</v>
      </c>
      <c r="AC398" s="40" t="e">
        <f>VLOOKUP($B398,期貨大額交易人未沖銷部位!$A$4:$O$499,15,FALSE)</f>
        <v>#N/A</v>
      </c>
      <c r="AD398" s="33" t="e">
        <f>VLOOKUP($B398,三大美股走勢!$A$4:$J$495,4,FALSE)</f>
        <v>#N/A</v>
      </c>
      <c r="AE398" s="33" t="e">
        <f>VLOOKUP($B398,三大美股走勢!$A$4:$J$495,7,FALSE)</f>
        <v>#N/A</v>
      </c>
      <c r="AF398" s="33" t="e">
        <f>VLOOKUP($B398,三大美股走勢!$A$4:$J$495,10,FALSE)</f>
        <v>#N/A</v>
      </c>
    </row>
    <row r="399" spans="2:32">
      <c r="B399" s="32">
        <v>43178</v>
      </c>
      <c r="C399" s="33" t="e">
        <f>VLOOKUP($B399,大盤與近月台指!$A$4:$I$499,2,FALSE)</f>
        <v>#N/A</v>
      </c>
      <c r="D399" s="34" t="e">
        <f>VLOOKUP($B399,大盤與近月台指!$A$4:$I$499,3,FALSE)</f>
        <v>#N/A</v>
      </c>
      <c r="E399" s="35" t="e">
        <f>VLOOKUP($B399,大盤與近月台指!$A$4:$I$499,4,FALSE)</f>
        <v>#N/A</v>
      </c>
      <c r="F399" s="33" t="e">
        <f>VLOOKUP($B399,大盤與近月台指!$A$4:$I$499,5,FALSE)</f>
        <v>#N/A</v>
      </c>
      <c r="G399" s="49" t="e">
        <f>VLOOKUP($B399,三大法人買賣超!$A$4:$I$500,3,FALSE)</f>
        <v>#N/A</v>
      </c>
      <c r="H399" s="34" t="e">
        <f>VLOOKUP($B399,三大法人買賣超!$A$4:$I$500,5,FALSE)</f>
        <v>#N/A</v>
      </c>
      <c r="I399" s="27" t="e">
        <f>VLOOKUP($B399,三大法人買賣超!$A$4:$I$500,7,FALSE)</f>
        <v>#N/A</v>
      </c>
      <c r="J399" s="27" t="e">
        <f>VLOOKUP($B399,三大法人買賣超!$A$4:$I$500,9,FALSE)</f>
        <v>#N/A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0</v>
      </c>
      <c r="N399" s="27" t="e">
        <f>VLOOKUP($B399,外資期貨未平倉口數!$A$4:$M$499,4,FALSE)</f>
        <v>#N/A</v>
      </c>
      <c r="O399" s="27" t="e">
        <f>VLOOKUP($B399,外資期貨未平倉口數!$A$4:$M$499,9,FALSE)</f>
        <v>#N/A</v>
      </c>
      <c r="P399" s="27" t="e">
        <f>VLOOKUP($B399,外資期貨未平倉口數!$A$4:$M$499,10,FALSE)</f>
        <v>#N/A</v>
      </c>
      <c r="Q399" s="27" t="e">
        <f>VLOOKUP($B399,外資期貨未平倉口數!$A$4:$M$499,11,FALSE)</f>
        <v>#N/A</v>
      </c>
      <c r="R399" s="64" t="e">
        <f>VLOOKUP($B399,選擇權未平倉餘額!$A$4:$I$500,6,FALSE)</f>
        <v>#N/A</v>
      </c>
      <c r="S399" s="64" t="e">
        <f>VLOOKUP($B399,選擇權未平倉餘額!$A$4:$I$500,7,FALSE)</f>
        <v>#N/A</v>
      </c>
      <c r="T399" s="64" t="e">
        <f>VLOOKUP($B399,選擇權未平倉餘額!$A$4:$I$500,8,FALSE)</f>
        <v>#N/A</v>
      </c>
      <c r="U399" s="64" t="e">
        <f>VLOOKUP($B399,選擇權未平倉餘額!$A$4:$I$500,9,FALSE)</f>
        <v>#N/A</v>
      </c>
      <c r="V399" s="39" t="e">
        <f>VLOOKUP($B399,臺指選擇權P_C_Ratios!$A$4:$C$500,3,FALSE)</f>
        <v>#N/A</v>
      </c>
      <c r="W399" s="41" t="e">
        <f>VLOOKUP($B399,散戶多空比!$A$6:$L$500,12,FALSE)</f>
        <v>#N/A</v>
      </c>
      <c r="X399" s="40" t="e">
        <f>VLOOKUP($B399,期貨大額交易人未沖銷部位!$A$4:$O$499,4,FALSE)</f>
        <v>#N/A</v>
      </c>
      <c r="Y399" s="40" t="e">
        <f>VLOOKUP($B399,期貨大額交易人未沖銷部位!$A$4:$O$499,7,FALSE)</f>
        <v>#N/A</v>
      </c>
      <c r="Z399" s="40" t="e">
        <f>VLOOKUP($B399,期貨大額交易人未沖銷部位!$A$4:$O$499,10,FALSE)</f>
        <v>#N/A</v>
      </c>
      <c r="AA399" s="40" t="e">
        <f>VLOOKUP($B399,期貨大額交易人未沖銷部位!$A$4:$O$499,13,FALSE)</f>
        <v>#N/A</v>
      </c>
      <c r="AB399" s="40" t="e">
        <f>VLOOKUP($B399,期貨大額交易人未沖銷部位!$A$4:$O$499,14,FALSE)</f>
        <v>#N/A</v>
      </c>
      <c r="AC399" s="40" t="e">
        <f>VLOOKUP($B399,期貨大額交易人未沖銷部位!$A$4:$O$499,15,FALSE)</f>
        <v>#N/A</v>
      </c>
      <c r="AD399" s="33" t="e">
        <f>VLOOKUP($B399,三大美股走勢!$A$4:$J$495,4,FALSE)</f>
        <v>#N/A</v>
      </c>
      <c r="AE399" s="33" t="e">
        <f>VLOOKUP($B399,三大美股走勢!$A$4:$J$495,7,FALSE)</f>
        <v>#N/A</v>
      </c>
      <c r="AF399" s="33" t="e">
        <f>VLOOKUP($B399,三大美股走勢!$A$4:$J$495,10,FALSE)</f>
        <v>#N/A</v>
      </c>
    </row>
    <row r="400" spans="2:32">
      <c r="B400" s="32">
        <v>43179</v>
      </c>
      <c r="C400" s="33" t="e">
        <f>VLOOKUP($B400,大盤與近月台指!$A$4:$I$499,2,FALSE)</f>
        <v>#N/A</v>
      </c>
      <c r="D400" s="34" t="e">
        <f>VLOOKUP($B400,大盤與近月台指!$A$4:$I$499,3,FALSE)</f>
        <v>#N/A</v>
      </c>
      <c r="E400" s="35" t="e">
        <f>VLOOKUP($B400,大盤與近月台指!$A$4:$I$499,4,FALSE)</f>
        <v>#N/A</v>
      </c>
      <c r="F400" s="33" t="e">
        <f>VLOOKUP($B400,大盤與近月台指!$A$4:$I$499,5,FALSE)</f>
        <v>#N/A</v>
      </c>
      <c r="G400" s="49" t="e">
        <f>VLOOKUP($B400,三大法人買賣超!$A$4:$I$500,3,FALSE)</f>
        <v>#N/A</v>
      </c>
      <c r="H400" s="34" t="e">
        <f>VLOOKUP($B400,三大法人買賣超!$A$4:$I$500,5,FALSE)</f>
        <v>#N/A</v>
      </c>
      <c r="I400" s="27" t="e">
        <f>VLOOKUP($B400,三大法人買賣超!$A$4:$I$500,7,FALSE)</f>
        <v>#N/A</v>
      </c>
      <c r="J400" s="27" t="e">
        <f>VLOOKUP($B400,三大法人買賣超!$A$4:$I$500,9,FALSE)</f>
        <v>#N/A</v>
      </c>
      <c r="K400" s="37">
        <f>新台幣匯率美元指數!B401</f>
        <v>0</v>
      </c>
      <c r="L400" s="38">
        <f>新台幣匯率美元指數!C401</f>
        <v>0</v>
      </c>
      <c r="M400" s="39">
        <f>新台幣匯率美元指數!D401</f>
        <v>0</v>
      </c>
      <c r="N400" s="27" t="e">
        <f>VLOOKUP($B400,外資期貨未平倉口數!$A$4:$M$499,4,FALSE)</f>
        <v>#N/A</v>
      </c>
      <c r="O400" s="27" t="e">
        <f>VLOOKUP($B400,外資期貨未平倉口數!$A$4:$M$499,9,FALSE)</f>
        <v>#N/A</v>
      </c>
      <c r="P400" s="27" t="e">
        <f>VLOOKUP($B400,外資期貨未平倉口數!$A$4:$M$499,10,FALSE)</f>
        <v>#N/A</v>
      </c>
      <c r="Q400" s="27" t="e">
        <f>VLOOKUP($B400,外資期貨未平倉口數!$A$4:$M$499,11,FALSE)</f>
        <v>#N/A</v>
      </c>
      <c r="R400" s="64" t="e">
        <f>VLOOKUP($B400,選擇權未平倉餘額!$A$4:$I$500,6,FALSE)</f>
        <v>#N/A</v>
      </c>
      <c r="S400" s="64" t="e">
        <f>VLOOKUP($B400,選擇權未平倉餘額!$A$4:$I$500,7,FALSE)</f>
        <v>#N/A</v>
      </c>
      <c r="T400" s="64" t="e">
        <f>VLOOKUP($B400,選擇權未平倉餘額!$A$4:$I$500,8,FALSE)</f>
        <v>#N/A</v>
      </c>
      <c r="U400" s="64" t="e">
        <f>VLOOKUP($B400,選擇權未平倉餘額!$A$4:$I$500,9,FALSE)</f>
        <v>#N/A</v>
      </c>
      <c r="V400" s="39" t="e">
        <f>VLOOKUP($B400,臺指選擇權P_C_Ratios!$A$4:$C$500,3,FALSE)</f>
        <v>#N/A</v>
      </c>
      <c r="W400" s="41" t="e">
        <f>VLOOKUP($B400,散戶多空比!$A$6:$L$500,12,FALSE)</f>
        <v>#N/A</v>
      </c>
      <c r="X400" s="40" t="e">
        <f>VLOOKUP($B400,期貨大額交易人未沖銷部位!$A$4:$O$499,4,FALSE)</f>
        <v>#N/A</v>
      </c>
      <c r="Y400" s="40" t="e">
        <f>VLOOKUP($B400,期貨大額交易人未沖銷部位!$A$4:$O$499,7,FALSE)</f>
        <v>#N/A</v>
      </c>
      <c r="Z400" s="40" t="e">
        <f>VLOOKUP($B400,期貨大額交易人未沖銷部位!$A$4:$O$499,10,FALSE)</f>
        <v>#N/A</v>
      </c>
      <c r="AA400" s="40" t="e">
        <f>VLOOKUP($B400,期貨大額交易人未沖銷部位!$A$4:$O$499,13,FALSE)</f>
        <v>#N/A</v>
      </c>
      <c r="AB400" s="40" t="e">
        <f>VLOOKUP($B400,期貨大額交易人未沖銷部位!$A$4:$O$499,14,FALSE)</f>
        <v>#N/A</v>
      </c>
      <c r="AC400" s="40" t="e">
        <f>VLOOKUP($B400,期貨大額交易人未沖銷部位!$A$4:$O$499,15,FALSE)</f>
        <v>#N/A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VLOOKUP($B401,外資期貨未平倉口數!$A$4:$M$499,4,FALSE)</f>
        <v>#N/A</v>
      </c>
      <c r="O401" s="27" t="e">
        <f>VLOOKUP($B401,外資期貨未平倉口數!$A$4:$M$499,9,FALSE)</f>
        <v>#N/A</v>
      </c>
      <c r="P401" s="27" t="e">
        <f>VLOOKUP($B401,外資期貨未平倉口數!$A$4:$M$499,10,FALSE)</f>
        <v>#N/A</v>
      </c>
      <c r="Q401" s="27" t="e">
        <f>VLOOKUP($B401,外資期貨未平倉口數!$A$4:$M$499,11,FALSE)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VLOOKUP($B402,外資期貨未平倉口數!$A$4:$M$499,4,FALSE)</f>
        <v>#N/A</v>
      </c>
      <c r="O402" s="27" t="e">
        <f>VLOOKUP($B402,外資期貨未平倉口數!$A$4:$M$499,9,FALSE)</f>
        <v>#N/A</v>
      </c>
      <c r="P402" s="27" t="e">
        <f>VLOOKUP($B402,外資期貨未平倉口數!$A$4:$M$499,10,FALSE)</f>
        <v>#N/A</v>
      </c>
      <c r="Q402" s="27" t="e">
        <f>VLOOKUP($B402,外資期貨未平倉口數!$A$4:$M$499,11,FALSE)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VLOOKUP($B403,外資期貨未平倉口數!$A$4:$M$499,4,FALSE)</f>
        <v>#N/A</v>
      </c>
      <c r="O403" s="27" t="e">
        <f>VLOOKUP($B403,外資期貨未平倉口數!$A$4:$M$499,9,FALSE)</f>
        <v>#N/A</v>
      </c>
      <c r="P403" s="27" t="e">
        <f>VLOOKUP($B403,外資期貨未平倉口數!$A$4:$M$499,10,FALSE)</f>
        <v>#N/A</v>
      </c>
      <c r="Q403" s="27" t="e">
        <f>VLOOKUP($B403,外資期貨未平倉口數!$A$4:$M$499,11,FALSE)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VLOOKUP($B404,外資期貨未平倉口數!$A$4:$M$499,4,FALSE)</f>
        <v>#N/A</v>
      </c>
      <c r="O404" s="27" t="e">
        <f>VLOOKUP($B404,外資期貨未平倉口數!$A$4:$M$499,9,FALSE)</f>
        <v>#N/A</v>
      </c>
      <c r="P404" s="27" t="e">
        <f>VLOOKUP($B404,外資期貨未平倉口數!$A$4:$M$499,10,FALSE)</f>
        <v>#N/A</v>
      </c>
      <c r="Q404" s="27" t="e">
        <f>VLOOKUP($B404,外資期貨未平倉口數!$A$4:$M$499,11,FALSE)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VLOOKUP($B405,外資期貨未平倉口數!$A$4:$M$499,4,FALSE)</f>
        <v>#N/A</v>
      </c>
      <c r="O405" s="27" t="e">
        <f>VLOOKUP($B405,外資期貨未平倉口數!$A$4:$M$499,9,FALSE)</f>
        <v>#N/A</v>
      </c>
      <c r="P405" s="27" t="e">
        <f>VLOOKUP($B405,外資期貨未平倉口數!$A$4:$M$499,10,FALSE)</f>
        <v>#N/A</v>
      </c>
      <c r="Q405" s="27" t="e">
        <f>VLOOKUP($B405,外資期貨未平倉口數!$A$4:$M$499,11,FALSE)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VLOOKUP($B406,外資期貨未平倉口數!$A$4:$M$499,4,FALSE)</f>
        <v>#N/A</v>
      </c>
      <c r="O406" s="27" t="e">
        <f>VLOOKUP($B406,外資期貨未平倉口數!$A$4:$M$499,9,FALSE)</f>
        <v>#N/A</v>
      </c>
      <c r="P406" s="27" t="e">
        <f>VLOOKUP($B406,外資期貨未平倉口數!$A$4:$M$499,10,FALSE)</f>
        <v>#N/A</v>
      </c>
      <c r="Q406" s="27" t="e">
        <f>VLOOKUP($B406,外資期貨未平倉口數!$A$4:$M$499,11,FALSE)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VLOOKUP($B407,外資期貨未平倉口數!$A$4:$M$499,4,FALSE)</f>
        <v>#N/A</v>
      </c>
      <c r="O407" s="27" t="e">
        <f>VLOOKUP($B407,外資期貨未平倉口數!$A$4:$M$499,9,FALSE)</f>
        <v>#N/A</v>
      </c>
      <c r="P407" s="27" t="e">
        <f>VLOOKUP($B407,外資期貨未平倉口數!$A$4:$M$499,10,FALSE)</f>
        <v>#N/A</v>
      </c>
      <c r="Q407" s="27" t="e">
        <f>VLOOKUP($B407,外資期貨未平倉口數!$A$4:$M$499,11,FALSE)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397"/>
  <sheetViews>
    <sheetView zoomScaleNormal="100" workbookViewId="0">
      <pane ySplit="3" topLeftCell="A391" activePane="bottomLeft" state="frozen"/>
      <selection pane="bottomLeft" activeCell="G402" sqref="G402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2" t="s">
        <v>40</v>
      </c>
      <c r="B2" s="123" t="s">
        <v>44</v>
      </c>
      <c r="C2" s="124"/>
      <c r="D2" s="124"/>
      <c r="E2" s="124"/>
      <c r="F2" s="124"/>
      <c r="G2" s="124"/>
      <c r="H2" s="124"/>
      <c r="I2" s="124"/>
    </row>
    <row r="3" spans="1:9">
      <c r="A3" s="122"/>
      <c r="B3" s="125" t="s">
        <v>41</v>
      </c>
      <c r="C3" s="122"/>
      <c r="D3" s="122"/>
      <c r="E3" s="122"/>
      <c r="F3" s="122"/>
      <c r="G3" s="122"/>
      <c r="H3" s="122"/>
      <c r="I3" s="122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229</v>
      </c>
      <c r="F332" s="72">
        <v>10774</v>
      </c>
      <c r="G332" s="21">
        <v>-36</v>
      </c>
      <c r="H332" s="44">
        <v>-3.3E-3</v>
      </c>
      <c r="I332" s="42" t="s">
        <v>230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231</v>
      </c>
      <c r="F333" s="72">
        <v>10792</v>
      </c>
      <c r="G333" s="21">
        <v>-7</v>
      </c>
      <c r="H333" s="44">
        <v>-5.9999999999999995E-4</v>
      </c>
      <c r="I333" s="42" t="s">
        <v>232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233</v>
      </c>
      <c r="F334" s="72">
        <v>10916</v>
      </c>
      <c r="G334" s="21">
        <v>40</v>
      </c>
      <c r="H334" s="44">
        <v>3.7000000000000002E-3</v>
      </c>
      <c r="I334" s="42" t="s">
        <v>234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235</v>
      </c>
      <c r="F337" s="72">
        <v>10943</v>
      </c>
      <c r="G337" s="21">
        <v>-13</v>
      </c>
      <c r="H337" s="44">
        <v>-1.1999999999999999E-3</v>
      </c>
      <c r="I337" s="42" t="s">
        <v>236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237</v>
      </c>
      <c r="F338" s="72">
        <v>11010</v>
      </c>
      <c r="G338" s="21">
        <v>27</v>
      </c>
      <c r="H338" s="44">
        <v>2.5000000000000001E-3</v>
      </c>
      <c r="I338" s="42" t="s">
        <v>238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239</v>
      </c>
      <c r="F339" s="72">
        <v>11008</v>
      </c>
      <c r="G339" s="21">
        <v>19</v>
      </c>
      <c r="H339" s="44">
        <v>1.6999999999999999E-3</v>
      </c>
      <c r="I339" s="42" t="s">
        <v>240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242</v>
      </c>
      <c r="F340" s="72">
        <v>11068</v>
      </c>
      <c r="G340" s="21">
        <v>10</v>
      </c>
      <c r="H340" s="44">
        <v>8.9999999999999998E-4</v>
      </c>
      <c r="I340" s="42" t="s">
        <v>243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244</v>
      </c>
      <c r="F341" s="72">
        <v>11180</v>
      </c>
      <c r="G341" s="21">
        <v>42</v>
      </c>
      <c r="H341" s="44">
        <v>3.8E-3</v>
      </c>
      <c r="I341" s="42" t="s">
        <v>245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255</v>
      </c>
      <c r="F344" s="72">
        <v>11201</v>
      </c>
      <c r="G344" s="21">
        <v>-21</v>
      </c>
      <c r="H344" s="44">
        <v>-1.9E-3</v>
      </c>
      <c r="I344" s="42" t="s">
        <v>256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263</v>
      </c>
      <c r="F345" s="72">
        <v>11204</v>
      </c>
      <c r="G345" s="21">
        <v>-21</v>
      </c>
      <c r="H345" s="44">
        <v>-1.9E-3</v>
      </c>
      <c r="I345" s="42" t="s">
        <v>264</v>
      </c>
    </row>
    <row r="346" spans="1:9">
      <c r="A346" s="9">
        <v>43124</v>
      </c>
      <c r="B346" s="57">
        <v>11152.16</v>
      </c>
      <c r="C346" s="57">
        <v>-100.95</v>
      </c>
      <c r="D346" s="43">
        <v>-8.9999999999999993E-3</v>
      </c>
      <c r="E346" s="71" t="s">
        <v>265</v>
      </c>
      <c r="F346" s="72">
        <v>11140</v>
      </c>
      <c r="G346" s="21">
        <v>15</v>
      </c>
      <c r="H346" s="44">
        <v>1.2999999999999999E-3</v>
      </c>
      <c r="I346" s="42" t="s">
        <v>266</v>
      </c>
    </row>
    <row r="347" spans="1:9">
      <c r="A347" s="9">
        <v>43125</v>
      </c>
      <c r="B347" s="57">
        <v>11165.95</v>
      </c>
      <c r="C347" s="57">
        <v>13.79</v>
      </c>
      <c r="D347" s="43">
        <v>1.1999999999999999E-3</v>
      </c>
      <c r="E347" s="71" t="s">
        <v>267</v>
      </c>
      <c r="F347" s="72">
        <v>11164</v>
      </c>
      <c r="G347" s="21">
        <v>15</v>
      </c>
      <c r="H347" s="44">
        <v>1.2999999999999999E-3</v>
      </c>
      <c r="I347" s="42" t="s">
        <v>268</v>
      </c>
    </row>
    <row r="348" spans="1:9">
      <c r="A348" s="9">
        <v>43126</v>
      </c>
      <c r="B348" s="57">
        <v>11147.1</v>
      </c>
      <c r="C348" s="57">
        <v>-18.850000000000001</v>
      </c>
      <c r="D348" s="43">
        <v>-1.6999999999999999E-3</v>
      </c>
      <c r="E348" s="71" t="s">
        <v>269</v>
      </c>
      <c r="F348" s="72">
        <v>11151</v>
      </c>
      <c r="G348" s="21">
        <v>7</v>
      </c>
      <c r="H348" s="44">
        <v>5.9999999999999995E-4</v>
      </c>
      <c r="I348" s="42" t="s">
        <v>270</v>
      </c>
    </row>
    <row r="349" spans="1:9">
      <c r="A349" s="9">
        <v>43127</v>
      </c>
      <c r="B349" s="57"/>
      <c r="C349" s="57"/>
      <c r="D349" s="43"/>
      <c r="E349" s="71"/>
      <c r="F349" s="72"/>
      <c r="G349" s="21"/>
      <c r="H349" s="44"/>
      <c r="I349" s="42"/>
    </row>
    <row r="350" spans="1:9">
      <c r="A350" s="9">
        <v>43128</v>
      </c>
      <c r="B350" s="57"/>
      <c r="C350" s="57"/>
      <c r="D350" s="43"/>
      <c r="E350" s="71"/>
      <c r="F350" s="72"/>
      <c r="G350" s="21"/>
      <c r="H350" s="44"/>
      <c r="I350" s="42"/>
    </row>
    <row r="351" spans="1:9">
      <c r="A351" s="9">
        <v>43129</v>
      </c>
      <c r="B351" s="57">
        <v>11221.81</v>
      </c>
      <c r="C351" s="57">
        <v>74.709999999999994</v>
      </c>
      <c r="D351" s="43">
        <v>6.7000000000000002E-3</v>
      </c>
      <c r="E351" s="71" t="s">
        <v>337</v>
      </c>
      <c r="F351" s="72">
        <v>11173</v>
      </c>
      <c r="G351" s="21">
        <v>-24</v>
      </c>
      <c r="H351" s="44">
        <v>-2.0999999999999999E-3</v>
      </c>
      <c r="I351" s="42" t="s">
        <v>338</v>
      </c>
    </row>
    <row r="352" spans="1:9">
      <c r="A352" s="9">
        <v>43130</v>
      </c>
      <c r="B352" s="57"/>
      <c r="C352" s="57"/>
      <c r="D352" s="43"/>
      <c r="E352" s="71"/>
      <c r="F352" s="72"/>
      <c r="G352" s="21"/>
      <c r="H352" s="44"/>
      <c r="I352" s="42"/>
    </row>
    <row r="353" spans="1:9">
      <c r="A353" s="9">
        <v>43131</v>
      </c>
      <c r="B353" s="57">
        <v>11103.79</v>
      </c>
      <c r="C353" s="57">
        <v>27.01</v>
      </c>
      <c r="D353" s="43">
        <v>2.3999999999999998E-3</v>
      </c>
      <c r="E353" s="71" t="s">
        <v>339</v>
      </c>
      <c r="F353" s="72">
        <v>11115</v>
      </c>
      <c r="G353" s="21">
        <v>17</v>
      </c>
      <c r="H353" s="44">
        <v>1.5E-3</v>
      </c>
      <c r="I353" s="42" t="s">
        <v>340</v>
      </c>
    </row>
    <row r="354" spans="1:9">
      <c r="A354" s="9">
        <v>43132</v>
      </c>
      <c r="B354" s="57">
        <v>11160.25</v>
      </c>
      <c r="C354" s="57">
        <v>56.46</v>
      </c>
      <c r="D354" s="43">
        <v>5.1000000000000004E-3</v>
      </c>
      <c r="E354" s="71" t="s">
        <v>341</v>
      </c>
      <c r="F354" s="72">
        <v>11143</v>
      </c>
      <c r="G354" s="21">
        <v>-17</v>
      </c>
      <c r="H354" s="44">
        <v>-1.5E-3</v>
      </c>
      <c r="I354" s="42" t="s">
        <v>342</v>
      </c>
    </row>
    <row r="355" spans="1:9">
      <c r="A355" s="9">
        <v>43133</v>
      </c>
      <c r="B355" s="57">
        <v>11126.23</v>
      </c>
      <c r="C355" s="57">
        <v>-34.020000000000003</v>
      </c>
      <c r="D355" s="43">
        <v>-3.0000000000000001E-3</v>
      </c>
      <c r="E355" s="71" t="s">
        <v>343</v>
      </c>
      <c r="F355" s="72">
        <v>11074</v>
      </c>
      <c r="G355" s="21">
        <v>-40</v>
      </c>
      <c r="H355" s="44">
        <v>-3.5999999999999999E-3</v>
      </c>
      <c r="I355" s="42" t="s">
        <v>344</v>
      </c>
    </row>
    <row r="356" spans="1:9">
      <c r="A356" s="9">
        <v>43134</v>
      </c>
      <c r="B356" s="57"/>
      <c r="C356" s="57"/>
      <c r="D356" s="43"/>
      <c r="E356" s="71"/>
      <c r="F356" s="72"/>
      <c r="G356" s="21"/>
      <c r="H356" s="44"/>
      <c r="I356" s="42"/>
    </row>
    <row r="357" spans="1:9">
      <c r="A357" s="9">
        <v>43135</v>
      </c>
      <c r="B357" s="57"/>
      <c r="C357" s="57"/>
      <c r="D357" s="43"/>
      <c r="E357" s="71"/>
      <c r="F357" s="72"/>
      <c r="G357" s="21"/>
      <c r="H357" s="44"/>
      <c r="I357" s="42"/>
    </row>
    <row r="358" spans="1:9">
      <c r="A358" s="9">
        <v>43136</v>
      </c>
      <c r="B358" s="57">
        <v>10946.25</v>
      </c>
      <c r="C358" s="57">
        <v>-179.98</v>
      </c>
      <c r="D358" s="43">
        <v>-1.6199999999999999E-2</v>
      </c>
      <c r="E358" s="71" t="s">
        <v>345</v>
      </c>
      <c r="F358" s="72">
        <v>10907</v>
      </c>
      <c r="G358" s="21">
        <v>-20</v>
      </c>
      <c r="H358" s="44">
        <v>-1.8E-3</v>
      </c>
      <c r="I358" s="42" t="s">
        <v>346</v>
      </c>
    </row>
    <row r="359" spans="1:9">
      <c r="A359" s="9">
        <v>43137</v>
      </c>
      <c r="B359" s="57"/>
      <c r="C359" s="57"/>
      <c r="D359" s="43"/>
      <c r="E359" s="71"/>
      <c r="F359" s="72"/>
      <c r="G359" s="21"/>
      <c r="H359" s="44"/>
      <c r="I359" s="42"/>
    </row>
    <row r="360" spans="1:9">
      <c r="A360" s="9">
        <v>43138</v>
      </c>
      <c r="B360" s="57"/>
      <c r="C360" s="57"/>
      <c r="D360" s="43"/>
      <c r="E360" s="71"/>
      <c r="F360" s="72"/>
      <c r="G360" s="21"/>
      <c r="H360" s="44"/>
      <c r="I360" s="42"/>
    </row>
    <row r="361" spans="1:9">
      <c r="A361" s="9">
        <v>43139</v>
      </c>
      <c r="B361" s="57"/>
      <c r="C361" s="57"/>
      <c r="D361" s="43"/>
      <c r="E361" s="71"/>
      <c r="F361" s="72"/>
      <c r="G361" s="21"/>
      <c r="H361" s="44"/>
      <c r="I361" s="42"/>
    </row>
    <row r="362" spans="1:9">
      <c r="A362" s="9">
        <v>43140</v>
      </c>
      <c r="B362" s="57">
        <v>10371.75</v>
      </c>
      <c r="C362" s="57">
        <v>-156.77000000000001</v>
      </c>
      <c r="D362" s="43">
        <v>-1.49E-2</v>
      </c>
      <c r="E362" s="71" t="s">
        <v>347</v>
      </c>
      <c r="F362" s="72">
        <v>10268</v>
      </c>
      <c r="G362" s="21">
        <v>-85</v>
      </c>
      <c r="H362" s="44">
        <v>-8.2000000000000007E-3</v>
      </c>
      <c r="I362" s="42" t="s">
        <v>348</v>
      </c>
    </row>
    <row r="363" spans="1:9">
      <c r="A363" s="9">
        <v>43141</v>
      </c>
      <c r="B363" s="57"/>
      <c r="C363" s="57"/>
      <c r="D363" s="43"/>
      <c r="E363" s="71"/>
      <c r="F363" s="72"/>
      <c r="G363" s="21"/>
      <c r="H363" s="44"/>
      <c r="I363" s="42"/>
    </row>
    <row r="364" spans="1:9">
      <c r="A364" s="9">
        <v>43142</v>
      </c>
      <c r="B364" s="57"/>
      <c r="C364" s="57"/>
      <c r="D364" s="43"/>
      <c r="E364" s="71"/>
      <c r="F364" s="72"/>
      <c r="G364" s="21"/>
      <c r="H364" s="44"/>
      <c r="I364" s="42"/>
    </row>
    <row r="365" spans="1:9">
      <c r="A365" s="9">
        <v>43143</v>
      </c>
      <c r="B365" s="57"/>
      <c r="C365" s="57"/>
      <c r="D365" s="43"/>
      <c r="E365" s="71"/>
      <c r="F365" s="72"/>
      <c r="G365" s="21"/>
      <c r="H365" s="44"/>
      <c r="I365" s="42"/>
    </row>
    <row r="366" spans="1:9">
      <c r="A366" s="9">
        <v>43144</v>
      </c>
      <c r="B366" s="57"/>
      <c r="C366" s="57"/>
      <c r="D366" s="43"/>
      <c r="E366" s="71"/>
      <c r="F366" s="72"/>
      <c r="G366" s="21"/>
      <c r="H366" s="44"/>
      <c r="I366" s="42"/>
    </row>
    <row r="367" spans="1:9">
      <c r="A367" s="9">
        <v>43145</v>
      </c>
      <c r="B367" s="57"/>
      <c r="C367" s="57"/>
      <c r="D367" s="43"/>
      <c r="E367" s="71"/>
      <c r="F367" s="72"/>
      <c r="G367" s="21"/>
      <c r="H367" s="44"/>
      <c r="I367" s="42"/>
    </row>
    <row r="368" spans="1:9">
      <c r="A368" s="9">
        <v>43146</v>
      </c>
      <c r="B368" s="57"/>
      <c r="C368" s="57"/>
      <c r="D368" s="43"/>
      <c r="E368" s="71"/>
      <c r="F368" s="72"/>
      <c r="G368" s="21"/>
      <c r="H368" s="44"/>
      <c r="I368" s="42"/>
    </row>
    <row r="369" spans="1:9">
      <c r="A369" s="9">
        <v>43147</v>
      </c>
      <c r="B369" s="57"/>
      <c r="C369" s="57"/>
      <c r="D369" s="43"/>
      <c r="E369" s="71"/>
      <c r="F369" s="72"/>
      <c r="G369" s="21"/>
      <c r="H369" s="44"/>
      <c r="I369" s="42"/>
    </row>
    <row r="370" spans="1:9">
      <c r="A370" s="9">
        <v>43148</v>
      </c>
      <c r="B370" s="57"/>
      <c r="C370" s="57"/>
      <c r="D370" s="43"/>
      <c r="E370" s="71"/>
      <c r="F370" s="72"/>
      <c r="G370" s="21"/>
      <c r="H370" s="44"/>
      <c r="I370" s="42"/>
    </row>
    <row r="371" spans="1:9">
      <c r="A371" s="9">
        <v>43149</v>
      </c>
      <c r="B371" s="57"/>
      <c r="C371" s="57"/>
      <c r="D371" s="43"/>
      <c r="E371" s="71"/>
      <c r="F371" s="72"/>
      <c r="G371" s="21"/>
      <c r="H371" s="44"/>
      <c r="I371" s="42"/>
    </row>
    <row r="372" spans="1:9">
      <c r="A372" s="9">
        <v>43150</v>
      </c>
      <c r="B372" s="57"/>
      <c r="C372" s="57"/>
      <c r="D372" s="43"/>
      <c r="E372" s="71"/>
      <c r="F372" s="72"/>
      <c r="G372" s="21"/>
      <c r="H372" s="44"/>
      <c r="I372" s="42"/>
    </row>
    <row r="373" spans="1:9">
      <c r="A373" s="9">
        <v>43151</v>
      </c>
      <c r="B373" s="57"/>
      <c r="C373" s="57"/>
      <c r="D373" s="43"/>
      <c r="E373" s="71"/>
      <c r="F373" s="72"/>
      <c r="G373" s="21"/>
      <c r="H373" s="44"/>
      <c r="I373" s="42"/>
    </row>
    <row r="374" spans="1:9">
      <c r="A374" s="9">
        <v>43152</v>
      </c>
      <c r="B374" s="57">
        <v>10714.44</v>
      </c>
      <c r="C374" s="57">
        <v>293.35000000000002</v>
      </c>
      <c r="D374" s="43">
        <v>2.81E-2</v>
      </c>
      <c r="E374" s="71" t="s">
        <v>349</v>
      </c>
      <c r="F374" s="72">
        <v>10713</v>
      </c>
      <c r="G374" s="21">
        <v>27</v>
      </c>
      <c r="H374" s="44">
        <v>2.5000000000000001E-3</v>
      </c>
      <c r="I374" s="42" t="s">
        <v>350</v>
      </c>
    </row>
    <row r="375" spans="1:9">
      <c r="A375" s="9">
        <v>43153</v>
      </c>
      <c r="B375" s="57"/>
      <c r="C375" s="57"/>
      <c r="D375" s="43"/>
      <c r="E375" s="71"/>
      <c r="F375" s="72"/>
      <c r="G375" s="21"/>
      <c r="H375" s="44"/>
      <c r="I375" s="42"/>
    </row>
    <row r="376" spans="1:9">
      <c r="A376" s="9">
        <v>43154</v>
      </c>
      <c r="B376" s="57">
        <v>10794.55</v>
      </c>
      <c r="C376" s="57">
        <v>132.16999999999999</v>
      </c>
      <c r="D376" s="43">
        <v>1.24E-2</v>
      </c>
      <c r="E376" s="71" t="s">
        <v>351</v>
      </c>
      <c r="F376" s="72">
        <v>10793</v>
      </c>
      <c r="G376" s="21">
        <v>11</v>
      </c>
      <c r="H376" s="44">
        <v>1E-3</v>
      </c>
      <c r="I376" s="42" t="s">
        <v>352</v>
      </c>
    </row>
    <row r="377" spans="1:9">
      <c r="A377" s="9">
        <v>43155</v>
      </c>
      <c r="B377" s="57"/>
      <c r="C377" s="57"/>
      <c r="D377" s="43"/>
      <c r="E377" s="71"/>
      <c r="F377" s="72"/>
      <c r="G377" s="21"/>
      <c r="H377" s="44"/>
      <c r="I377" s="42"/>
    </row>
    <row r="378" spans="1:9">
      <c r="A378" s="9">
        <v>43156</v>
      </c>
      <c r="B378" s="57"/>
      <c r="C378" s="57"/>
      <c r="D378" s="43"/>
      <c r="E378" s="71"/>
      <c r="F378" s="72"/>
      <c r="G378" s="21"/>
      <c r="H378" s="44"/>
      <c r="I378" s="42"/>
    </row>
    <row r="379" spans="1:9">
      <c r="A379" s="9">
        <v>43157</v>
      </c>
      <c r="B379" s="57">
        <v>10836.7</v>
      </c>
      <c r="C379" s="57">
        <v>42.15</v>
      </c>
      <c r="D379" s="43">
        <v>3.8999999999999998E-3</v>
      </c>
      <c r="E379" s="71" t="s">
        <v>353</v>
      </c>
      <c r="F379" s="72">
        <v>10829</v>
      </c>
      <c r="G379" s="21">
        <v>9</v>
      </c>
      <c r="H379" s="44">
        <v>8.0000000000000004E-4</v>
      </c>
      <c r="I379" s="42" t="s">
        <v>354</v>
      </c>
    </row>
    <row r="380" spans="1:9">
      <c r="A380" s="9">
        <v>43158</v>
      </c>
      <c r="B380" s="57">
        <v>10815.47</v>
      </c>
      <c r="C380" s="57">
        <v>-21.23</v>
      </c>
      <c r="D380" s="43">
        <v>-2E-3</v>
      </c>
      <c r="E380" s="71" t="s">
        <v>355</v>
      </c>
      <c r="F380" s="72">
        <v>10770</v>
      </c>
      <c r="G380" s="21">
        <v>-19</v>
      </c>
      <c r="H380" s="44">
        <v>-1.8E-3</v>
      </c>
      <c r="I380" s="42" t="s">
        <v>356</v>
      </c>
    </row>
    <row r="381" spans="1:9">
      <c r="A381" s="9">
        <v>43159</v>
      </c>
      <c r="B381" s="57"/>
      <c r="C381" s="57"/>
      <c r="D381" s="43"/>
      <c r="E381" s="71"/>
      <c r="F381" s="72"/>
      <c r="G381" s="21"/>
      <c r="H381" s="44"/>
      <c r="I381" s="42"/>
    </row>
    <row r="382" spans="1:9">
      <c r="A382" s="9">
        <v>43160</v>
      </c>
      <c r="B382" s="57">
        <v>10785.79</v>
      </c>
      <c r="C382" s="57">
        <v>-29.68</v>
      </c>
      <c r="D382" s="43">
        <v>-2.7000000000000001E-3</v>
      </c>
      <c r="E382" s="71" t="s">
        <v>357</v>
      </c>
      <c r="F382" s="72">
        <v>10753</v>
      </c>
      <c r="G382" s="21">
        <v>19</v>
      </c>
      <c r="H382" s="44">
        <v>1.8E-3</v>
      </c>
      <c r="I382" s="42" t="s">
        <v>358</v>
      </c>
    </row>
    <row r="383" spans="1:9">
      <c r="A383" s="9">
        <v>43161</v>
      </c>
      <c r="B383" s="57">
        <v>10698.17</v>
      </c>
      <c r="C383" s="57">
        <v>-87.62</v>
      </c>
      <c r="D383" s="43">
        <v>-8.0999999999999996E-3</v>
      </c>
      <c r="E383" s="71" t="s">
        <v>359</v>
      </c>
      <c r="F383" s="72">
        <v>10629</v>
      </c>
      <c r="G383" s="21">
        <v>-49</v>
      </c>
      <c r="H383" s="44">
        <v>-4.5999999999999999E-3</v>
      </c>
      <c r="I383" s="42" t="s">
        <v>360</v>
      </c>
    </row>
    <row r="384" spans="1:9">
      <c r="A384" s="9">
        <v>43162</v>
      </c>
      <c r="B384" s="57"/>
      <c r="C384" s="57"/>
      <c r="D384" s="43"/>
      <c r="E384" s="71"/>
      <c r="F384" s="72"/>
      <c r="G384" s="21"/>
      <c r="H384" s="44"/>
      <c r="I384" s="42"/>
    </row>
    <row r="385" spans="1:9">
      <c r="A385" s="9">
        <v>43163</v>
      </c>
      <c r="B385" s="57"/>
      <c r="C385" s="57"/>
      <c r="D385" s="43"/>
      <c r="E385" s="71"/>
      <c r="F385" s="72"/>
      <c r="G385" s="21"/>
      <c r="H385" s="44"/>
      <c r="I385" s="42"/>
    </row>
    <row r="386" spans="1:9">
      <c r="A386" s="9">
        <v>43164</v>
      </c>
      <c r="B386" s="57">
        <v>10642.9</v>
      </c>
      <c r="C386" s="57">
        <v>-55.27</v>
      </c>
      <c r="D386" s="43">
        <v>-5.1999999999999998E-3</v>
      </c>
      <c r="E386" s="71" t="s">
        <v>361</v>
      </c>
      <c r="F386" s="72">
        <v>10639</v>
      </c>
      <c r="G386" s="21">
        <v>7</v>
      </c>
      <c r="H386" s="44">
        <v>6.9999999999999999E-4</v>
      </c>
      <c r="I386" s="42" t="s">
        <v>362</v>
      </c>
    </row>
    <row r="387" spans="1:9">
      <c r="A387" s="9">
        <v>43165</v>
      </c>
      <c r="B387" s="57">
        <v>10784.34</v>
      </c>
      <c r="C387" s="57">
        <v>141.44</v>
      </c>
      <c r="D387" s="43">
        <v>1.3299999999999999E-2</v>
      </c>
      <c r="E387" s="71" t="s">
        <v>363</v>
      </c>
      <c r="F387" s="72">
        <v>10835</v>
      </c>
      <c r="G387" s="21">
        <v>49</v>
      </c>
      <c r="H387" s="44">
        <v>4.4999999999999997E-3</v>
      </c>
      <c r="I387" s="42" t="s">
        <v>364</v>
      </c>
    </row>
    <row r="388" spans="1:9">
      <c r="A388" s="9">
        <v>43166</v>
      </c>
      <c r="B388" s="57">
        <v>10745.32</v>
      </c>
      <c r="C388" s="57">
        <v>-39.020000000000003</v>
      </c>
      <c r="D388" s="43">
        <v>-3.5999999999999999E-3</v>
      </c>
      <c r="E388" s="71" t="s">
        <v>365</v>
      </c>
      <c r="F388" s="72">
        <v>10737</v>
      </c>
      <c r="G388" s="21">
        <v>29</v>
      </c>
      <c r="H388" s="44">
        <v>2.7000000000000001E-3</v>
      </c>
      <c r="I388" s="42" t="s">
        <v>366</v>
      </c>
    </row>
    <row r="389" spans="1:9">
      <c r="A389" s="9">
        <v>43167</v>
      </c>
      <c r="B389" s="57">
        <v>10823.24</v>
      </c>
      <c r="C389" s="57">
        <v>77.92</v>
      </c>
      <c r="D389" s="43">
        <v>7.3000000000000001E-3</v>
      </c>
      <c r="E389" s="71" t="s">
        <v>367</v>
      </c>
      <c r="F389" s="72">
        <v>10859</v>
      </c>
      <c r="G389" s="21">
        <v>32</v>
      </c>
      <c r="H389" s="44">
        <v>3.0000000000000001E-3</v>
      </c>
      <c r="I389" s="42" t="s">
        <v>368</v>
      </c>
    </row>
    <row r="390" spans="1:9">
      <c r="A390" s="9">
        <v>43168</v>
      </c>
      <c r="B390" s="57">
        <v>10864.82</v>
      </c>
      <c r="C390" s="57">
        <v>41.58</v>
      </c>
      <c r="D390" s="43">
        <v>3.8E-3</v>
      </c>
      <c r="E390" s="71" t="s">
        <v>369</v>
      </c>
      <c r="F390" s="72">
        <v>10858</v>
      </c>
      <c r="G390" s="21">
        <v>-4</v>
      </c>
      <c r="H390" s="44">
        <v>-4.0000000000000002E-4</v>
      </c>
      <c r="I390" s="42" t="s">
        <v>370</v>
      </c>
    </row>
    <row r="391" spans="1:9">
      <c r="A391" s="9">
        <v>43169</v>
      </c>
      <c r="B391" s="57"/>
      <c r="C391" s="57"/>
      <c r="D391" s="43"/>
      <c r="E391" s="71"/>
      <c r="F391" s="72"/>
      <c r="G391" s="21"/>
      <c r="H391" s="44"/>
      <c r="I391" s="42"/>
    </row>
    <row r="392" spans="1:9">
      <c r="A392" s="9">
        <v>43170</v>
      </c>
      <c r="B392" s="57"/>
      <c r="C392" s="57"/>
      <c r="D392" s="43"/>
      <c r="E392" s="71"/>
      <c r="F392" s="72"/>
      <c r="G392" s="21"/>
      <c r="H392" s="44"/>
      <c r="I392" s="42"/>
    </row>
    <row r="393" spans="1:9">
      <c r="A393" s="9">
        <v>43171</v>
      </c>
      <c r="B393" s="57">
        <v>11002.1</v>
      </c>
      <c r="C393" s="57">
        <v>137.28</v>
      </c>
      <c r="D393" s="43">
        <v>1.26E-2</v>
      </c>
      <c r="E393" s="71" t="s">
        <v>371</v>
      </c>
      <c r="F393" s="72">
        <v>11043</v>
      </c>
      <c r="G393" s="21">
        <v>21</v>
      </c>
      <c r="H393" s="44">
        <v>1.9E-3</v>
      </c>
      <c r="I393" s="42" t="s">
        <v>372</v>
      </c>
    </row>
    <row r="394" spans="1:9">
      <c r="A394" s="9">
        <v>43172</v>
      </c>
      <c r="B394" s="57">
        <v>11095.63</v>
      </c>
      <c r="C394" s="57">
        <v>93.53</v>
      </c>
      <c r="D394" s="43">
        <v>8.5000000000000006E-3</v>
      </c>
      <c r="E394" s="71" t="s">
        <v>373</v>
      </c>
      <c r="F394" s="72">
        <v>11106</v>
      </c>
      <c r="G394" s="21">
        <v>7</v>
      </c>
      <c r="H394" s="44">
        <v>5.9999999999999995E-4</v>
      </c>
      <c r="I394" s="42" t="s">
        <v>374</v>
      </c>
    </row>
    <row r="395" spans="1:9">
      <c r="A395" s="9">
        <v>43173</v>
      </c>
      <c r="B395" s="57">
        <v>11038.8</v>
      </c>
      <c r="C395" s="57">
        <v>-56.83</v>
      </c>
      <c r="D395" s="43">
        <v>-5.1000000000000004E-3</v>
      </c>
      <c r="E395" s="71" t="s">
        <v>376</v>
      </c>
      <c r="F395" s="72">
        <v>11060</v>
      </c>
      <c r="G395" s="21">
        <v>30</v>
      </c>
      <c r="H395" s="44">
        <v>2.7000000000000001E-3</v>
      </c>
      <c r="I395" s="42" t="s">
        <v>377</v>
      </c>
    </row>
    <row r="396" spans="1:9">
      <c r="A396" s="9">
        <v>43174</v>
      </c>
      <c r="B396" s="57">
        <v>11018.45</v>
      </c>
      <c r="C396" s="57">
        <v>-20.350000000000001</v>
      </c>
      <c r="D396" s="43">
        <v>-1.8E-3</v>
      </c>
      <c r="E396" s="71" t="s">
        <v>378</v>
      </c>
      <c r="F396" s="72">
        <v>11055</v>
      </c>
      <c r="G396" s="21">
        <v>14</v>
      </c>
      <c r="H396" s="44">
        <v>1.2999999999999999E-3</v>
      </c>
      <c r="I396" s="42" t="s">
        <v>379</v>
      </c>
    </row>
    <row r="397" spans="1:9">
      <c r="A397" s="9">
        <v>43175</v>
      </c>
      <c r="B397" s="57">
        <v>11027.7</v>
      </c>
      <c r="C397" s="57">
        <v>9.25</v>
      </c>
      <c r="D397" s="43">
        <v>8.0000000000000004E-4</v>
      </c>
      <c r="E397" s="71" t="s">
        <v>380</v>
      </c>
      <c r="F397" s="72">
        <v>10993</v>
      </c>
      <c r="G397" s="21">
        <v>-23</v>
      </c>
      <c r="H397" s="44">
        <v>-2.0999999999999999E-3</v>
      </c>
      <c r="I397" s="42" t="s">
        <v>381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397"/>
  <sheetViews>
    <sheetView workbookViewId="0">
      <pane ySplit="3" topLeftCell="A392" activePane="bottomLeft" state="frozen"/>
      <selection pane="bottomLeft" activeCell="H402" sqref="H402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9" t="s">
        <v>97</v>
      </c>
      <c r="C1" s="130"/>
      <c r="D1" s="130"/>
      <c r="E1" s="130"/>
      <c r="F1" s="130"/>
      <c r="G1" s="130"/>
      <c r="H1" s="130"/>
      <c r="I1" s="131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2" t="s">
        <v>45</v>
      </c>
      <c r="C2" s="133"/>
      <c r="D2" s="134" t="s">
        <v>6</v>
      </c>
      <c r="E2" s="135"/>
      <c r="F2" s="134" t="s">
        <v>7</v>
      </c>
      <c r="G2" s="135"/>
      <c r="H2" s="134" t="s">
        <v>241</v>
      </c>
      <c r="I2" s="135"/>
      <c r="J2" s="1">
        <v>1</v>
      </c>
      <c r="K2" s="1" t="s">
        <v>193</v>
      </c>
      <c r="L2" s="94" t="s">
        <v>248</v>
      </c>
    </row>
    <row r="3" spans="1:12" ht="16.8" thickBot="1">
      <c r="A3" s="59" t="s">
        <v>40</v>
      </c>
      <c r="B3" s="126" t="s">
        <v>132</v>
      </c>
      <c r="C3" s="127"/>
      <c r="D3" s="127"/>
      <c r="E3" s="127"/>
      <c r="F3" s="127"/>
      <c r="G3" s="127"/>
      <c r="H3" s="127"/>
      <c r="I3" s="128"/>
      <c r="K3" s="2" t="s">
        <v>247</v>
      </c>
      <c r="L3" s="2" t="s">
        <v>246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102">
        <v>-143377683</v>
      </c>
      <c r="C344" s="98">
        <f t="shared" si="228"/>
        <v>-1.43377683</v>
      </c>
      <c r="D344" s="102">
        <v>215596682</v>
      </c>
      <c r="E344" s="95">
        <f t="shared" si="229"/>
        <v>2.1559668200000002</v>
      </c>
      <c r="F344" s="102">
        <v>-401375019</v>
      </c>
      <c r="G344" s="98">
        <f t="shared" si="230"/>
        <v>-4.0137501899999997</v>
      </c>
      <c r="H344" s="102">
        <v>2554998464</v>
      </c>
      <c r="I344" s="98">
        <f t="shared" si="231"/>
        <v>25.549984640000002</v>
      </c>
    </row>
    <row r="345" spans="1:9">
      <c r="A345" s="92">
        <v>43123</v>
      </c>
      <c r="B345" s="102">
        <v>-492623700</v>
      </c>
      <c r="C345" s="98">
        <f t="shared" si="228"/>
        <v>-4.9262370000000004</v>
      </c>
      <c r="D345" s="102">
        <v>858311941</v>
      </c>
      <c r="E345" s="95">
        <f t="shared" si="229"/>
        <v>8.5831194100000001</v>
      </c>
      <c r="F345" s="102">
        <v>-343119387</v>
      </c>
      <c r="G345" s="98">
        <f t="shared" si="230"/>
        <v>-3.43119387</v>
      </c>
      <c r="H345" s="102">
        <v>5162810185</v>
      </c>
      <c r="I345" s="98">
        <f t="shared" si="231"/>
        <v>51.62810185</v>
      </c>
    </row>
    <row r="346" spans="1:9">
      <c r="A346" s="92">
        <v>43124</v>
      </c>
      <c r="B346" s="102">
        <v>-97647010</v>
      </c>
      <c r="C346" s="98">
        <f t="shared" si="228"/>
        <v>-0.97647010000000001</v>
      </c>
      <c r="D346" s="102">
        <v>642944215</v>
      </c>
      <c r="E346" s="95">
        <f t="shared" si="229"/>
        <v>6.4294421499999999</v>
      </c>
      <c r="F346" s="102">
        <v>-551457011</v>
      </c>
      <c r="G346" s="98">
        <f t="shared" si="230"/>
        <v>-5.5145701100000002</v>
      </c>
      <c r="H346" s="102">
        <v>3523203831</v>
      </c>
      <c r="I346" s="98">
        <f t="shared" si="231"/>
        <v>35.23203831</v>
      </c>
    </row>
    <row r="347" spans="1:9">
      <c r="A347" s="92">
        <v>43125</v>
      </c>
      <c r="B347" s="102">
        <v>-429016825</v>
      </c>
      <c r="C347" s="98">
        <f t="shared" si="228"/>
        <v>-4.2901682499999998</v>
      </c>
      <c r="D347" s="102">
        <v>-1827931745</v>
      </c>
      <c r="E347" s="95">
        <f t="shared" si="229"/>
        <v>-18.279317450000001</v>
      </c>
      <c r="F347" s="102">
        <v>-149495537</v>
      </c>
      <c r="G347" s="98">
        <f t="shared" si="230"/>
        <v>-1.49495537</v>
      </c>
      <c r="H347" s="102">
        <v>5814233621</v>
      </c>
      <c r="I347" s="98">
        <f t="shared" si="231"/>
        <v>58.142336210000003</v>
      </c>
    </row>
    <row r="348" spans="1:9">
      <c r="A348" s="92">
        <v>43126</v>
      </c>
      <c r="B348" s="102">
        <v>-72674431</v>
      </c>
      <c r="C348" s="98">
        <f t="shared" ref="C348" si="232">B348/100000000</f>
        <v>-0.72674430999999995</v>
      </c>
      <c r="D348" s="102">
        <v>684072386</v>
      </c>
      <c r="E348" s="95">
        <f t="shared" ref="E348" si="233">D348/100000000</f>
        <v>6.8407238599999998</v>
      </c>
      <c r="F348" s="102">
        <v>-1914861281</v>
      </c>
      <c r="G348" s="98">
        <f t="shared" ref="G348" si="234">F348/100000000</f>
        <v>-19.148612809999999</v>
      </c>
      <c r="H348" s="102">
        <v>2135612278</v>
      </c>
      <c r="I348" s="98">
        <f t="shared" ref="I348" si="235">H348/100000000</f>
        <v>21.35612278</v>
      </c>
    </row>
    <row r="349" spans="1:9">
      <c r="A349" s="92">
        <v>43127</v>
      </c>
      <c r="B349" s="102"/>
      <c r="C349" s="98">
        <f t="shared" ref="C349:C351" si="236">B349/100000000</f>
        <v>0</v>
      </c>
      <c r="D349" s="102"/>
      <c r="E349" s="95">
        <f t="shared" ref="E349:E351" si="237">D349/100000000</f>
        <v>0</v>
      </c>
      <c r="F349" s="102"/>
      <c r="G349" s="98">
        <f t="shared" ref="G349:G351" si="238">F349/100000000</f>
        <v>0</v>
      </c>
      <c r="H349" s="102"/>
      <c r="I349" s="98">
        <f t="shared" ref="I349:I351" si="239">H349/100000000</f>
        <v>0</v>
      </c>
    </row>
    <row r="350" spans="1:9">
      <c r="A350" s="92">
        <v>43128</v>
      </c>
      <c r="B350" s="102"/>
      <c r="C350" s="98">
        <f t="shared" si="236"/>
        <v>0</v>
      </c>
      <c r="D350" s="102"/>
      <c r="E350" s="95">
        <f t="shared" si="237"/>
        <v>0</v>
      </c>
      <c r="F350" s="102"/>
      <c r="G350" s="98">
        <f t="shared" si="238"/>
        <v>0</v>
      </c>
      <c r="H350" s="102"/>
      <c r="I350" s="98">
        <f t="shared" si="239"/>
        <v>0</v>
      </c>
    </row>
    <row r="351" spans="1:9">
      <c r="A351" s="92">
        <v>43129</v>
      </c>
      <c r="B351" s="102">
        <v>212495950</v>
      </c>
      <c r="C351" s="98">
        <f t="shared" si="236"/>
        <v>2.1249595000000001</v>
      </c>
      <c r="D351" s="102">
        <v>-538029900</v>
      </c>
      <c r="E351" s="95">
        <f t="shared" si="237"/>
        <v>-5.3802989999999999</v>
      </c>
      <c r="F351" s="102">
        <v>401188432</v>
      </c>
      <c r="G351" s="98">
        <f t="shared" si="238"/>
        <v>4.0118843200000001</v>
      </c>
      <c r="H351" s="102">
        <v>2012535961</v>
      </c>
      <c r="I351" s="98">
        <f t="shared" si="239"/>
        <v>20.12535961</v>
      </c>
    </row>
    <row r="352" spans="1:9">
      <c r="A352" s="92">
        <v>43130</v>
      </c>
      <c r="B352" s="102">
        <v>-446412412</v>
      </c>
      <c r="C352" s="98">
        <f t="shared" ref="C352:C353" si="240">B352/100000000</f>
        <v>-4.4641241200000001</v>
      </c>
      <c r="D352" s="102">
        <v>-1591086318</v>
      </c>
      <c r="E352" s="95">
        <f t="shared" ref="E352:E353" si="241">D352/100000000</f>
        <v>-15.91086318</v>
      </c>
      <c r="F352" s="102">
        <v>127700459</v>
      </c>
      <c r="G352" s="98">
        <f t="shared" ref="G352:G353" si="242">F352/100000000</f>
        <v>1.27700459</v>
      </c>
      <c r="H352" s="102">
        <v>-2646366968</v>
      </c>
      <c r="I352" s="98">
        <f t="shared" ref="I352:I353" si="243">H352/100000000</f>
        <v>-26.463669679999999</v>
      </c>
    </row>
    <row r="353" spans="1:9">
      <c r="A353" s="92">
        <v>43131</v>
      </c>
      <c r="B353" s="102">
        <v>839316286</v>
      </c>
      <c r="C353" s="98">
        <f t="shared" si="240"/>
        <v>8.3931628600000003</v>
      </c>
      <c r="D353" s="102">
        <v>2272410837</v>
      </c>
      <c r="E353" s="95">
        <f t="shared" si="241"/>
        <v>22.72410837</v>
      </c>
      <c r="F353" s="102">
        <v>-309754825</v>
      </c>
      <c r="G353" s="98">
        <f t="shared" si="242"/>
        <v>-3.09754825</v>
      </c>
      <c r="H353" s="102">
        <v>2508949548</v>
      </c>
      <c r="I353" s="98">
        <f t="shared" si="243"/>
        <v>25.08949548</v>
      </c>
    </row>
    <row r="354" spans="1:9">
      <c r="A354" s="92">
        <v>43132</v>
      </c>
      <c r="B354" s="102">
        <v>120009456</v>
      </c>
      <c r="C354" s="98">
        <f t="shared" ref="C354" si="244">B354/100000000</f>
        <v>1.2000945599999999</v>
      </c>
      <c r="D354" s="102">
        <v>-233056015</v>
      </c>
      <c r="E354" s="95">
        <f t="shared" ref="E354" si="245">D354/100000000</f>
        <v>-2.3305601500000002</v>
      </c>
      <c r="F354" s="102">
        <v>-175329912</v>
      </c>
      <c r="G354" s="98">
        <f t="shared" ref="G354" si="246">F354/100000000</f>
        <v>-1.7532991200000001</v>
      </c>
      <c r="H354" s="102">
        <v>1378384597</v>
      </c>
      <c r="I354" s="98">
        <f t="shared" ref="I354" si="247">H354/100000000</f>
        <v>13.78384597</v>
      </c>
    </row>
    <row r="355" spans="1:9">
      <c r="A355" s="92">
        <v>43133</v>
      </c>
      <c r="B355" s="102">
        <v>-213580096</v>
      </c>
      <c r="C355" s="98">
        <f t="shared" ref="C355" si="248">B355/100000000</f>
        <v>-2.1358009600000001</v>
      </c>
      <c r="D355" s="102">
        <v>-230592755</v>
      </c>
      <c r="E355" s="95">
        <f t="shared" ref="E355" si="249">D355/100000000</f>
        <v>-2.3059275499999998</v>
      </c>
      <c r="F355" s="102">
        <v>-311314662</v>
      </c>
      <c r="G355" s="98">
        <f t="shared" ref="G355" si="250">F355/100000000</f>
        <v>-3.1131466200000002</v>
      </c>
      <c r="H355" s="102">
        <v>-440378970</v>
      </c>
      <c r="I355" s="98">
        <f t="shared" ref="I355" si="251">H355/100000000</f>
        <v>-4.4037896999999999</v>
      </c>
    </row>
    <row r="356" spans="1:9">
      <c r="A356" s="92">
        <v>43134</v>
      </c>
      <c r="B356" s="102"/>
      <c r="C356" s="98"/>
      <c r="D356" s="102"/>
      <c r="E356" s="95"/>
      <c r="F356" s="102"/>
      <c r="G356" s="98"/>
      <c r="H356" s="102"/>
      <c r="I356" s="98"/>
    </row>
    <row r="357" spans="1:9">
      <c r="A357" s="92">
        <v>43135</v>
      </c>
      <c r="B357" s="102"/>
      <c r="C357" s="98"/>
      <c r="D357" s="102"/>
      <c r="E357" s="95"/>
      <c r="F357" s="102"/>
      <c r="G357" s="98"/>
      <c r="H357" s="102"/>
      <c r="I357" s="98"/>
    </row>
    <row r="358" spans="1:9">
      <c r="A358" s="92">
        <v>43136</v>
      </c>
      <c r="B358" s="102">
        <v>-1165803075</v>
      </c>
      <c r="C358" s="98">
        <f t="shared" ref="C358:C362" si="252">B358/100000000</f>
        <v>-11.65803075</v>
      </c>
      <c r="D358" s="102">
        <v>-830339612</v>
      </c>
      <c r="E358" s="95">
        <f t="shared" ref="E358:E362" si="253">D358/100000000</f>
        <v>-8.3033961200000004</v>
      </c>
      <c r="F358" s="102">
        <v>-450250074</v>
      </c>
      <c r="G358" s="98">
        <f t="shared" ref="G358:G362" si="254">F358/100000000</f>
        <v>-4.5025007400000003</v>
      </c>
      <c r="H358" s="102">
        <v>-8343955637</v>
      </c>
      <c r="I358" s="98">
        <f t="shared" ref="I358:I362" si="255">H358/100000000</f>
        <v>-83.439556370000005</v>
      </c>
    </row>
    <row r="359" spans="1:9">
      <c r="A359" s="92">
        <v>43137</v>
      </c>
      <c r="B359" s="102">
        <v>-2400426545</v>
      </c>
      <c r="C359" s="98">
        <f t="shared" si="252"/>
        <v>-24.004265449999998</v>
      </c>
      <c r="D359" s="102">
        <v>131209757</v>
      </c>
      <c r="E359" s="95">
        <f t="shared" si="253"/>
        <v>1.3120975699999999</v>
      </c>
      <c r="F359" s="102">
        <v>-832247782</v>
      </c>
      <c r="G359" s="98">
        <f t="shared" si="254"/>
        <v>-8.3224778199999996</v>
      </c>
      <c r="H359" s="102">
        <v>-31335752999</v>
      </c>
      <c r="I359" s="98">
        <f t="shared" si="255"/>
        <v>-313.35752998999999</v>
      </c>
    </row>
    <row r="360" spans="1:9">
      <c r="A360" s="92">
        <v>43138</v>
      </c>
      <c r="B360" s="102">
        <v>-947225460</v>
      </c>
      <c r="C360" s="98">
        <f t="shared" si="252"/>
        <v>-9.4722545999999994</v>
      </c>
      <c r="D360" s="102">
        <v>-1438295276</v>
      </c>
      <c r="E360" s="95">
        <f t="shared" si="253"/>
        <v>-14.38295276</v>
      </c>
      <c r="F360" s="102">
        <v>1888782441</v>
      </c>
      <c r="G360" s="98">
        <f t="shared" si="254"/>
        <v>18.88782441</v>
      </c>
      <c r="H360" s="102">
        <v>-16641069594</v>
      </c>
      <c r="I360" s="98">
        <f t="shared" si="255"/>
        <v>-166.41069594000001</v>
      </c>
    </row>
    <row r="361" spans="1:9">
      <c r="A361" s="92">
        <v>43139</v>
      </c>
      <c r="B361" s="102">
        <v>-8333220</v>
      </c>
      <c r="C361" s="98">
        <f t="shared" si="252"/>
        <v>-8.3332199999999995E-2</v>
      </c>
      <c r="D361" s="102">
        <v>-2943922266</v>
      </c>
      <c r="E361" s="95">
        <f t="shared" si="253"/>
        <v>-29.439222659999999</v>
      </c>
      <c r="F361" s="102">
        <v>-677582417</v>
      </c>
      <c r="G361" s="98">
        <f t="shared" si="254"/>
        <v>-6.7758241699999999</v>
      </c>
      <c r="H361" s="102">
        <v>-8429517878</v>
      </c>
      <c r="I361" s="98">
        <f t="shared" si="255"/>
        <v>-84.295178780000001</v>
      </c>
    </row>
    <row r="362" spans="1:9">
      <c r="A362" s="92">
        <v>43140</v>
      </c>
      <c r="B362" s="102">
        <v>66263846</v>
      </c>
      <c r="C362" s="98">
        <f t="shared" si="252"/>
        <v>0.66263846000000004</v>
      </c>
      <c r="D362" s="102">
        <v>-18940711</v>
      </c>
      <c r="E362" s="95">
        <f t="shared" si="253"/>
        <v>-0.18940710999999999</v>
      </c>
      <c r="F362" s="102">
        <v>-370272829</v>
      </c>
      <c r="G362" s="98">
        <f t="shared" si="254"/>
        <v>-3.70272829</v>
      </c>
      <c r="H362" s="102">
        <v>-18779162841</v>
      </c>
      <c r="I362" s="98">
        <f t="shared" si="255"/>
        <v>-187.79162840999999</v>
      </c>
    </row>
    <row r="363" spans="1:9">
      <c r="A363" s="92">
        <v>43141</v>
      </c>
      <c r="B363" s="102"/>
      <c r="C363" s="98">
        <f t="shared" ref="C363:C374" si="256">B363/100000000</f>
        <v>0</v>
      </c>
      <c r="D363" s="102"/>
      <c r="E363" s="95">
        <f t="shared" ref="E363:E374" si="257">D363/100000000</f>
        <v>0</v>
      </c>
      <c r="F363" s="102"/>
      <c r="G363" s="98">
        <f t="shared" ref="G363:G374" si="258">F363/100000000</f>
        <v>0</v>
      </c>
      <c r="H363" s="102"/>
      <c r="I363" s="98">
        <f t="shared" ref="I363:I374" si="259">H363/100000000</f>
        <v>0</v>
      </c>
    </row>
    <row r="364" spans="1:9">
      <c r="A364" s="92">
        <v>43142</v>
      </c>
      <c r="B364" s="102"/>
      <c r="C364" s="98">
        <f t="shared" si="256"/>
        <v>0</v>
      </c>
      <c r="D364" s="102"/>
      <c r="E364" s="95">
        <f t="shared" si="257"/>
        <v>0</v>
      </c>
      <c r="F364" s="102"/>
      <c r="G364" s="98">
        <f t="shared" si="258"/>
        <v>0</v>
      </c>
      <c r="H364" s="102"/>
      <c r="I364" s="98">
        <f t="shared" si="259"/>
        <v>0</v>
      </c>
    </row>
    <row r="365" spans="1:9">
      <c r="A365" s="92">
        <v>43143</v>
      </c>
      <c r="B365" s="102">
        <v>-60268449</v>
      </c>
      <c r="C365" s="98">
        <f t="shared" si="256"/>
        <v>-0.60268449000000002</v>
      </c>
      <c r="D365" s="102">
        <v>-721694196</v>
      </c>
      <c r="E365" s="95">
        <f t="shared" si="257"/>
        <v>-7.2169419599999998</v>
      </c>
      <c r="F365" s="102">
        <v>293698282</v>
      </c>
      <c r="G365" s="98">
        <f t="shared" si="258"/>
        <v>2.9369828199999999</v>
      </c>
      <c r="H365" s="102">
        <v>-19377018634</v>
      </c>
      <c r="I365" s="98">
        <f t="shared" si="259"/>
        <v>-193.77018634000001</v>
      </c>
    </row>
    <row r="366" spans="1:9">
      <c r="A366" s="92">
        <v>43144</v>
      </c>
      <c r="B366" s="102"/>
      <c r="C366" s="98">
        <f t="shared" si="256"/>
        <v>0</v>
      </c>
      <c r="D366" s="102"/>
      <c r="E366" s="95">
        <f t="shared" si="257"/>
        <v>0</v>
      </c>
      <c r="F366" s="102"/>
      <c r="G366" s="98">
        <f t="shared" si="258"/>
        <v>0</v>
      </c>
      <c r="H366" s="102"/>
      <c r="I366" s="98">
        <f t="shared" si="259"/>
        <v>0</v>
      </c>
    </row>
    <row r="367" spans="1:9">
      <c r="A367" s="92">
        <v>43145</v>
      </c>
      <c r="B367" s="102"/>
      <c r="C367" s="98">
        <f t="shared" si="256"/>
        <v>0</v>
      </c>
      <c r="D367" s="102"/>
      <c r="E367" s="95">
        <f t="shared" si="257"/>
        <v>0</v>
      </c>
      <c r="F367" s="102"/>
      <c r="G367" s="98">
        <f t="shared" si="258"/>
        <v>0</v>
      </c>
      <c r="H367" s="102"/>
      <c r="I367" s="98">
        <f t="shared" si="259"/>
        <v>0</v>
      </c>
    </row>
    <row r="368" spans="1:9">
      <c r="A368" s="92">
        <v>43146</v>
      </c>
      <c r="B368" s="102"/>
      <c r="C368" s="98">
        <f t="shared" si="256"/>
        <v>0</v>
      </c>
      <c r="D368" s="102"/>
      <c r="E368" s="95">
        <f t="shared" si="257"/>
        <v>0</v>
      </c>
      <c r="F368" s="102"/>
      <c r="G368" s="98">
        <f t="shared" si="258"/>
        <v>0</v>
      </c>
      <c r="H368" s="102"/>
      <c r="I368" s="98">
        <f t="shared" si="259"/>
        <v>0</v>
      </c>
    </row>
    <row r="369" spans="1:9">
      <c r="A369" s="92">
        <v>43147</v>
      </c>
      <c r="B369" s="102"/>
      <c r="C369" s="98">
        <f t="shared" si="256"/>
        <v>0</v>
      </c>
      <c r="D369" s="102"/>
      <c r="E369" s="95">
        <f t="shared" si="257"/>
        <v>0</v>
      </c>
      <c r="F369" s="102"/>
      <c r="G369" s="98">
        <f t="shared" si="258"/>
        <v>0</v>
      </c>
      <c r="H369" s="102"/>
      <c r="I369" s="98">
        <f t="shared" si="259"/>
        <v>0</v>
      </c>
    </row>
    <row r="370" spans="1:9">
      <c r="A370" s="92">
        <v>43148</v>
      </c>
      <c r="B370" s="102"/>
      <c r="C370" s="98">
        <f t="shared" si="256"/>
        <v>0</v>
      </c>
      <c r="D370" s="102"/>
      <c r="E370" s="95">
        <f t="shared" si="257"/>
        <v>0</v>
      </c>
      <c r="F370" s="102"/>
      <c r="G370" s="98">
        <f t="shared" si="258"/>
        <v>0</v>
      </c>
      <c r="H370" s="102"/>
      <c r="I370" s="98">
        <f t="shared" si="259"/>
        <v>0</v>
      </c>
    </row>
    <row r="371" spans="1:9">
      <c r="A371" s="92">
        <v>43149</v>
      </c>
      <c r="B371" s="102"/>
      <c r="C371" s="98">
        <f t="shared" si="256"/>
        <v>0</v>
      </c>
      <c r="D371" s="102"/>
      <c r="E371" s="95">
        <f t="shared" si="257"/>
        <v>0</v>
      </c>
      <c r="F371" s="102"/>
      <c r="G371" s="98">
        <f t="shared" si="258"/>
        <v>0</v>
      </c>
      <c r="H371" s="102"/>
      <c r="I371" s="98">
        <f t="shared" si="259"/>
        <v>0</v>
      </c>
    </row>
    <row r="372" spans="1:9">
      <c r="A372" s="92">
        <v>43150</v>
      </c>
      <c r="B372" s="102"/>
      <c r="C372" s="98">
        <f t="shared" si="256"/>
        <v>0</v>
      </c>
      <c r="D372" s="102"/>
      <c r="E372" s="95">
        <f t="shared" si="257"/>
        <v>0</v>
      </c>
      <c r="F372" s="102"/>
      <c r="G372" s="98">
        <f t="shared" si="258"/>
        <v>0</v>
      </c>
      <c r="H372" s="102"/>
      <c r="I372" s="98">
        <f t="shared" si="259"/>
        <v>0</v>
      </c>
    </row>
    <row r="373" spans="1:9">
      <c r="A373" s="92">
        <v>43151</v>
      </c>
      <c r="B373" s="102"/>
      <c r="C373" s="98">
        <f t="shared" si="256"/>
        <v>0</v>
      </c>
      <c r="D373" s="102"/>
      <c r="E373" s="95">
        <f t="shared" si="257"/>
        <v>0</v>
      </c>
      <c r="F373" s="102"/>
      <c r="G373" s="98">
        <f t="shared" si="258"/>
        <v>0</v>
      </c>
      <c r="H373" s="102"/>
      <c r="I373" s="98">
        <f t="shared" si="259"/>
        <v>0</v>
      </c>
    </row>
    <row r="374" spans="1:9">
      <c r="A374" s="92">
        <v>43152</v>
      </c>
      <c r="B374" s="102">
        <v>82978080</v>
      </c>
      <c r="C374" s="98">
        <f t="shared" si="256"/>
        <v>0.82978079999999999</v>
      </c>
      <c r="D374" s="102">
        <v>1628068423</v>
      </c>
      <c r="E374" s="95">
        <f t="shared" si="257"/>
        <v>16.280684229999999</v>
      </c>
      <c r="F374" s="102">
        <v>406891598</v>
      </c>
      <c r="G374" s="98">
        <f t="shared" si="258"/>
        <v>4.0689159799999999</v>
      </c>
      <c r="H374" s="102">
        <v>9213624112</v>
      </c>
      <c r="I374" s="98">
        <f t="shared" si="259"/>
        <v>92.136241119999994</v>
      </c>
    </row>
    <row r="375" spans="1:9">
      <c r="A375" s="92">
        <v>43153</v>
      </c>
      <c r="B375" s="102">
        <v>492006943</v>
      </c>
      <c r="C375" s="98">
        <f t="shared" ref="C375:C376" si="260">B375/100000000</f>
        <v>4.9200694299999999</v>
      </c>
      <c r="D375" s="102">
        <v>-882353209</v>
      </c>
      <c r="E375" s="95">
        <f t="shared" ref="E375:E376" si="261">D375/100000000</f>
        <v>-8.8235320900000005</v>
      </c>
      <c r="F375" s="102">
        <v>16901748</v>
      </c>
      <c r="G375" s="98">
        <f t="shared" ref="G375:G376" si="262">F375/100000000</f>
        <v>0.16901748</v>
      </c>
      <c r="H375" s="102">
        <v>-6883185864</v>
      </c>
      <c r="I375" s="98">
        <f t="shared" ref="I375:I376" si="263">H375/100000000</f>
        <v>-68.831858639999993</v>
      </c>
    </row>
    <row r="376" spans="1:9">
      <c r="A376" s="92">
        <v>43154</v>
      </c>
      <c r="B376" s="102">
        <v>-20388777</v>
      </c>
      <c r="C376" s="98">
        <f t="shared" si="260"/>
        <v>-0.20388777</v>
      </c>
      <c r="D376" s="102">
        <v>597127235</v>
      </c>
      <c r="E376" s="95">
        <f t="shared" si="261"/>
        <v>5.9712723499999996</v>
      </c>
      <c r="F376" s="102">
        <v>698012988</v>
      </c>
      <c r="G376" s="98">
        <f t="shared" si="262"/>
        <v>6.9801298799999998</v>
      </c>
      <c r="H376" s="102">
        <v>2124096455</v>
      </c>
      <c r="I376" s="98">
        <f t="shared" si="263"/>
        <v>21.240964550000001</v>
      </c>
    </row>
    <row r="377" spans="1:9">
      <c r="A377" s="92">
        <v>43155</v>
      </c>
      <c r="B377" s="102"/>
      <c r="C377" s="98"/>
      <c r="D377" s="102"/>
      <c r="E377" s="95"/>
      <c r="F377" s="102"/>
      <c r="G377" s="98"/>
      <c r="H377" s="102"/>
      <c r="I377" s="98"/>
    </row>
    <row r="378" spans="1:9">
      <c r="A378" s="92">
        <v>43156</v>
      </c>
      <c r="B378" s="102"/>
      <c r="C378" s="98"/>
      <c r="D378" s="102"/>
      <c r="E378" s="95"/>
      <c r="F378" s="102"/>
      <c r="G378" s="98"/>
      <c r="H378" s="102"/>
      <c r="I378" s="98"/>
    </row>
    <row r="379" spans="1:9">
      <c r="A379" s="92">
        <v>43157</v>
      </c>
      <c r="B379" s="102">
        <v>359208886</v>
      </c>
      <c r="C379" s="98">
        <f t="shared" ref="C379" si="264">B379/100000000</f>
        <v>3.5920888600000001</v>
      </c>
      <c r="D379" s="102">
        <v>-360401549</v>
      </c>
      <c r="E379" s="95">
        <f t="shared" ref="E379" si="265">D379/100000000</f>
        <v>-3.6040154900000001</v>
      </c>
      <c r="F379" s="102">
        <v>728718679</v>
      </c>
      <c r="G379" s="98">
        <f t="shared" ref="G379" si="266">F379/100000000</f>
        <v>7.2871867899999998</v>
      </c>
      <c r="H379" s="102">
        <v>265150805</v>
      </c>
      <c r="I379" s="98">
        <f t="shared" ref="I379" si="267">H379/100000000</f>
        <v>2.6515080499999999</v>
      </c>
    </row>
    <row r="380" spans="1:9">
      <c r="A380" s="92">
        <v>43158</v>
      </c>
      <c r="B380" s="102">
        <v>386545274</v>
      </c>
      <c r="C380" s="98">
        <f t="shared" ref="C380:C382" si="268">B380/100000000</f>
        <v>3.8654527399999998</v>
      </c>
      <c r="D380" s="102">
        <v>-2548902685</v>
      </c>
      <c r="E380" s="95">
        <f t="shared" ref="E380:E382" si="269">D380/100000000</f>
        <v>-25.489026849999998</v>
      </c>
      <c r="F380" s="102">
        <v>528322846</v>
      </c>
      <c r="G380" s="98">
        <f t="shared" ref="G380:G382" si="270">F380/100000000</f>
        <v>5.2832284600000001</v>
      </c>
      <c r="H380" s="102">
        <v>-2091886051</v>
      </c>
      <c r="I380" s="98">
        <f t="shared" ref="I380:I382" si="271">H380/100000000</f>
        <v>-20.918860509999998</v>
      </c>
    </row>
    <row r="381" spans="1:9">
      <c r="A381" s="92">
        <v>43159</v>
      </c>
      <c r="B381" s="102"/>
      <c r="C381" s="98"/>
      <c r="D381" s="102"/>
      <c r="E381" s="95"/>
      <c r="F381" s="102"/>
      <c r="G381" s="98"/>
      <c r="H381" s="102"/>
      <c r="I381" s="98"/>
    </row>
    <row r="382" spans="1:9">
      <c r="A382" s="92">
        <v>43160</v>
      </c>
      <c r="B382" s="102">
        <v>199505170</v>
      </c>
      <c r="C382" s="98">
        <f t="shared" si="268"/>
        <v>1.9950517000000001</v>
      </c>
      <c r="D382" s="102">
        <v>-1493888565</v>
      </c>
      <c r="E382" s="95">
        <f t="shared" si="269"/>
        <v>-14.93888565</v>
      </c>
      <c r="F382" s="102">
        <v>-226238284</v>
      </c>
      <c r="G382" s="98">
        <f t="shared" si="270"/>
        <v>-2.2623828399999999</v>
      </c>
      <c r="H382" s="102">
        <v>-2879938261</v>
      </c>
      <c r="I382" s="98">
        <f t="shared" si="271"/>
        <v>-28.799382609999999</v>
      </c>
    </row>
    <row r="383" spans="1:9">
      <c r="A383" s="92">
        <v>43161</v>
      </c>
      <c r="B383" s="102">
        <v>230125922</v>
      </c>
      <c r="C383" s="98">
        <f t="shared" ref="C383" si="272">B383/100000000</f>
        <v>2.3012592199999999</v>
      </c>
      <c r="D383" s="102">
        <v>-451028647</v>
      </c>
      <c r="E383" s="95">
        <f t="shared" ref="E383" si="273">D383/100000000</f>
        <v>-4.5102864699999996</v>
      </c>
      <c r="F383" s="102">
        <v>69037419</v>
      </c>
      <c r="G383" s="98">
        <f t="shared" ref="G383" si="274">F383/100000000</f>
        <v>0.69037419</v>
      </c>
      <c r="H383" s="102">
        <v>-15576291321</v>
      </c>
      <c r="I383" s="98">
        <f t="shared" ref="I383" si="275">H383/100000000</f>
        <v>-155.76291320999999</v>
      </c>
    </row>
    <row r="384" spans="1:9">
      <c r="A384" s="92">
        <v>43162</v>
      </c>
      <c r="B384" s="102"/>
      <c r="C384" s="98"/>
      <c r="D384" s="102"/>
      <c r="E384" s="95"/>
      <c r="F384" s="102"/>
      <c r="G384" s="98"/>
      <c r="H384" s="102"/>
      <c r="I384" s="98"/>
    </row>
    <row r="385" spans="1:9">
      <c r="A385" s="92">
        <v>43163</v>
      </c>
      <c r="B385" s="102"/>
      <c r="C385" s="98"/>
      <c r="D385" s="102"/>
      <c r="E385" s="95"/>
      <c r="F385" s="102"/>
      <c r="G385" s="98"/>
      <c r="H385" s="102"/>
      <c r="I385" s="98"/>
    </row>
    <row r="386" spans="1:9">
      <c r="A386" s="92">
        <v>43164</v>
      </c>
      <c r="B386" s="102">
        <v>-289174412</v>
      </c>
      <c r="C386" s="98">
        <f t="shared" ref="C386" si="276">B386/100000000</f>
        <v>-2.8917441199999998</v>
      </c>
      <c r="D386" s="102">
        <v>-1816257858</v>
      </c>
      <c r="E386" s="95">
        <f t="shared" ref="E386" si="277">D386/100000000</f>
        <v>-18.162578580000002</v>
      </c>
      <c r="F386" s="102">
        <v>-194815655</v>
      </c>
      <c r="G386" s="98">
        <f t="shared" ref="G386" si="278">F386/100000000</f>
        <v>-1.94815655</v>
      </c>
      <c r="H386" s="102">
        <v>-10213111395</v>
      </c>
      <c r="I386" s="98">
        <f t="shared" ref="I386" si="279">H386/100000000</f>
        <v>-102.13111395</v>
      </c>
    </row>
    <row r="387" spans="1:9">
      <c r="A387" s="92">
        <v>43165</v>
      </c>
      <c r="B387" s="102">
        <v>254371233</v>
      </c>
      <c r="C387" s="98">
        <f t="shared" ref="C387" si="280">B387/100000000</f>
        <v>2.54371233</v>
      </c>
      <c r="D387" s="102">
        <v>-935203252</v>
      </c>
      <c r="E387" s="95">
        <f t="shared" ref="E387" si="281">D387/100000000</f>
        <v>-9.3520325199999998</v>
      </c>
      <c r="F387" s="102">
        <v>-237592236</v>
      </c>
      <c r="G387" s="98">
        <f t="shared" ref="G387" si="282">F387/100000000</f>
        <v>-2.3759223600000001</v>
      </c>
      <c r="H387" s="102">
        <v>3731379898</v>
      </c>
      <c r="I387" s="98">
        <f t="shared" ref="I387" si="283">H387/100000000</f>
        <v>37.313798980000001</v>
      </c>
    </row>
    <row r="388" spans="1:9">
      <c r="A388" s="92">
        <v>43166</v>
      </c>
      <c r="B388" s="102">
        <v>439509330</v>
      </c>
      <c r="C388" s="98">
        <f t="shared" ref="C388" si="284">B388/100000000</f>
        <v>4.3950933000000001</v>
      </c>
      <c r="D388" s="102">
        <v>-83338361</v>
      </c>
      <c r="E388" s="95">
        <f t="shared" ref="E388" si="285">D388/100000000</f>
        <v>-0.83338361000000005</v>
      </c>
      <c r="F388" s="102">
        <v>434020542</v>
      </c>
      <c r="G388" s="98">
        <f t="shared" ref="G388" si="286">F388/100000000</f>
        <v>4.3402054200000002</v>
      </c>
      <c r="H388" s="102">
        <v>-630449036</v>
      </c>
      <c r="I388" s="98">
        <f t="shared" ref="I388" si="287">H388/100000000</f>
        <v>-6.30449036</v>
      </c>
    </row>
    <row r="389" spans="1:9">
      <c r="A389" s="92">
        <v>43167</v>
      </c>
      <c r="B389" s="102">
        <v>391494050</v>
      </c>
      <c r="C389" s="98">
        <f t="shared" ref="C389" si="288">B389/100000000</f>
        <v>3.9149405000000002</v>
      </c>
      <c r="D389" s="102">
        <v>585761642</v>
      </c>
      <c r="E389" s="95">
        <f t="shared" ref="E389" si="289">D389/100000000</f>
        <v>5.8576164200000003</v>
      </c>
      <c r="F389" s="102">
        <v>-259007415</v>
      </c>
      <c r="G389" s="98">
        <f t="shared" ref="G389" si="290">F389/100000000</f>
        <v>-2.59007415</v>
      </c>
      <c r="H389" s="102">
        <v>-951890637</v>
      </c>
      <c r="I389" s="98">
        <f t="shared" ref="I389" si="291">H389/100000000</f>
        <v>-9.5189063699999998</v>
      </c>
    </row>
    <row r="390" spans="1:9">
      <c r="A390" s="92">
        <v>43168</v>
      </c>
      <c r="B390" s="102">
        <v>245559340</v>
      </c>
      <c r="C390" s="98">
        <f t="shared" ref="C390" si="292">B390/100000000</f>
        <v>2.4555934000000001</v>
      </c>
      <c r="D390" s="102">
        <v>1092086928</v>
      </c>
      <c r="E390" s="95">
        <f t="shared" ref="E390" si="293">D390/100000000</f>
        <v>10.92086928</v>
      </c>
      <c r="F390" s="102">
        <v>274842930</v>
      </c>
      <c r="G390" s="98">
        <f t="shared" ref="G390" si="294">F390/100000000</f>
        <v>2.7484293000000002</v>
      </c>
      <c r="H390" s="102">
        <v>-1980492300</v>
      </c>
      <c r="I390" s="98">
        <f t="shared" ref="I390" si="295">H390/100000000</f>
        <v>-19.804922999999999</v>
      </c>
    </row>
    <row r="391" spans="1:9">
      <c r="A391" s="92">
        <v>43169</v>
      </c>
      <c r="B391" s="102"/>
      <c r="C391" s="98"/>
      <c r="D391" s="102"/>
      <c r="E391" s="95"/>
      <c r="F391" s="102"/>
      <c r="G391" s="98"/>
      <c r="H391" s="102"/>
      <c r="I391" s="98"/>
    </row>
    <row r="392" spans="1:9">
      <c r="A392" s="92">
        <v>43170</v>
      </c>
      <c r="B392" s="102"/>
      <c r="C392" s="98"/>
      <c r="D392" s="102"/>
      <c r="E392" s="95"/>
      <c r="F392" s="102"/>
      <c r="G392" s="98"/>
      <c r="H392" s="102"/>
      <c r="I392" s="98"/>
    </row>
    <row r="393" spans="1:9">
      <c r="A393" s="92">
        <v>43171</v>
      </c>
      <c r="B393" s="102">
        <v>1407820770</v>
      </c>
      <c r="C393" s="98">
        <f t="shared" ref="C393" si="296">B393/100000000</f>
        <v>14.0782077</v>
      </c>
      <c r="D393" s="102">
        <v>6613367</v>
      </c>
      <c r="E393" s="95">
        <f t="shared" ref="E393" si="297">D393/100000000</f>
        <v>6.6133670000000006E-2</v>
      </c>
      <c r="F393" s="102">
        <v>250640550</v>
      </c>
      <c r="G393" s="98">
        <f t="shared" ref="G393" si="298">F393/100000000</f>
        <v>2.5064055000000001</v>
      </c>
      <c r="H393" s="102">
        <v>12371173652</v>
      </c>
      <c r="I393" s="98">
        <f t="shared" ref="I393" si="299">H393/100000000</f>
        <v>123.71173652</v>
      </c>
    </row>
    <row r="394" spans="1:9">
      <c r="A394" s="92">
        <v>43172</v>
      </c>
      <c r="B394" s="102">
        <v>474635750</v>
      </c>
      <c r="C394" s="98">
        <f t="shared" ref="C394" si="300">B394/100000000</f>
        <v>4.7463575000000002</v>
      </c>
      <c r="D394" s="102">
        <v>-761273341</v>
      </c>
      <c r="E394" s="95">
        <f t="shared" ref="E394" si="301">D394/100000000</f>
        <v>-7.6127334099999997</v>
      </c>
      <c r="F394" s="102">
        <v>-175829824</v>
      </c>
      <c r="G394" s="98">
        <f t="shared" ref="G394" si="302">F394/100000000</f>
        <v>-1.75829824</v>
      </c>
      <c r="H394" s="102">
        <v>7684719574</v>
      </c>
      <c r="I394" s="98">
        <f t="shared" ref="I394" si="303">H394/100000000</f>
        <v>76.847195740000004</v>
      </c>
    </row>
    <row r="395" spans="1:9">
      <c r="A395" s="92">
        <v>43173</v>
      </c>
      <c r="B395" s="102">
        <v>587700650</v>
      </c>
      <c r="C395" s="98">
        <f t="shared" ref="C395" si="304">B395/100000000</f>
        <v>5.8770065000000002</v>
      </c>
      <c r="D395" s="102">
        <v>-1338484180</v>
      </c>
      <c r="E395" s="95">
        <f t="shared" ref="E395" si="305">D395/100000000</f>
        <v>-13.3848418</v>
      </c>
      <c r="F395" s="102">
        <v>-236947959</v>
      </c>
      <c r="G395" s="98">
        <f t="shared" ref="G395" si="306">F395/100000000</f>
        <v>-2.3694795900000001</v>
      </c>
      <c r="H395" s="102">
        <v>-8318811439</v>
      </c>
      <c r="I395" s="98">
        <f t="shared" ref="I395" si="307">H395/100000000</f>
        <v>-83.188114389999996</v>
      </c>
    </row>
    <row r="396" spans="1:9">
      <c r="A396" s="92">
        <v>43174</v>
      </c>
      <c r="B396" s="102">
        <v>310471330</v>
      </c>
      <c r="C396" s="98">
        <f t="shared" ref="C396" si="308">B396/100000000</f>
        <v>3.1047132999999998</v>
      </c>
      <c r="D396" s="102">
        <v>-1125370350</v>
      </c>
      <c r="E396" s="95">
        <f t="shared" ref="E396" si="309">D396/100000000</f>
        <v>-11.2537035</v>
      </c>
      <c r="F396" s="102">
        <v>-710077744</v>
      </c>
      <c r="G396" s="98">
        <f t="shared" ref="G396" si="310">F396/100000000</f>
        <v>-7.1007774399999999</v>
      </c>
      <c r="H396" s="102">
        <v>-2057128118</v>
      </c>
      <c r="I396" s="98">
        <f t="shared" ref="I396" si="311">H396/100000000</f>
        <v>-20.57128118</v>
      </c>
    </row>
    <row r="397" spans="1:9">
      <c r="A397" s="92">
        <v>43175</v>
      </c>
      <c r="B397" s="102">
        <v>203836860</v>
      </c>
      <c r="C397" s="98">
        <f t="shared" ref="C397" si="312">B397/100000000</f>
        <v>2.0383686000000001</v>
      </c>
      <c r="D397" s="102">
        <v>-1429122053</v>
      </c>
      <c r="E397" s="95">
        <f t="shared" ref="E397" si="313">D397/100000000</f>
        <v>-14.29122053</v>
      </c>
      <c r="F397" s="102">
        <v>-64631503</v>
      </c>
      <c r="G397" s="98">
        <f t="shared" ref="G397" si="314">F397/100000000</f>
        <v>-0.64631503000000001</v>
      </c>
      <c r="H397" s="102">
        <v>1564145407</v>
      </c>
      <c r="I397" s="98">
        <f t="shared" ref="I397" si="315">H397/100000000</f>
        <v>15.64145407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398"/>
  <sheetViews>
    <sheetView zoomScale="85" zoomScaleNormal="85" workbookViewId="0">
      <pane ySplit="3" topLeftCell="A387" activePane="bottomLeft" state="frozen"/>
      <selection pane="bottomLeft" activeCell="M398" sqref="M398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5.66406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6" t="s">
        <v>51</v>
      </c>
      <c r="C1" s="107"/>
      <c r="D1" s="107"/>
      <c r="E1" s="142" t="s">
        <v>49</v>
      </c>
      <c r="F1" s="142" t="s">
        <v>50</v>
      </c>
      <c r="G1" s="138" t="s">
        <v>254</v>
      </c>
      <c r="H1" s="139"/>
      <c r="I1" s="139"/>
      <c r="J1" s="140"/>
      <c r="K1" s="141"/>
      <c r="L1" s="142" t="s">
        <v>52</v>
      </c>
      <c r="M1" s="142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3"/>
      <c r="F2" s="143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3"/>
      <c r="M2" s="143"/>
      <c r="N2" s="1">
        <v>2</v>
      </c>
      <c r="O2" s="1" t="s">
        <v>252</v>
      </c>
      <c r="P2" s="94" t="s">
        <v>194</v>
      </c>
      <c r="Q2" s="94"/>
    </row>
    <row r="3" spans="1:17">
      <c r="A3" s="15" t="s">
        <v>40</v>
      </c>
      <c r="B3" s="125" t="s">
        <v>56</v>
      </c>
      <c r="C3" s="122"/>
      <c r="D3" s="122"/>
      <c r="E3" s="122"/>
      <c r="F3" s="122"/>
      <c r="G3" s="122"/>
      <c r="H3" s="122"/>
      <c r="I3" s="122"/>
      <c r="J3" s="137"/>
      <c r="K3" s="137"/>
      <c r="L3" s="137"/>
      <c r="M3" s="137"/>
      <c r="O3" s="2" t="s">
        <v>253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  <row r="347" spans="1:13">
      <c r="A347" s="9">
        <v>43124</v>
      </c>
      <c r="B347" s="10">
        <v>789</v>
      </c>
      <c r="C347" s="10">
        <v>3475</v>
      </c>
      <c r="D347" s="10">
        <f t="shared" ref="D347" si="204">B347+C347/4</f>
        <v>1657.75</v>
      </c>
      <c r="E347" s="10">
        <v>529</v>
      </c>
      <c r="F347" s="10">
        <v>19</v>
      </c>
      <c r="G347" s="10">
        <v>41562</v>
      </c>
      <c r="H347" s="10">
        <v>950</v>
      </c>
      <c r="I347" s="10">
        <f t="shared" ref="I347" si="205">G347+H347/4</f>
        <v>41799.5</v>
      </c>
      <c r="J347" s="10">
        <f t="shared" ref="J347" si="206">I347-$I$340</f>
        <v>-11549</v>
      </c>
      <c r="K347" s="10">
        <f>I347-I346</f>
        <v>3192.75</v>
      </c>
      <c r="L347" s="10">
        <v>193</v>
      </c>
      <c r="M347" s="10">
        <v>-2158</v>
      </c>
    </row>
    <row r="348" spans="1:13">
      <c r="A348" s="9">
        <v>43125</v>
      </c>
      <c r="B348" s="10">
        <v>-735</v>
      </c>
      <c r="C348" s="10">
        <v>3159</v>
      </c>
      <c r="D348" s="10">
        <f t="shared" ref="D348" si="207">B348+C348/4</f>
        <v>54.75</v>
      </c>
      <c r="E348" s="10">
        <v>556</v>
      </c>
      <c r="F348" s="10">
        <v>132</v>
      </c>
      <c r="G348" s="10">
        <v>46835</v>
      </c>
      <c r="H348" s="10">
        <v>3399</v>
      </c>
      <c r="I348" s="10">
        <f t="shared" ref="I348" si="208">G348+H348/4</f>
        <v>47684.75</v>
      </c>
      <c r="J348" s="10">
        <f t="shared" ref="J348" si="209">I348-$I$340</f>
        <v>-5663.75</v>
      </c>
      <c r="K348" s="10">
        <f>I348-I347</f>
        <v>5885.25</v>
      </c>
      <c r="L348" s="10">
        <v>249</v>
      </c>
      <c r="M348" s="10">
        <v>-2215</v>
      </c>
    </row>
    <row r="349" spans="1:13">
      <c r="A349" s="9">
        <v>43126</v>
      </c>
      <c r="B349" s="10">
        <v>-2117</v>
      </c>
      <c r="C349" s="10">
        <v>3365</v>
      </c>
      <c r="D349" s="10">
        <f t="shared" ref="D349" si="210">B349+C349/4</f>
        <v>-1275.75</v>
      </c>
      <c r="E349" s="10">
        <v>310</v>
      </c>
      <c r="F349" s="10">
        <v>36</v>
      </c>
      <c r="G349" s="10">
        <v>46788</v>
      </c>
      <c r="H349" s="10">
        <v>4324</v>
      </c>
      <c r="I349" s="10">
        <f t="shared" ref="I349" si="211">G349+H349/4</f>
        <v>47869</v>
      </c>
      <c r="J349" s="10">
        <f t="shared" ref="J349" si="212">I349-$I$340</f>
        <v>-5479.5</v>
      </c>
      <c r="K349" s="10">
        <f>I349-I348</f>
        <v>184.25</v>
      </c>
      <c r="L349" s="10">
        <v>239</v>
      </c>
      <c r="M349" s="10">
        <v>-2008</v>
      </c>
    </row>
    <row r="350" spans="1:13">
      <c r="A350" s="9">
        <v>43127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>
      <c r="A351" s="9">
        <v>43128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>
      <c r="A352" s="9">
        <v>43129</v>
      </c>
      <c r="B352" s="10">
        <v>1125</v>
      </c>
      <c r="C352" s="10">
        <v>2944</v>
      </c>
      <c r="D352" s="10">
        <f t="shared" ref="D352" si="213">B352+C352/4</f>
        <v>1861</v>
      </c>
      <c r="E352" s="10">
        <v>285</v>
      </c>
      <c r="F352" s="10">
        <v>21</v>
      </c>
      <c r="G352" s="10">
        <v>44176</v>
      </c>
      <c r="H352" s="10">
        <v>5063</v>
      </c>
      <c r="I352" s="10">
        <f t="shared" ref="I352" si="214">G352+H352/4</f>
        <v>45441.75</v>
      </c>
      <c r="J352" s="10">
        <f t="shared" ref="J352" si="215">I352-$I$340</f>
        <v>-7906.75</v>
      </c>
      <c r="K352" s="10">
        <f>I352-I349</f>
        <v>-2427.25</v>
      </c>
      <c r="L352" s="10">
        <v>98</v>
      </c>
      <c r="M352" s="10">
        <v>-1944</v>
      </c>
    </row>
    <row r="353" spans="1:13">
      <c r="A353" s="9">
        <v>43130</v>
      </c>
      <c r="B353" s="10">
        <v>-1780</v>
      </c>
      <c r="C353" s="10">
        <v>-148</v>
      </c>
      <c r="D353" s="10">
        <f t="shared" ref="D353:D354" si="216">B353+C353/4</f>
        <v>-1817</v>
      </c>
      <c r="E353" s="10">
        <v>368</v>
      </c>
      <c r="F353" s="10">
        <v>50</v>
      </c>
      <c r="G353" s="10">
        <v>48316</v>
      </c>
      <c r="H353" s="10">
        <v>5199</v>
      </c>
      <c r="I353" s="10">
        <f t="shared" ref="I353:I354" si="217">G353+H353/4</f>
        <v>49615.75</v>
      </c>
      <c r="J353" s="10">
        <f t="shared" ref="J353:J354" si="218">I353-$I$340</f>
        <v>-3732.75</v>
      </c>
      <c r="K353" s="10">
        <f>I353-I352</f>
        <v>4174</v>
      </c>
      <c r="L353" s="10">
        <v>509</v>
      </c>
      <c r="M353" s="10">
        <v>-2054</v>
      </c>
    </row>
    <row r="354" spans="1:13">
      <c r="A354" s="9">
        <v>43131</v>
      </c>
      <c r="B354" s="10">
        <v>-3153</v>
      </c>
      <c r="C354" s="10">
        <v>439</v>
      </c>
      <c r="D354" s="10">
        <f t="shared" si="216"/>
        <v>-3043.25</v>
      </c>
      <c r="E354" s="10">
        <v>367</v>
      </c>
      <c r="F354" s="10">
        <v>137</v>
      </c>
      <c r="G354" s="10">
        <v>49683</v>
      </c>
      <c r="H354" s="10">
        <v>5580</v>
      </c>
      <c r="I354" s="10">
        <f t="shared" si="217"/>
        <v>51078</v>
      </c>
      <c r="J354" s="10">
        <f t="shared" si="218"/>
        <v>-2270.5</v>
      </c>
      <c r="K354" s="10">
        <f>I354-I353</f>
        <v>1462.25</v>
      </c>
      <c r="L354" s="10">
        <v>723</v>
      </c>
      <c r="M354" s="10">
        <v>-2004</v>
      </c>
    </row>
    <row r="355" spans="1:13">
      <c r="A355" s="9">
        <v>43132</v>
      </c>
      <c r="B355" s="10">
        <v>-1950</v>
      </c>
      <c r="C355" s="10">
        <v>688</v>
      </c>
      <c r="D355" s="10">
        <f t="shared" ref="D355" si="219">B355+C355/4</f>
        <v>-1778</v>
      </c>
      <c r="E355" s="10">
        <v>467</v>
      </c>
      <c r="F355" s="10">
        <v>-11</v>
      </c>
      <c r="G355" s="10">
        <v>47947</v>
      </c>
      <c r="H355" s="10">
        <v>4093</v>
      </c>
      <c r="I355" s="10">
        <f t="shared" ref="I355" si="220">G355+H355/4</f>
        <v>48970.25</v>
      </c>
      <c r="J355" s="10">
        <f t="shared" ref="J355" si="221">I355-$I$340</f>
        <v>-4378.25</v>
      </c>
      <c r="K355" s="10">
        <f>I355-I354</f>
        <v>-2107.75</v>
      </c>
      <c r="L355" s="10">
        <v>754</v>
      </c>
      <c r="M355" s="10">
        <v>-1849</v>
      </c>
    </row>
    <row r="356" spans="1:13">
      <c r="A356" s="9">
        <v>43133</v>
      </c>
      <c r="B356" s="10">
        <v>-877</v>
      </c>
      <c r="C356" s="10">
        <v>154</v>
      </c>
      <c r="D356" s="10">
        <f t="shared" ref="D356" si="222">B356+C356/4</f>
        <v>-838.5</v>
      </c>
      <c r="E356" s="10">
        <v>415</v>
      </c>
      <c r="F356" s="10">
        <v>5</v>
      </c>
      <c r="G356" s="10">
        <v>44044</v>
      </c>
      <c r="H356" s="10">
        <v>2564</v>
      </c>
      <c r="I356" s="10">
        <f t="shared" ref="I356" si="223">G356+H356/4</f>
        <v>44685</v>
      </c>
      <c r="J356" s="10">
        <f t="shared" ref="J356" si="224">I356-$I$340</f>
        <v>-8663.5</v>
      </c>
      <c r="K356" s="10">
        <f>I356-I355</f>
        <v>-4285.25</v>
      </c>
      <c r="L356" s="10">
        <v>832</v>
      </c>
      <c r="M356" s="10">
        <v>-1930</v>
      </c>
    </row>
    <row r="357" spans="1:13">
      <c r="A357" s="9">
        <v>43134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>
      <c r="A358" s="9">
        <v>43135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>
      <c r="A359" s="9">
        <v>43136</v>
      </c>
      <c r="B359" s="10">
        <v>-975</v>
      </c>
      <c r="C359" s="10">
        <v>-939</v>
      </c>
      <c r="D359" s="10">
        <f t="shared" ref="D359" si="225">B359+C359/4</f>
        <v>-1209.75</v>
      </c>
      <c r="E359" s="10">
        <v>448</v>
      </c>
      <c r="F359" s="10">
        <v>106</v>
      </c>
      <c r="G359" s="10">
        <v>40149</v>
      </c>
      <c r="H359" s="10">
        <v>-595</v>
      </c>
      <c r="I359" s="10">
        <f t="shared" ref="I359" si="226">G359+H359/4</f>
        <v>40000.25</v>
      </c>
      <c r="J359" s="10">
        <f t="shared" ref="J359" si="227">I359-$I$340</f>
        <v>-13348.25</v>
      </c>
      <c r="K359" s="10">
        <f>I359-I356</f>
        <v>-4684.75</v>
      </c>
      <c r="L359" s="10">
        <v>430</v>
      </c>
      <c r="M359" s="10">
        <v>-1977</v>
      </c>
    </row>
    <row r="360" spans="1:13">
      <c r="A360" s="9">
        <v>43137</v>
      </c>
      <c r="B360" s="10">
        <v>-7368</v>
      </c>
      <c r="C360" s="10">
        <v>-4456</v>
      </c>
      <c r="D360" s="10">
        <f t="shared" ref="D360:D375" si="228">B360+C360/4</f>
        <v>-8482</v>
      </c>
      <c r="E360" s="10">
        <v>510</v>
      </c>
      <c r="F360" s="10">
        <v>31</v>
      </c>
      <c r="G360" s="10">
        <v>43071</v>
      </c>
      <c r="H360" s="10">
        <v>168</v>
      </c>
      <c r="I360" s="10">
        <f t="shared" ref="I360:I375" si="229">G360+H360/4</f>
        <v>43113</v>
      </c>
      <c r="J360" s="10">
        <f t="shared" ref="J360:J363" si="230">I360-$I$340</f>
        <v>-10235.5</v>
      </c>
      <c r="K360" s="10">
        <f>I360-I359</f>
        <v>3112.75</v>
      </c>
      <c r="L360" s="10">
        <v>471</v>
      </c>
      <c r="M360" s="10">
        <v>-1676</v>
      </c>
    </row>
    <row r="361" spans="1:13">
      <c r="A361" s="9">
        <v>43138</v>
      </c>
      <c r="B361" s="10">
        <v>-6468</v>
      </c>
      <c r="C361" s="10">
        <v>-2655</v>
      </c>
      <c r="D361" s="10">
        <f t="shared" si="228"/>
        <v>-7131.75</v>
      </c>
      <c r="E361" s="10">
        <v>468</v>
      </c>
      <c r="F361" s="10">
        <v>167</v>
      </c>
      <c r="G361" s="10">
        <v>48188</v>
      </c>
      <c r="H361" s="10">
        <v>647</v>
      </c>
      <c r="I361" s="10">
        <f t="shared" si="229"/>
        <v>48349.75</v>
      </c>
      <c r="J361" s="10">
        <f t="shared" si="230"/>
        <v>-4998.75</v>
      </c>
      <c r="K361" s="10">
        <f t="shared" ref="K361:K363" si="231">I361-I360</f>
        <v>5236.75</v>
      </c>
      <c r="L361" s="10">
        <v>595</v>
      </c>
      <c r="M361" s="10">
        <v>-1634</v>
      </c>
    </row>
    <row r="362" spans="1:13">
      <c r="A362" s="9">
        <v>43139</v>
      </c>
      <c r="B362" s="10">
        <v>-6118</v>
      </c>
      <c r="C362" s="10">
        <v>-4183</v>
      </c>
      <c r="D362" s="10">
        <f t="shared" si="228"/>
        <v>-7163.75</v>
      </c>
      <c r="E362" s="10">
        <v>437</v>
      </c>
      <c r="F362" s="10">
        <v>206</v>
      </c>
      <c r="G362" s="10">
        <v>45939</v>
      </c>
      <c r="H362" s="10">
        <v>575</v>
      </c>
      <c r="I362" s="10">
        <f t="shared" si="229"/>
        <v>46082.75</v>
      </c>
      <c r="J362" s="10">
        <f t="shared" si="230"/>
        <v>-7265.75</v>
      </c>
      <c r="K362" s="10">
        <f t="shared" si="231"/>
        <v>-2267</v>
      </c>
      <c r="L362" s="10">
        <v>1099</v>
      </c>
      <c r="M362" s="10">
        <v>-1627</v>
      </c>
    </row>
    <row r="363" spans="1:13">
      <c r="A363" s="9">
        <v>43140</v>
      </c>
      <c r="B363" s="10">
        <v>-3459</v>
      </c>
      <c r="C363" s="10">
        <v>-6632</v>
      </c>
      <c r="D363" s="10">
        <f t="shared" si="228"/>
        <v>-5117</v>
      </c>
      <c r="E363" s="10">
        <v>382</v>
      </c>
      <c r="F363" s="10">
        <v>262</v>
      </c>
      <c r="G363" s="10">
        <v>42564</v>
      </c>
      <c r="H363" s="10">
        <v>-39</v>
      </c>
      <c r="I363" s="10">
        <f t="shared" si="229"/>
        <v>42554.25</v>
      </c>
      <c r="J363" s="10">
        <f t="shared" si="230"/>
        <v>-10794.25</v>
      </c>
      <c r="K363" s="10">
        <f t="shared" si="231"/>
        <v>-3528.5</v>
      </c>
      <c r="L363" s="10">
        <v>1050</v>
      </c>
      <c r="M363" s="10">
        <v>-1694</v>
      </c>
    </row>
    <row r="364" spans="1:13">
      <c r="A364" s="9">
        <v>43141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>
      <c r="A365" s="9">
        <v>43142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>
      <c r="A366" s="9">
        <v>43143</v>
      </c>
      <c r="B366" s="10">
        <v>-2392</v>
      </c>
      <c r="C366" s="10">
        <v>-5411</v>
      </c>
      <c r="D366" s="10">
        <f t="shared" si="228"/>
        <v>-3744.75</v>
      </c>
      <c r="E366" s="10">
        <v>311</v>
      </c>
      <c r="F366" s="10">
        <v>202</v>
      </c>
      <c r="G366" s="10">
        <v>42641</v>
      </c>
      <c r="H366" s="10">
        <v>-705</v>
      </c>
      <c r="I366" s="10">
        <f t="shared" si="229"/>
        <v>42464.75</v>
      </c>
      <c r="J366" s="10">
        <f>I366-$I$340</f>
        <v>-10707.5</v>
      </c>
      <c r="K366" s="10">
        <f>I366-I363</f>
        <v>-89.5</v>
      </c>
      <c r="L366" s="10">
        <v>984</v>
      </c>
      <c r="M366" s="10">
        <v>-1741</v>
      </c>
    </row>
    <row r="367" spans="1:13">
      <c r="A367" s="9">
        <v>43144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>
      <c r="A368" s="9">
        <v>43145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>
      <c r="A369" s="9">
        <v>43146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>
      <c r="A370" s="9">
        <v>43147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>
      <c r="A371" s="9">
        <v>43148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>
      <c r="A372" s="9">
        <v>43149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>
      <c r="A373" s="9">
        <v>43150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>
      <c r="A374" s="9">
        <v>43151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>
      <c r="A375" s="9">
        <v>43152</v>
      </c>
      <c r="B375" s="10">
        <v>-3689</v>
      </c>
      <c r="C375" s="10">
        <v>-714</v>
      </c>
      <c r="D375" s="10">
        <f t="shared" si="228"/>
        <v>-3867.5</v>
      </c>
      <c r="E375" s="10">
        <v>315</v>
      </c>
      <c r="F375" s="10">
        <v>90</v>
      </c>
      <c r="G375" s="10">
        <v>47776</v>
      </c>
      <c r="H375" s="10">
        <v>2035</v>
      </c>
      <c r="I375" s="10">
        <f t="shared" si="229"/>
        <v>48284.75</v>
      </c>
      <c r="J375" s="10">
        <f>I375-$I$375</f>
        <v>0</v>
      </c>
      <c r="K375" s="10">
        <f>I375-I366</f>
        <v>5820</v>
      </c>
      <c r="L375" s="10">
        <v>76</v>
      </c>
      <c r="M375" s="10">
        <v>-1657</v>
      </c>
    </row>
    <row r="376" spans="1:13">
      <c r="A376" s="9">
        <v>43153</v>
      </c>
      <c r="B376" s="10">
        <v>-3366</v>
      </c>
      <c r="C376" s="10">
        <v>-2534</v>
      </c>
      <c r="D376" s="10">
        <f t="shared" ref="D376" si="232">B376+C376/4</f>
        <v>-3999.5</v>
      </c>
      <c r="E376" s="10">
        <v>294</v>
      </c>
      <c r="F376" s="10">
        <v>367</v>
      </c>
      <c r="G376" s="10">
        <v>42893</v>
      </c>
      <c r="H376" s="10">
        <v>-2961</v>
      </c>
      <c r="I376" s="10">
        <f t="shared" ref="I376" si="233">G376+H376/4</f>
        <v>42152.75</v>
      </c>
      <c r="J376" s="10">
        <f>I376-$I$375</f>
        <v>-6132</v>
      </c>
      <c r="K376" s="10">
        <f t="shared" ref="K376" si="234">I376-I375</f>
        <v>-6132</v>
      </c>
      <c r="L376" s="10">
        <v>-4</v>
      </c>
      <c r="M376" s="10">
        <v>-1797</v>
      </c>
    </row>
    <row r="377" spans="1:13">
      <c r="A377" s="9">
        <v>43154</v>
      </c>
      <c r="B377" s="10">
        <v>-3891</v>
      </c>
      <c r="C377" s="10">
        <v>-1235</v>
      </c>
      <c r="D377" s="10">
        <f t="shared" ref="D377" si="235">B377+C377/4</f>
        <v>-4199.75</v>
      </c>
      <c r="E377" s="10">
        <v>411</v>
      </c>
      <c r="F377" s="10">
        <v>449</v>
      </c>
      <c r="G377" s="10">
        <v>47984</v>
      </c>
      <c r="H377" s="10">
        <v>566</v>
      </c>
      <c r="I377" s="10">
        <f t="shared" ref="I377" si="236">G377+H377/4</f>
        <v>48125.5</v>
      </c>
      <c r="J377" s="10">
        <f>I377-$I$375</f>
        <v>-159.25</v>
      </c>
      <c r="K377" s="10">
        <f t="shared" ref="K377" si="237">I377-I376</f>
        <v>5972.75</v>
      </c>
      <c r="L377" s="10">
        <v>184</v>
      </c>
      <c r="M377" s="10">
        <v>-1967</v>
      </c>
    </row>
    <row r="378" spans="1:13">
      <c r="A378" s="9">
        <v>43155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>
      <c r="A379" s="9">
        <v>43156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>
      <c r="A380" s="9">
        <v>43157</v>
      </c>
      <c r="B380" s="10">
        <v>-2924</v>
      </c>
      <c r="C380" s="10">
        <v>-1692</v>
      </c>
      <c r="D380" s="10">
        <f t="shared" ref="D380" si="238">B380+C380/4</f>
        <v>-3347</v>
      </c>
      <c r="E380" s="10">
        <v>362</v>
      </c>
      <c r="F380" s="10">
        <v>404</v>
      </c>
      <c r="G380" s="10">
        <v>44048</v>
      </c>
      <c r="H380" s="10">
        <v>-1693</v>
      </c>
      <c r="I380" s="10">
        <f t="shared" ref="I380" si="239">G380+H380/4</f>
        <v>43624.75</v>
      </c>
      <c r="J380" s="10">
        <f t="shared" ref="J380" si="240">I380-$I$375</f>
        <v>-4660</v>
      </c>
      <c r="K380" s="10">
        <f>I380-I377</f>
        <v>-4500.75</v>
      </c>
      <c r="L380" s="10">
        <v>118</v>
      </c>
      <c r="M380" s="10">
        <v>-1999</v>
      </c>
    </row>
    <row r="381" spans="1:13">
      <c r="A381" s="9">
        <v>43158</v>
      </c>
      <c r="B381" s="10">
        <v>-4231</v>
      </c>
      <c r="C381" s="10">
        <v>-2272</v>
      </c>
      <c r="D381" s="10">
        <f t="shared" ref="D381" si="241">B381+C381/4</f>
        <v>-4799</v>
      </c>
      <c r="E381" s="10">
        <v>336</v>
      </c>
      <c r="F381" s="10">
        <v>360</v>
      </c>
      <c r="G381" s="10">
        <v>45222</v>
      </c>
      <c r="H381" s="10">
        <v>-994</v>
      </c>
      <c r="I381" s="10">
        <f t="shared" ref="I381" si="242">G381+H381/4</f>
        <v>44973.5</v>
      </c>
      <c r="J381" s="10">
        <f t="shared" ref="J381" si="243">I381-$I$375</f>
        <v>-3311.25</v>
      </c>
      <c r="K381" s="10">
        <f>I381-I380</f>
        <v>1348.75</v>
      </c>
      <c r="L381" s="10">
        <v>109</v>
      </c>
      <c r="M381" s="10">
        <v>-1972</v>
      </c>
    </row>
    <row r="382" spans="1:13">
      <c r="A382" s="9">
        <v>43159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>
      <c r="A383" s="9">
        <v>43160</v>
      </c>
      <c r="B383" s="10">
        <v>-4524</v>
      </c>
      <c r="C383" s="10">
        <v>-1833</v>
      </c>
      <c r="D383" s="10">
        <f t="shared" ref="D383" si="244">B383+C383/4</f>
        <v>-4982.25</v>
      </c>
      <c r="E383" s="10">
        <v>320</v>
      </c>
      <c r="F383" s="10">
        <v>366</v>
      </c>
      <c r="G383" s="10">
        <v>45256</v>
      </c>
      <c r="H383" s="10">
        <v>-333</v>
      </c>
      <c r="I383" s="10">
        <f t="shared" ref="I383" si="245">G383+H383/4</f>
        <v>45172.75</v>
      </c>
      <c r="J383" s="10">
        <f t="shared" ref="J383" si="246">I383-$I$375</f>
        <v>-3112</v>
      </c>
      <c r="K383" s="10">
        <f>I383-I381</f>
        <v>199.25</v>
      </c>
      <c r="L383" s="10">
        <v>431</v>
      </c>
      <c r="M383" s="10">
        <v>-2015</v>
      </c>
    </row>
    <row r="384" spans="1:13">
      <c r="A384" s="9">
        <v>43161</v>
      </c>
      <c r="B384" s="10">
        <v>-4811</v>
      </c>
      <c r="C384" s="10">
        <v>-1601</v>
      </c>
      <c r="D384" s="10">
        <f t="shared" ref="D384" si="247">B384+C384/4</f>
        <v>-5211.25</v>
      </c>
      <c r="E384" s="10">
        <v>256</v>
      </c>
      <c r="F384" s="10">
        <v>274</v>
      </c>
      <c r="G384" s="10">
        <v>45748</v>
      </c>
      <c r="H384" s="10">
        <v>-690</v>
      </c>
      <c r="I384" s="10">
        <f t="shared" ref="I384" si="248">G384+H384/4</f>
        <v>45575.5</v>
      </c>
      <c r="J384" s="10">
        <f t="shared" ref="J384" si="249">I384-$I$375</f>
        <v>-2709.25</v>
      </c>
      <c r="K384" s="10">
        <f>I384-I383</f>
        <v>402.75</v>
      </c>
      <c r="L384" s="10">
        <v>427</v>
      </c>
      <c r="M384" s="10">
        <v>-2083</v>
      </c>
    </row>
    <row r="385" spans="1:13">
      <c r="A385" s="9">
        <v>43162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>
      <c r="A386" s="9">
        <v>43163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>
      <c r="A387" s="9">
        <v>43164</v>
      </c>
      <c r="B387" s="10">
        <v>-4622</v>
      </c>
      <c r="C387" s="10">
        <v>-2583</v>
      </c>
      <c r="D387" s="10">
        <f t="shared" ref="D387" si="250">B387+C387/4</f>
        <v>-5267.75</v>
      </c>
      <c r="E387" s="10">
        <v>394</v>
      </c>
      <c r="F387" s="10">
        <v>81</v>
      </c>
      <c r="G387" s="10">
        <v>45149</v>
      </c>
      <c r="H387" s="10">
        <v>-2767</v>
      </c>
      <c r="I387" s="10">
        <f t="shared" ref="I387" si="251">G387+H387/4</f>
        <v>44457.25</v>
      </c>
      <c r="J387" s="10">
        <f t="shared" ref="J387" si="252">I387-$I$375</f>
        <v>-3827.5</v>
      </c>
      <c r="K387" s="10">
        <f>I387-I384</f>
        <v>-1118.25</v>
      </c>
      <c r="L387" s="10">
        <v>30</v>
      </c>
      <c r="M387" s="10">
        <v>-1909</v>
      </c>
    </row>
    <row r="388" spans="1:13">
      <c r="A388" s="9">
        <v>43165</v>
      </c>
      <c r="B388" s="10">
        <v>-3567</v>
      </c>
      <c r="C388" s="10">
        <v>-875</v>
      </c>
      <c r="D388" s="10">
        <f t="shared" ref="D388" si="253">B388+C388/4</f>
        <v>-3785.75</v>
      </c>
      <c r="E388" s="10">
        <v>532</v>
      </c>
      <c r="F388" s="10">
        <v>-19</v>
      </c>
      <c r="G388" s="10">
        <v>47774</v>
      </c>
      <c r="H388" s="10">
        <v>1094</v>
      </c>
      <c r="I388" s="10">
        <f t="shared" ref="I388" si="254">G388+H388/4</f>
        <v>48047.5</v>
      </c>
      <c r="J388" s="10">
        <f t="shared" ref="J388" si="255">I388-$I$375</f>
        <v>-237.25</v>
      </c>
      <c r="K388" s="10">
        <f>I388-I387</f>
        <v>3590.25</v>
      </c>
      <c r="L388" s="10">
        <v>151</v>
      </c>
      <c r="M388" s="10">
        <v>-1730</v>
      </c>
    </row>
    <row r="389" spans="1:13">
      <c r="A389" s="9">
        <v>43166</v>
      </c>
      <c r="B389" s="10">
        <v>-4503</v>
      </c>
      <c r="C389" s="10">
        <v>-2952</v>
      </c>
      <c r="D389" s="10">
        <f t="shared" ref="D389" si="256">B389+C389/4</f>
        <v>-5241</v>
      </c>
      <c r="E389" s="10">
        <v>420</v>
      </c>
      <c r="F389" s="10">
        <v>15</v>
      </c>
      <c r="G389" s="10">
        <v>46274</v>
      </c>
      <c r="H389" s="10">
        <v>-858</v>
      </c>
      <c r="I389" s="10">
        <f t="shared" ref="I389" si="257">G389+H389/4</f>
        <v>46059.5</v>
      </c>
      <c r="J389" s="10">
        <f t="shared" ref="J389" si="258">I389-$I$375</f>
        <v>-2225.25</v>
      </c>
      <c r="K389" s="10">
        <f>I389-I388</f>
        <v>-1988</v>
      </c>
      <c r="L389" s="10">
        <v>113</v>
      </c>
      <c r="M389" s="10">
        <v>-1684</v>
      </c>
    </row>
    <row r="390" spans="1:13">
      <c r="A390" s="9">
        <v>43167</v>
      </c>
      <c r="B390" s="10">
        <v>-3576</v>
      </c>
      <c r="C390" s="10">
        <v>-1981</v>
      </c>
      <c r="D390" s="10">
        <f t="shared" ref="D390" si="259">B390+C390/4</f>
        <v>-4071.25</v>
      </c>
      <c r="E390" s="10">
        <v>555</v>
      </c>
      <c r="F390" s="10">
        <v>-196</v>
      </c>
      <c r="G390" s="10">
        <v>49664</v>
      </c>
      <c r="H390" s="10">
        <v>5094</v>
      </c>
      <c r="I390" s="10">
        <f t="shared" ref="I390" si="260">G390+H390/4</f>
        <v>50937.5</v>
      </c>
      <c r="J390" s="10">
        <f t="shared" ref="J390" si="261">I390-$I$375</f>
        <v>2652.75</v>
      </c>
      <c r="K390" s="10">
        <f>I390-I389</f>
        <v>4878</v>
      </c>
      <c r="L390" s="10">
        <v>-57</v>
      </c>
      <c r="M390" s="10">
        <v>-1658</v>
      </c>
    </row>
    <row r="391" spans="1:13">
      <c r="A391" s="9">
        <v>43168</v>
      </c>
      <c r="B391" s="10">
        <v>-4340</v>
      </c>
      <c r="C391" s="10">
        <v>-955</v>
      </c>
      <c r="D391" s="10">
        <f t="shared" ref="D391" si="262">B391+C391/4</f>
        <v>-4578.75</v>
      </c>
      <c r="E391" s="10">
        <v>519</v>
      </c>
      <c r="F391" s="10">
        <v>-202</v>
      </c>
      <c r="G391" s="10">
        <v>48919</v>
      </c>
      <c r="H391" s="10">
        <v>4022</v>
      </c>
      <c r="I391" s="10">
        <f t="shared" ref="I391" si="263">G391+H391/4</f>
        <v>49924.5</v>
      </c>
      <c r="J391" s="10">
        <f t="shared" ref="J391" si="264">I391-$I$375</f>
        <v>1639.75</v>
      </c>
      <c r="K391" s="10">
        <f>I391-I390</f>
        <v>-1013</v>
      </c>
      <c r="L391" s="10">
        <v>-213</v>
      </c>
      <c r="M391" s="10">
        <v>-1646</v>
      </c>
    </row>
    <row r="392" spans="1:13">
      <c r="A392" s="9">
        <v>43169</v>
      </c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>
      <c r="A393" s="9">
        <v>43170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spans="1:13">
      <c r="A394" s="9">
        <v>43171</v>
      </c>
      <c r="B394" s="10">
        <v>-3764</v>
      </c>
      <c r="C394" s="10">
        <v>1181</v>
      </c>
      <c r="D394" s="10">
        <f t="shared" ref="D394" si="265">B394+C394/4</f>
        <v>-3468.75</v>
      </c>
      <c r="E394" s="10">
        <v>438</v>
      </c>
      <c r="F394" s="10">
        <v>-93</v>
      </c>
      <c r="G394" s="10">
        <v>51104</v>
      </c>
      <c r="H394" s="10">
        <v>6836</v>
      </c>
      <c r="I394" s="10">
        <f t="shared" ref="I394" si="266">G394+H394/4</f>
        <v>52813</v>
      </c>
      <c r="J394" s="10">
        <f t="shared" ref="J394" si="267">I394-$I$375</f>
        <v>4528.25</v>
      </c>
      <c r="K394" s="10">
        <f>I394-I391</f>
        <v>2888.5</v>
      </c>
      <c r="L394" s="10">
        <v>39</v>
      </c>
      <c r="M394" s="10">
        <v>-1499</v>
      </c>
    </row>
    <row r="395" spans="1:13">
      <c r="A395" s="9">
        <v>43172</v>
      </c>
      <c r="B395" s="10">
        <v>-2315</v>
      </c>
      <c r="C395" s="10">
        <v>1252</v>
      </c>
      <c r="D395" s="10">
        <f t="shared" ref="D395" si="268">B395+C395/4</f>
        <v>-2002</v>
      </c>
      <c r="E395" s="10">
        <v>517</v>
      </c>
      <c r="F395" s="10">
        <v>-170</v>
      </c>
      <c r="G395" s="10">
        <v>50013</v>
      </c>
      <c r="H395" s="10">
        <v>8768</v>
      </c>
      <c r="I395" s="10">
        <f t="shared" ref="I395" si="269">G395+H395/4</f>
        <v>52205</v>
      </c>
      <c r="J395" s="10">
        <f t="shared" ref="J395" si="270">I395-$I$375</f>
        <v>3920.25</v>
      </c>
      <c r="K395" s="10">
        <f>I395-I394</f>
        <v>-608</v>
      </c>
      <c r="L395" s="10">
        <v>163</v>
      </c>
      <c r="M395" s="10">
        <v>-1583</v>
      </c>
    </row>
    <row r="396" spans="1:13">
      <c r="A396" s="9">
        <v>43173</v>
      </c>
      <c r="B396" s="10">
        <v>-2490</v>
      </c>
      <c r="C396" s="10">
        <v>1488</v>
      </c>
      <c r="D396" s="10">
        <f t="shared" ref="D396" si="271">B396+C396/4</f>
        <v>-2118</v>
      </c>
      <c r="E396" s="10">
        <v>474</v>
      </c>
      <c r="F396" s="10">
        <v>-211</v>
      </c>
      <c r="G396" s="10">
        <v>47943</v>
      </c>
      <c r="H396" s="10">
        <v>5580</v>
      </c>
      <c r="I396" s="10">
        <f t="shared" ref="I396" si="272">G396+H396/4</f>
        <v>49338</v>
      </c>
      <c r="J396" s="10">
        <f t="shared" ref="J396" si="273">I396-$I$375</f>
        <v>1053.25</v>
      </c>
      <c r="K396" s="10">
        <f>I396-I395</f>
        <v>-2867</v>
      </c>
      <c r="L396" s="10">
        <v>59</v>
      </c>
      <c r="M396" s="10">
        <v>-1635</v>
      </c>
    </row>
    <row r="397" spans="1:13">
      <c r="A397" s="9">
        <v>43174</v>
      </c>
      <c r="B397" s="10">
        <v>-3358</v>
      </c>
      <c r="C397" s="10">
        <v>1808</v>
      </c>
      <c r="D397" s="10">
        <f t="shared" ref="D397" si="274">B397+C397/4</f>
        <v>-2906</v>
      </c>
      <c r="E397" s="10">
        <v>338</v>
      </c>
      <c r="F397" s="10">
        <v>-270</v>
      </c>
      <c r="G397" s="10">
        <v>48460</v>
      </c>
      <c r="H397" s="10">
        <v>6923</v>
      </c>
      <c r="I397" s="10">
        <f t="shared" ref="I397" si="275">G397+H397/4</f>
        <v>50190.75</v>
      </c>
      <c r="J397" s="10">
        <f t="shared" ref="J397" si="276">I397-$I$375</f>
        <v>1906</v>
      </c>
      <c r="K397" s="10">
        <f>I397-I396</f>
        <v>852.75</v>
      </c>
      <c r="L397" s="10">
        <v>155</v>
      </c>
      <c r="M397" s="10">
        <v>-1542</v>
      </c>
    </row>
    <row r="398" spans="1:13">
      <c r="A398" s="9">
        <v>43175</v>
      </c>
      <c r="B398" s="10">
        <v>-570</v>
      </c>
      <c r="C398" s="10">
        <v>1429</v>
      </c>
      <c r="D398" s="10">
        <f t="shared" ref="D398" si="277">B398+C398/4</f>
        <v>-212.75</v>
      </c>
      <c r="E398" s="10">
        <v>288</v>
      </c>
      <c r="F398" s="10">
        <v>-192</v>
      </c>
      <c r="G398" s="10">
        <v>41721</v>
      </c>
      <c r="H398" s="10">
        <v>4672</v>
      </c>
      <c r="I398" s="10">
        <f t="shared" ref="I398" si="278">G398+H398/4</f>
        <v>42889</v>
      </c>
      <c r="J398" s="10">
        <f t="shared" ref="J398" si="279">I398-$I$375</f>
        <v>-5395.75</v>
      </c>
      <c r="K398" s="10">
        <f>I398-I397</f>
        <v>-7301.75</v>
      </c>
      <c r="L398" s="10">
        <v>151</v>
      </c>
      <c r="M398" s="10">
        <v>-1599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397"/>
  <sheetViews>
    <sheetView zoomScale="80" zoomScaleNormal="80" workbookViewId="0">
      <pane ySplit="3" topLeftCell="A388" activePane="bottomLeft" state="frozen"/>
      <selection pane="bottomLeft" activeCell="J403" sqref="J403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4" t="s">
        <v>73</v>
      </c>
      <c r="C1" s="110"/>
      <c r="D1" s="110"/>
      <c r="E1" s="145" t="s">
        <v>77</v>
      </c>
      <c r="F1" s="146"/>
      <c r="G1" s="146"/>
      <c r="H1" s="144" t="s">
        <v>78</v>
      </c>
      <c r="I1" s="110"/>
      <c r="J1" s="110"/>
      <c r="K1" s="145" t="s">
        <v>79</v>
      </c>
      <c r="L1" s="146"/>
      <c r="M1" s="146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261</v>
      </c>
      <c r="R2" s="94" t="s">
        <v>262</v>
      </c>
    </row>
    <row r="3" spans="1:18" ht="16.2">
      <c r="A3" s="15" t="s">
        <v>40</v>
      </c>
      <c r="B3" s="147" t="s">
        <v>375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9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  <row r="346" spans="1:15">
      <c r="A346" s="9">
        <v>43124</v>
      </c>
      <c r="B346" s="10">
        <v>44222</v>
      </c>
      <c r="C346" s="10">
        <v>47303</v>
      </c>
      <c r="D346" s="25">
        <f t="shared" ref="D346" si="399">B346-C346</f>
        <v>-3081</v>
      </c>
      <c r="E346" s="10">
        <v>59081</v>
      </c>
      <c r="F346" s="10">
        <v>55685</v>
      </c>
      <c r="G346" s="26">
        <f t="shared" ref="G346" si="400">E346-F346</f>
        <v>3396</v>
      </c>
      <c r="H346" s="10">
        <v>45129</v>
      </c>
      <c r="I346" s="10">
        <v>47391</v>
      </c>
      <c r="J346" s="25">
        <f t="shared" ref="J346" si="401">H346-I346</f>
        <v>-2262</v>
      </c>
      <c r="K346" s="10">
        <v>61880</v>
      </c>
      <c r="L346" s="10">
        <v>56902</v>
      </c>
      <c r="M346" s="26">
        <f t="shared" ref="M346" si="402">K346-L346</f>
        <v>4978</v>
      </c>
      <c r="N346" s="25">
        <f t="shared" ref="N346" si="403">J346-D346</f>
        <v>819</v>
      </c>
      <c r="O346" s="26">
        <f t="shared" ref="O346" si="404">M346-G346</f>
        <v>1582</v>
      </c>
    </row>
    <row r="347" spans="1:15">
      <c r="A347" s="9">
        <v>43125</v>
      </c>
      <c r="B347" s="10">
        <v>45086</v>
      </c>
      <c r="C347" s="10">
        <v>47499</v>
      </c>
      <c r="D347" s="25">
        <f t="shared" ref="D347" si="405">B347-C347</f>
        <v>-2413</v>
      </c>
      <c r="E347" s="10">
        <v>62176</v>
      </c>
      <c r="F347" s="10">
        <v>56610</v>
      </c>
      <c r="G347" s="26">
        <f t="shared" ref="G347" si="406">E347-F347</f>
        <v>5566</v>
      </c>
      <c r="H347" s="10">
        <v>46046</v>
      </c>
      <c r="I347" s="10">
        <v>48057</v>
      </c>
      <c r="J347" s="25">
        <f t="shared" ref="J347" si="407">H347-I347</f>
        <v>-2011</v>
      </c>
      <c r="K347" s="10">
        <v>63637</v>
      </c>
      <c r="L347" s="10">
        <v>58629</v>
      </c>
      <c r="M347" s="26">
        <f t="shared" ref="M347" si="408">K347-L347</f>
        <v>5008</v>
      </c>
      <c r="N347" s="25">
        <f t="shared" ref="N347" si="409">J347-D347</f>
        <v>402</v>
      </c>
      <c r="O347" s="26">
        <f t="shared" ref="O347" si="410">M347-G347</f>
        <v>-558</v>
      </c>
    </row>
    <row r="348" spans="1:15">
      <c r="A348" s="9">
        <v>43126</v>
      </c>
      <c r="B348" s="10">
        <v>45849</v>
      </c>
      <c r="C348" s="10">
        <v>48730</v>
      </c>
      <c r="D348" s="25">
        <f t="shared" ref="D348" si="411">B348-C348</f>
        <v>-2881</v>
      </c>
      <c r="E348" s="10">
        <v>63355</v>
      </c>
      <c r="F348" s="10">
        <v>57438</v>
      </c>
      <c r="G348" s="26">
        <f t="shared" ref="G348" si="412">E348-F348</f>
        <v>5917</v>
      </c>
      <c r="H348" s="10">
        <v>46809</v>
      </c>
      <c r="I348" s="10">
        <v>50023</v>
      </c>
      <c r="J348" s="25">
        <f t="shared" ref="J348" si="413">H348-I348</f>
        <v>-3214</v>
      </c>
      <c r="K348" s="10">
        <v>65181</v>
      </c>
      <c r="L348" s="10">
        <v>60045</v>
      </c>
      <c r="M348" s="26">
        <f t="shared" ref="M348" si="414">K348-L348</f>
        <v>5136</v>
      </c>
      <c r="N348" s="25">
        <f t="shared" ref="N348" si="415">J348-D348</f>
        <v>-333</v>
      </c>
      <c r="O348" s="26">
        <f t="shared" ref="O348" si="416">M348-G348</f>
        <v>-781</v>
      </c>
    </row>
    <row r="349" spans="1:15">
      <c r="A349" s="9">
        <v>43127</v>
      </c>
      <c r="B349" s="10"/>
      <c r="C349" s="10"/>
      <c r="D349" s="25"/>
      <c r="E349" s="10"/>
      <c r="F349" s="10"/>
      <c r="G349" s="26"/>
      <c r="H349" s="10"/>
      <c r="I349" s="10"/>
      <c r="J349" s="25"/>
      <c r="K349" s="10"/>
      <c r="L349" s="10"/>
      <c r="M349" s="26"/>
      <c r="N349" s="25"/>
      <c r="O349" s="26"/>
    </row>
    <row r="350" spans="1:15">
      <c r="A350" s="9">
        <v>43128</v>
      </c>
      <c r="B350" s="10"/>
      <c r="C350" s="10"/>
      <c r="D350" s="25"/>
      <c r="E350" s="10"/>
      <c r="F350" s="10"/>
      <c r="G350" s="26"/>
      <c r="H350" s="10"/>
      <c r="I350" s="10"/>
      <c r="J350" s="25"/>
      <c r="K350" s="10"/>
      <c r="L350" s="10"/>
      <c r="M350" s="26"/>
      <c r="N350" s="25"/>
      <c r="O350" s="26"/>
    </row>
    <row r="351" spans="1:15">
      <c r="A351" s="9">
        <v>43129</v>
      </c>
      <c r="B351" s="10">
        <v>44926</v>
      </c>
      <c r="C351" s="10">
        <v>49054</v>
      </c>
      <c r="D351" s="25">
        <f t="shared" ref="D351" si="417">B351-C351</f>
        <v>-4128</v>
      </c>
      <c r="E351" s="10">
        <v>60394</v>
      </c>
      <c r="F351" s="10">
        <v>57531</v>
      </c>
      <c r="G351" s="26">
        <f t="shared" ref="G351" si="418">E351-F351</f>
        <v>2863</v>
      </c>
      <c r="H351" s="10">
        <v>46266</v>
      </c>
      <c r="I351" s="10">
        <v>50436</v>
      </c>
      <c r="J351" s="25">
        <f t="shared" ref="J351" si="419">H351-I351</f>
        <v>-4170</v>
      </c>
      <c r="K351" s="10">
        <v>63548</v>
      </c>
      <c r="L351" s="10">
        <v>60094</v>
      </c>
      <c r="M351" s="26">
        <f t="shared" ref="M351" si="420">K351-L351</f>
        <v>3454</v>
      </c>
      <c r="N351" s="25">
        <f t="shared" ref="N351" si="421">J351-D351</f>
        <v>-42</v>
      </c>
      <c r="O351" s="26">
        <f t="shared" ref="O351" si="422">M351-G351</f>
        <v>591</v>
      </c>
    </row>
    <row r="352" spans="1:15">
      <c r="A352" s="9">
        <v>43130</v>
      </c>
      <c r="B352" s="10">
        <v>47368</v>
      </c>
      <c r="C352" s="10">
        <v>48498</v>
      </c>
      <c r="D352" s="25">
        <f t="shared" ref="D352:D353" si="423">B352-C352</f>
        <v>-1130</v>
      </c>
      <c r="E352" s="10">
        <v>62341</v>
      </c>
      <c r="F352" s="10">
        <v>56204</v>
      </c>
      <c r="G352" s="26">
        <f t="shared" ref="G352:G353" si="424">E352-F352</f>
        <v>6137</v>
      </c>
      <c r="H352" s="10">
        <v>48712</v>
      </c>
      <c r="I352" s="10">
        <v>49883</v>
      </c>
      <c r="J352" s="25">
        <f t="shared" ref="J352:J353" si="425">H352-I352</f>
        <v>-1171</v>
      </c>
      <c r="K352" s="10">
        <v>66014</v>
      </c>
      <c r="L352" s="10">
        <v>58922</v>
      </c>
      <c r="M352" s="26">
        <f t="shared" ref="M352:M353" si="426">K352-L352</f>
        <v>7092</v>
      </c>
      <c r="N352" s="25">
        <f t="shared" ref="N352:N353" si="427">J352-D352</f>
        <v>-41</v>
      </c>
      <c r="O352" s="26">
        <f t="shared" ref="O352:O353" si="428">M352-G352</f>
        <v>955</v>
      </c>
    </row>
    <row r="353" spans="1:15">
      <c r="A353" s="9">
        <v>43131</v>
      </c>
      <c r="B353" s="10">
        <v>49064</v>
      </c>
      <c r="C353" s="10">
        <v>49546</v>
      </c>
      <c r="D353" s="25">
        <f t="shared" si="423"/>
        <v>-482</v>
      </c>
      <c r="E353" s="10">
        <v>65307</v>
      </c>
      <c r="F353" s="10">
        <v>56777</v>
      </c>
      <c r="G353" s="26">
        <f t="shared" si="424"/>
        <v>8530</v>
      </c>
      <c r="H353" s="10">
        <v>50408</v>
      </c>
      <c r="I353" s="10">
        <v>50133</v>
      </c>
      <c r="J353" s="25">
        <f t="shared" si="425"/>
        <v>275</v>
      </c>
      <c r="K353" s="10">
        <v>67137</v>
      </c>
      <c r="L353" s="10">
        <v>58657</v>
      </c>
      <c r="M353" s="26">
        <f t="shared" si="426"/>
        <v>8480</v>
      </c>
      <c r="N353" s="25">
        <f t="shared" si="427"/>
        <v>757</v>
      </c>
      <c r="O353" s="26">
        <f t="shared" si="428"/>
        <v>-50</v>
      </c>
    </row>
    <row r="354" spans="1:15">
      <c r="A354" s="9">
        <v>43132</v>
      </c>
      <c r="B354" s="10">
        <v>47732</v>
      </c>
      <c r="C354" s="10">
        <v>49722</v>
      </c>
      <c r="D354" s="25">
        <f t="shared" ref="D354" si="429">B354-C354</f>
        <v>-1990</v>
      </c>
      <c r="E354" s="10">
        <v>64312</v>
      </c>
      <c r="F354" s="10">
        <v>57437</v>
      </c>
      <c r="G354" s="26">
        <f t="shared" ref="G354" si="430">E354-F354</f>
        <v>6875</v>
      </c>
      <c r="H354" s="10">
        <v>49076</v>
      </c>
      <c r="I354" s="10">
        <v>50720</v>
      </c>
      <c r="J354" s="25">
        <f t="shared" ref="J354" si="431">H354-I354</f>
        <v>-1644</v>
      </c>
      <c r="K354" s="10">
        <v>66076</v>
      </c>
      <c r="L354" s="10">
        <v>59559</v>
      </c>
      <c r="M354" s="26">
        <f t="shared" ref="M354" si="432">K354-L354</f>
        <v>6517</v>
      </c>
      <c r="N354" s="25">
        <f t="shared" ref="N354" si="433">J354-D354</f>
        <v>346</v>
      </c>
      <c r="O354" s="26">
        <f t="shared" ref="O354" si="434">M354-G354</f>
        <v>-358</v>
      </c>
    </row>
    <row r="355" spans="1:15">
      <c r="A355" s="9">
        <v>43133</v>
      </c>
      <c r="B355" s="10">
        <v>46925</v>
      </c>
      <c r="C355" s="10">
        <v>48622</v>
      </c>
      <c r="D355" s="25">
        <f t="shared" ref="D355" si="435">B355-C355</f>
        <v>-1697</v>
      </c>
      <c r="E355" s="10">
        <v>61031</v>
      </c>
      <c r="F355" s="10">
        <v>58401</v>
      </c>
      <c r="G355" s="26">
        <f t="shared" ref="G355" si="436">E355-F355</f>
        <v>2630</v>
      </c>
      <c r="H355" s="10">
        <v>48244</v>
      </c>
      <c r="I355" s="10">
        <v>50034</v>
      </c>
      <c r="J355" s="25">
        <f t="shared" ref="J355" si="437">H355-I355</f>
        <v>-1790</v>
      </c>
      <c r="K355" s="10">
        <v>61031</v>
      </c>
      <c r="L355" s="10">
        <v>58401</v>
      </c>
      <c r="M355" s="26">
        <f t="shared" ref="M355" si="438">K355-L355</f>
        <v>2630</v>
      </c>
      <c r="N355" s="25">
        <f t="shared" ref="N355" si="439">J355-D355</f>
        <v>-93</v>
      </c>
      <c r="O355" s="26">
        <f t="shared" ref="O355" si="440">M355-G355</f>
        <v>0</v>
      </c>
    </row>
    <row r="356" spans="1:15">
      <c r="A356" s="9">
        <v>43134</v>
      </c>
      <c r="B356" s="10"/>
      <c r="C356" s="10"/>
      <c r="D356" s="25"/>
      <c r="E356" s="10"/>
      <c r="F356" s="10"/>
      <c r="G356" s="26"/>
      <c r="H356" s="10"/>
      <c r="I356" s="10"/>
      <c r="J356" s="25"/>
      <c r="K356" s="10"/>
      <c r="L356" s="10"/>
      <c r="M356" s="26"/>
      <c r="N356" s="25"/>
      <c r="O356" s="26"/>
    </row>
    <row r="357" spans="1:15">
      <c r="A357" s="9">
        <v>43135</v>
      </c>
      <c r="B357" s="10"/>
      <c r="C357" s="10"/>
      <c r="D357" s="25"/>
      <c r="E357" s="10"/>
      <c r="F357" s="10"/>
      <c r="G357" s="26"/>
      <c r="H357" s="10"/>
      <c r="I357" s="10"/>
      <c r="J357" s="25"/>
      <c r="K357" s="10"/>
      <c r="L357" s="10"/>
      <c r="M357" s="26"/>
      <c r="N357" s="25"/>
      <c r="O357" s="26"/>
    </row>
    <row r="358" spans="1:15">
      <c r="A358" s="9">
        <v>43136</v>
      </c>
      <c r="B358" s="10">
        <v>46295</v>
      </c>
      <c r="C358" s="10">
        <v>49406</v>
      </c>
      <c r="D358" s="25">
        <f t="shared" ref="D358" si="441">B358-C358</f>
        <v>-3111</v>
      </c>
      <c r="E358" s="10">
        <v>59318</v>
      </c>
      <c r="F358" s="10">
        <v>58903</v>
      </c>
      <c r="G358" s="26">
        <f t="shared" ref="G358" si="442">E358-F358</f>
        <v>415</v>
      </c>
      <c r="H358" s="10">
        <v>47614</v>
      </c>
      <c r="I358" s="10">
        <v>50869</v>
      </c>
      <c r="J358" s="25">
        <f t="shared" ref="J358" si="443">H358-I358</f>
        <v>-3255</v>
      </c>
      <c r="K358" s="10">
        <v>65161</v>
      </c>
      <c r="L358" s="10">
        <v>62876</v>
      </c>
      <c r="M358" s="26">
        <f t="shared" ref="M358" si="444">K358-L358</f>
        <v>2285</v>
      </c>
      <c r="N358" s="25">
        <f t="shared" ref="N358" si="445">J358-D358</f>
        <v>-144</v>
      </c>
      <c r="O358" s="26">
        <f t="shared" ref="O358" si="446">M358-G358</f>
        <v>1870</v>
      </c>
    </row>
    <row r="359" spans="1:15">
      <c r="A359" s="9">
        <v>43137</v>
      </c>
      <c r="B359" s="10">
        <v>45896</v>
      </c>
      <c r="C359" s="10">
        <v>49261</v>
      </c>
      <c r="D359" s="25">
        <f t="shared" ref="D359:D365" si="447">B359-C359</f>
        <v>-3365</v>
      </c>
      <c r="E359" s="10">
        <v>58177</v>
      </c>
      <c r="F359" s="10">
        <v>57371</v>
      </c>
      <c r="G359" s="26">
        <f t="shared" ref="G359:G365" si="448">E359-F359</f>
        <v>806</v>
      </c>
      <c r="H359" s="10">
        <v>49096</v>
      </c>
      <c r="I359" s="10">
        <v>54612</v>
      </c>
      <c r="J359" s="25">
        <f t="shared" ref="J359:J365" si="449">H359-I359</f>
        <v>-5516</v>
      </c>
      <c r="K359" s="10">
        <v>66410</v>
      </c>
      <c r="L359" s="10">
        <v>66376</v>
      </c>
      <c r="M359" s="26">
        <f t="shared" ref="M359:M362" si="450">K359-L359</f>
        <v>34</v>
      </c>
      <c r="N359" s="25">
        <f t="shared" ref="N359:N362" si="451">J359-D359</f>
        <v>-2151</v>
      </c>
      <c r="O359" s="26">
        <f t="shared" ref="O359:O362" si="452">M359-G359</f>
        <v>-772</v>
      </c>
    </row>
    <row r="360" spans="1:15">
      <c r="A360" s="9">
        <v>43138</v>
      </c>
      <c r="B360" s="10">
        <v>48435</v>
      </c>
      <c r="C360" s="10">
        <v>43955</v>
      </c>
      <c r="D360" s="25">
        <f t="shared" si="447"/>
        <v>4480</v>
      </c>
      <c r="E360" s="10">
        <v>60489</v>
      </c>
      <c r="F360" s="10">
        <v>51187</v>
      </c>
      <c r="G360" s="26">
        <f t="shared" si="448"/>
        <v>9302</v>
      </c>
      <c r="H360" s="10">
        <v>51108</v>
      </c>
      <c r="I360" s="10">
        <v>50269</v>
      </c>
      <c r="J360" s="25">
        <f t="shared" si="449"/>
        <v>839</v>
      </c>
      <c r="K360" s="10">
        <v>68429</v>
      </c>
      <c r="L360" s="10">
        <v>60464</v>
      </c>
      <c r="M360" s="26">
        <f t="shared" si="450"/>
        <v>7965</v>
      </c>
      <c r="N360" s="25">
        <f t="shared" si="451"/>
        <v>-3641</v>
      </c>
      <c r="O360" s="26">
        <f t="shared" si="452"/>
        <v>-1337</v>
      </c>
    </row>
    <row r="361" spans="1:15">
      <c r="A361" s="9">
        <v>43139</v>
      </c>
      <c r="B361" s="10">
        <v>41328</v>
      </c>
      <c r="C361" s="10">
        <v>38156</v>
      </c>
      <c r="D361" s="25">
        <f t="shared" si="447"/>
        <v>3172</v>
      </c>
      <c r="E361" s="10">
        <v>53669</v>
      </c>
      <c r="F361" s="10">
        <v>45327</v>
      </c>
      <c r="G361" s="26">
        <f t="shared" si="448"/>
        <v>8342</v>
      </c>
      <c r="H361" s="10">
        <v>49188</v>
      </c>
      <c r="I361" s="10">
        <v>51060</v>
      </c>
      <c r="J361" s="25">
        <f t="shared" si="449"/>
        <v>-1872</v>
      </c>
      <c r="K361" s="10">
        <v>68456</v>
      </c>
      <c r="L361" s="10">
        <v>62139</v>
      </c>
      <c r="M361" s="26">
        <f t="shared" si="450"/>
        <v>6317</v>
      </c>
      <c r="N361" s="25">
        <f t="shared" si="451"/>
        <v>-5044</v>
      </c>
      <c r="O361" s="26">
        <f t="shared" si="452"/>
        <v>-2025</v>
      </c>
    </row>
    <row r="362" spans="1:15">
      <c r="A362" s="9">
        <v>43140</v>
      </c>
      <c r="B362" s="10">
        <v>30871</v>
      </c>
      <c r="C362" s="10">
        <v>25849</v>
      </c>
      <c r="D362" s="25">
        <f t="shared" si="447"/>
        <v>5022</v>
      </c>
      <c r="E362" s="10">
        <v>37886</v>
      </c>
      <c r="F362" s="10">
        <v>32979</v>
      </c>
      <c r="G362" s="26">
        <f t="shared" si="448"/>
        <v>4907</v>
      </c>
      <c r="H362" s="10">
        <v>46718</v>
      </c>
      <c r="I362" s="10">
        <v>54550</v>
      </c>
      <c r="J362" s="25">
        <f t="shared" si="449"/>
        <v>-7832</v>
      </c>
      <c r="K362" s="10">
        <v>68280</v>
      </c>
      <c r="L362" s="10">
        <v>64988</v>
      </c>
      <c r="M362" s="26">
        <f t="shared" si="450"/>
        <v>3292</v>
      </c>
      <c r="N362" s="25">
        <f t="shared" si="451"/>
        <v>-12854</v>
      </c>
      <c r="O362" s="26">
        <f t="shared" si="452"/>
        <v>-1615</v>
      </c>
    </row>
    <row r="363" spans="1:15">
      <c r="A363" s="9">
        <v>43141</v>
      </c>
      <c r="B363" s="10"/>
      <c r="C363" s="10"/>
      <c r="D363" s="25"/>
      <c r="E363" s="10"/>
      <c r="F363" s="10"/>
      <c r="G363" s="26"/>
      <c r="H363" s="10"/>
      <c r="I363" s="10"/>
      <c r="J363" s="25"/>
      <c r="K363" s="10"/>
      <c r="L363" s="10"/>
      <c r="M363" s="26"/>
      <c r="N363" s="25"/>
      <c r="O363" s="26"/>
    </row>
    <row r="364" spans="1:15">
      <c r="A364" s="9">
        <v>43142</v>
      </c>
      <c r="B364" s="10"/>
      <c r="C364" s="10"/>
      <c r="D364" s="25"/>
      <c r="E364" s="10"/>
      <c r="F364" s="10"/>
      <c r="G364" s="26"/>
      <c r="H364" s="10"/>
      <c r="I364" s="10"/>
      <c r="J364" s="25"/>
      <c r="K364" s="10"/>
      <c r="L364" s="10"/>
      <c r="M364" s="26"/>
      <c r="N364" s="25"/>
      <c r="O364" s="26"/>
    </row>
    <row r="365" spans="1:15">
      <c r="A365" s="9">
        <v>43143</v>
      </c>
      <c r="B365" s="10">
        <v>16619</v>
      </c>
      <c r="C365" s="10">
        <v>12487</v>
      </c>
      <c r="D365" s="25">
        <f t="shared" si="447"/>
        <v>4132</v>
      </c>
      <c r="E365" s="10">
        <v>21350</v>
      </c>
      <c r="F365" s="10">
        <v>18785</v>
      </c>
      <c r="G365" s="26">
        <f t="shared" si="448"/>
        <v>2565</v>
      </c>
      <c r="H365" s="10">
        <v>48704</v>
      </c>
      <c r="I365" s="10">
        <v>52072</v>
      </c>
      <c r="J365" s="25">
        <f t="shared" si="449"/>
        <v>-3368</v>
      </c>
      <c r="K365" s="10">
        <v>69647</v>
      </c>
      <c r="L365" s="10">
        <v>63393</v>
      </c>
      <c r="M365" s="26">
        <f t="shared" ref="M365" si="453">K365-L365</f>
        <v>6254</v>
      </c>
      <c r="N365" s="25">
        <f t="shared" ref="N365" si="454">J365-D365</f>
        <v>-7500</v>
      </c>
      <c r="O365" s="26">
        <f t="shared" ref="O365" si="455">M365-G365</f>
        <v>3689</v>
      </c>
    </row>
    <row r="366" spans="1:15">
      <c r="A366" s="9">
        <v>43144</v>
      </c>
      <c r="B366" s="10"/>
      <c r="C366" s="10"/>
      <c r="D366" s="25"/>
      <c r="E366" s="10"/>
      <c r="F366" s="10"/>
      <c r="G366" s="26"/>
      <c r="H366" s="10"/>
      <c r="I366" s="10"/>
      <c r="J366" s="25"/>
      <c r="K366" s="10"/>
      <c r="L366" s="10"/>
      <c r="M366" s="26"/>
      <c r="N366" s="25"/>
      <c r="O366" s="26"/>
    </row>
    <row r="367" spans="1:15">
      <c r="A367" s="9">
        <v>43145</v>
      </c>
      <c r="B367" s="10"/>
      <c r="C367" s="10"/>
      <c r="D367" s="25"/>
      <c r="E367" s="10"/>
      <c r="F367" s="10"/>
      <c r="G367" s="26"/>
      <c r="H367" s="10"/>
      <c r="I367" s="10"/>
      <c r="J367" s="25"/>
      <c r="K367" s="10"/>
      <c r="L367" s="10"/>
      <c r="M367" s="26"/>
      <c r="N367" s="25"/>
      <c r="O367" s="26"/>
    </row>
    <row r="368" spans="1:15">
      <c r="A368" s="9">
        <v>43146</v>
      </c>
      <c r="B368" s="10"/>
      <c r="C368" s="10"/>
      <c r="D368" s="25"/>
      <c r="E368" s="10"/>
      <c r="F368" s="10"/>
      <c r="G368" s="26"/>
      <c r="H368" s="10"/>
      <c r="I368" s="10"/>
      <c r="J368" s="25"/>
      <c r="K368" s="10"/>
      <c r="L368" s="10"/>
      <c r="M368" s="26"/>
      <c r="N368" s="25"/>
      <c r="O368" s="26"/>
    </row>
    <row r="369" spans="1:15">
      <c r="A369" s="9">
        <v>43147</v>
      </c>
      <c r="B369" s="10"/>
      <c r="C369" s="10"/>
      <c r="D369" s="25"/>
      <c r="E369" s="10"/>
      <c r="F369" s="10"/>
      <c r="G369" s="26"/>
      <c r="H369" s="10"/>
      <c r="I369" s="10"/>
      <c r="J369" s="25"/>
      <c r="K369" s="10"/>
      <c r="L369" s="10"/>
      <c r="M369" s="26"/>
      <c r="N369" s="25"/>
      <c r="O369" s="26"/>
    </row>
    <row r="370" spans="1:15">
      <c r="A370" s="9">
        <v>43148</v>
      </c>
      <c r="B370" s="10"/>
      <c r="C370" s="10"/>
      <c r="D370" s="25"/>
      <c r="E370" s="10"/>
      <c r="F370" s="10"/>
      <c r="G370" s="26"/>
      <c r="H370" s="10"/>
      <c r="I370" s="10"/>
      <c r="J370" s="25"/>
      <c r="K370" s="10"/>
      <c r="L370" s="10"/>
      <c r="M370" s="26"/>
      <c r="N370" s="25"/>
      <c r="O370" s="26"/>
    </row>
    <row r="371" spans="1:15">
      <c r="A371" s="9">
        <v>43149</v>
      </c>
      <c r="B371" s="10"/>
      <c r="C371" s="10"/>
      <c r="D371" s="25"/>
      <c r="E371" s="10"/>
      <c r="F371" s="10"/>
      <c r="G371" s="26"/>
      <c r="H371" s="10"/>
      <c r="I371" s="10"/>
      <c r="J371" s="25"/>
      <c r="K371" s="10"/>
      <c r="L371" s="10"/>
      <c r="M371" s="26"/>
      <c r="N371" s="25"/>
      <c r="O371" s="26"/>
    </row>
    <row r="372" spans="1:15">
      <c r="A372" s="9">
        <v>43150</v>
      </c>
      <c r="B372" s="10"/>
      <c r="C372" s="10"/>
      <c r="D372" s="25"/>
      <c r="E372" s="10"/>
      <c r="F372" s="10"/>
      <c r="G372" s="26"/>
      <c r="H372" s="10"/>
      <c r="I372" s="10"/>
      <c r="J372" s="25"/>
      <c r="K372" s="10"/>
      <c r="L372" s="10"/>
      <c r="M372" s="26"/>
      <c r="N372" s="25"/>
      <c r="O372" s="26"/>
    </row>
    <row r="373" spans="1:15">
      <c r="A373" s="9">
        <v>43151</v>
      </c>
      <c r="B373" s="10"/>
      <c r="C373" s="10"/>
      <c r="D373" s="25"/>
      <c r="E373" s="10"/>
      <c r="F373" s="10"/>
      <c r="G373" s="26"/>
      <c r="H373" s="10"/>
      <c r="I373" s="10"/>
      <c r="J373" s="25"/>
      <c r="K373" s="10"/>
      <c r="L373" s="10"/>
      <c r="M373" s="26"/>
      <c r="N373" s="25"/>
      <c r="O373" s="26"/>
    </row>
    <row r="374" spans="1:15">
      <c r="A374" s="9">
        <v>43152</v>
      </c>
      <c r="B374" s="10">
        <v>46177</v>
      </c>
      <c r="C374" s="10">
        <v>45199</v>
      </c>
      <c r="D374" s="25">
        <f t="shared" ref="D374" si="456">B374-C374</f>
        <v>978</v>
      </c>
      <c r="E374" s="10">
        <v>62081</v>
      </c>
      <c r="F374" s="10">
        <v>51639</v>
      </c>
      <c r="G374" s="26">
        <f t="shared" ref="G374" si="457">E374-F374</f>
        <v>10442</v>
      </c>
      <c r="H374" s="10">
        <v>46308</v>
      </c>
      <c r="I374" s="10">
        <v>46804</v>
      </c>
      <c r="J374" s="25">
        <f t="shared" ref="J374" si="458">H374-I374</f>
        <v>-496</v>
      </c>
      <c r="K374" s="10">
        <v>63184</v>
      </c>
      <c r="L374" s="10">
        <v>56030</v>
      </c>
      <c r="M374" s="26">
        <f t="shared" ref="M374" si="459">K374-L374</f>
        <v>7154</v>
      </c>
      <c r="N374" s="25">
        <f t="shared" ref="N374" si="460">J374-D374</f>
        <v>-1474</v>
      </c>
      <c r="O374" s="26">
        <f t="shared" ref="O374" si="461">M374-G374</f>
        <v>-3288</v>
      </c>
    </row>
    <row r="375" spans="1:15">
      <c r="A375" s="9">
        <v>43153</v>
      </c>
      <c r="B375" s="10">
        <v>45928</v>
      </c>
      <c r="C375" s="10">
        <v>45819</v>
      </c>
      <c r="D375" s="25">
        <f t="shared" ref="D375:D376" si="462">B375-C375</f>
        <v>109</v>
      </c>
      <c r="E375" s="10">
        <v>59573</v>
      </c>
      <c r="F375" s="10">
        <v>52207</v>
      </c>
      <c r="G375" s="26">
        <f t="shared" ref="G375:G376" si="463">E375-F375</f>
        <v>7366</v>
      </c>
      <c r="H375" s="10">
        <v>46059</v>
      </c>
      <c r="I375" s="10">
        <v>46628</v>
      </c>
      <c r="J375" s="25">
        <f t="shared" ref="J375:J376" si="464">H375-I375</f>
        <v>-569</v>
      </c>
      <c r="K375" s="10">
        <v>61401</v>
      </c>
      <c r="L375" s="10">
        <v>56258</v>
      </c>
      <c r="M375" s="26">
        <f t="shared" ref="M375:M376" si="465">K375-L375</f>
        <v>5143</v>
      </c>
      <c r="N375" s="25">
        <f t="shared" ref="N375:N376" si="466">J375-D375</f>
        <v>-678</v>
      </c>
      <c r="O375" s="26">
        <f t="shared" ref="O375:O376" si="467">M375-G375</f>
        <v>-2223</v>
      </c>
    </row>
    <row r="376" spans="1:15">
      <c r="A376" s="9">
        <v>43154</v>
      </c>
      <c r="B376" s="10">
        <v>47696</v>
      </c>
      <c r="C376" s="10">
        <v>44207</v>
      </c>
      <c r="D376" s="25">
        <f t="shared" si="462"/>
        <v>3489</v>
      </c>
      <c r="E376" s="10">
        <v>60335</v>
      </c>
      <c r="F376" s="10">
        <v>51575</v>
      </c>
      <c r="G376" s="26">
        <f t="shared" si="463"/>
        <v>8760</v>
      </c>
      <c r="H376" s="10">
        <v>47827</v>
      </c>
      <c r="I376" s="10">
        <v>46247</v>
      </c>
      <c r="J376" s="25">
        <f t="shared" si="464"/>
        <v>1580</v>
      </c>
      <c r="K376" s="10">
        <v>63063</v>
      </c>
      <c r="L376" s="10">
        <v>55660</v>
      </c>
      <c r="M376" s="26">
        <f t="shared" si="465"/>
        <v>7403</v>
      </c>
      <c r="N376" s="25">
        <f t="shared" si="466"/>
        <v>-1909</v>
      </c>
      <c r="O376" s="26">
        <f t="shared" si="467"/>
        <v>-1357</v>
      </c>
    </row>
    <row r="377" spans="1:15">
      <c r="A377" s="9">
        <v>43155</v>
      </c>
      <c r="B377" s="10"/>
      <c r="C377" s="10"/>
      <c r="D377" s="25"/>
      <c r="E377" s="10"/>
      <c r="F377" s="10"/>
      <c r="G377" s="26"/>
      <c r="H377" s="10"/>
      <c r="I377" s="10"/>
      <c r="J377" s="25"/>
      <c r="K377" s="10"/>
      <c r="L377" s="10"/>
      <c r="M377" s="26"/>
      <c r="N377" s="25"/>
      <c r="O377" s="26"/>
    </row>
    <row r="378" spans="1:15">
      <c r="A378" s="9">
        <v>43156</v>
      </c>
      <c r="B378" s="10"/>
      <c r="C378" s="10"/>
      <c r="D378" s="25"/>
      <c r="E378" s="10"/>
      <c r="F378" s="10"/>
      <c r="G378" s="26"/>
      <c r="H378" s="10"/>
      <c r="I378" s="10"/>
      <c r="J378" s="25"/>
      <c r="K378" s="10"/>
      <c r="L378" s="10"/>
      <c r="M378" s="26"/>
      <c r="N378" s="25"/>
      <c r="O378" s="26"/>
    </row>
    <row r="379" spans="1:15">
      <c r="A379" s="9">
        <v>43157</v>
      </c>
      <c r="B379" s="10">
        <v>46270</v>
      </c>
      <c r="C379" s="10">
        <v>45400</v>
      </c>
      <c r="D379" s="25">
        <f t="shared" ref="D379" si="468">B379-C379</f>
        <v>870</v>
      </c>
      <c r="E379" s="10">
        <v>58778</v>
      </c>
      <c r="F379" s="10">
        <v>52120</v>
      </c>
      <c r="G379" s="26">
        <f t="shared" ref="G379" si="469">E379-F379</f>
        <v>6658</v>
      </c>
      <c r="H379" s="10">
        <v>46472</v>
      </c>
      <c r="I379" s="10">
        <v>47214</v>
      </c>
      <c r="J379" s="25">
        <f t="shared" ref="J379" si="470">H379-I379</f>
        <v>-742</v>
      </c>
      <c r="K379" s="10">
        <v>61773</v>
      </c>
      <c r="L379" s="10">
        <v>56304</v>
      </c>
      <c r="M379" s="26">
        <f t="shared" ref="M379" si="471">K379-L379</f>
        <v>5469</v>
      </c>
      <c r="N379" s="25">
        <f t="shared" ref="N379" si="472">J379-D379</f>
        <v>-1612</v>
      </c>
      <c r="O379" s="26">
        <f t="shared" ref="O379" si="473">M379-G379</f>
        <v>-1189</v>
      </c>
    </row>
    <row r="380" spans="1:15">
      <c r="A380" s="9">
        <v>43158</v>
      </c>
      <c r="B380" s="10">
        <v>44478</v>
      </c>
      <c r="C380" s="10">
        <v>44343</v>
      </c>
      <c r="D380" s="25">
        <f t="shared" ref="D380" si="474">B380-C380</f>
        <v>135</v>
      </c>
      <c r="E380" s="10">
        <v>57732</v>
      </c>
      <c r="F380" s="10">
        <v>50657</v>
      </c>
      <c r="G380" s="26">
        <f t="shared" ref="G380" si="475">E380-F380</f>
        <v>7075</v>
      </c>
      <c r="H380" s="10">
        <v>45427</v>
      </c>
      <c r="I380" s="10">
        <v>47174</v>
      </c>
      <c r="J380" s="25">
        <f t="shared" ref="J380" si="476">H380-I380</f>
        <v>-1747</v>
      </c>
      <c r="K380" s="10">
        <v>61859</v>
      </c>
      <c r="L380" s="10">
        <v>55366</v>
      </c>
      <c r="M380" s="26">
        <f t="shared" ref="M380" si="477">K380-L380</f>
        <v>6493</v>
      </c>
      <c r="N380" s="25">
        <f t="shared" ref="N380" si="478">J380-D380</f>
        <v>-1882</v>
      </c>
      <c r="O380" s="26">
        <f t="shared" ref="O380" si="479">M380-G380</f>
        <v>-582</v>
      </c>
    </row>
    <row r="381" spans="1:15">
      <c r="A381" s="9">
        <v>43159</v>
      </c>
      <c r="B381" s="10"/>
      <c r="C381" s="10"/>
      <c r="D381" s="25"/>
      <c r="E381" s="10"/>
      <c r="F381" s="10"/>
      <c r="G381" s="26"/>
      <c r="H381" s="10"/>
      <c r="I381" s="10"/>
      <c r="J381" s="25"/>
      <c r="K381" s="10"/>
      <c r="L381" s="10"/>
      <c r="M381" s="26"/>
      <c r="N381" s="25"/>
      <c r="O381" s="26"/>
    </row>
    <row r="382" spans="1:15">
      <c r="A382" s="9">
        <v>43160</v>
      </c>
      <c r="B382" s="10">
        <v>44446</v>
      </c>
      <c r="C382" s="10">
        <v>44143</v>
      </c>
      <c r="D382" s="25">
        <f t="shared" ref="D382" si="480">B382-C382</f>
        <v>303</v>
      </c>
      <c r="E382" s="10">
        <v>57459</v>
      </c>
      <c r="F382" s="10">
        <v>50059</v>
      </c>
      <c r="G382" s="26">
        <f t="shared" ref="G382" si="481">E382-F382</f>
        <v>7400</v>
      </c>
      <c r="H382" s="10">
        <v>45402</v>
      </c>
      <c r="I382" s="10">
        <v>46321</v>
      </c>
      <c r="J382" s="25">
        <f t="shared" ref="J382" si="482">H382-I382</f>
        <v>-919</v>
      </c>
      <c r="K382" s="10">
        <v>61578</v>
      </c>
      <c r="L382" s="10">
        <v>54650</v>
      </c>
      <c r="M382" s="26">
        <f t="shared" ref="M382" si="483">K382-L382</f>
        <v>6928</v>
      </c>
      <c r="N382" s="25">
        <f t="shared" ref="N382" si="484">J382-D382</f>
        <v>-1222</v>
      </c>
      <c r="O382" s="26">
        <f t="shared" ref="O382" si="485">M382-G382</f>
        <v>-472</v>
      </c>
    </row>
    <row r="383" spans="1:15">
      <c r="A383" s="9">
        <v>43161</v>
      </c>
      <c r="B383" s="10">
        <v>44785</v>
      </c>
      <c r="C383" s="10">
        <v>44800</v>
      </c>
      <c r="D383" s="25">
        <f t="shared" ref="D383" si="486">B383-C383</f>
        <v>-15</v>
      </c>
      <c r="E383" s="10">
        <v>59568</v>
      </c>
      <c r="F383" s="10">
        <v>50864</v>
      </c>
      <c r="G383" s="26">
        <f t="shared" ref="G383" si="487">E383-F383</f>
        <v>8704</v>
      </c>
      <c r="H383" s="10">
        <v>45261</v>
      </c>
      <c r="I383" s="10">
        <v>47176</v>
      </c>
      <c r="J383" s="25">
        <f t="shared" ref="J383" si="488">H383-I383</f>
        <v>-1915</v>
      </c>
      <c r="K383" s="10">
        <v>63569</v>
      </c>
      <c r="L383" s="10">
        <v>55487</v>
      </c>
      <c r="M383" s="26">
        <f t="shared" ref="M383" si="489">K383-L383</f>
        <v>8082</v>
      </c>
      <c r="N383" s="25">
        <f t="shared" ref="N383" si="490">J383-D383</f>
        <v>-1900</v>
      </c>
      <c r="O383" s="26">
        <f t="shared" ref="O383" si="491">M383-G383</f>
        <v>-622</v>
      </c>
    </row>
    <row r="384" spans="1:15">
      <c r="A384" s="9">
        <v>43162</v>
      </c>
      <c r="B384" s="10"/>
      <c r="C384" s="10"/>
      <c r="D384" s="25"/>
      <c r="E384" s="10"/>
      <c r="F384" s="10"/>
      <c r="G384" s="26"/>
      <c r="H384" s="10"/>
      <c r="I384" s="10"/>
      <c r="J384" s="25"/>
      <c r="K384" s="10"/>
      <c r="L384" s="10"/>
      <c r="M384" s="26"/>
      <c r="N384" s="25"/>
      <c r="O384" s="26"/>
    </row>
    <row r="385" spans="1:15">
      <c r="A385" s="9">
        <v>43163</v>
      </c>
      <c r="B385" s="10"/>
      <c r="C385" s="10"/>
      <c r="D385" s="25"/>
      <c r="E385" s="10"/>
      <c r="F385" s="10"/>
      <c r="G385" s="26"/>
      <c r="H385" s="10"/>
      <c r="I385" s="10"/>
      <c r="J385" s="25"/>
      <c r="K385" s="10"/>
      <c r="L385" s="10"/>
      <c r="M385" s="26"/>
      <c r="N385" s="25"/>
      <c r="O385" s="26"/>
    </row>
    <row r="386" spans="1:15">
      <c r="A386" s="9">
        <v>43164</v>
      </c>
      <c r="B386" s="10">
        <v>45510</v>
      </c>
      <c r="C386" s="10">
        <v>47040</v>
      </c>
      <c r="D386" s="25">
        <f t="shared" ref="D386" si="492">B386-C386</f>
        <v>-1530</v>
      </c>
      <c r="E386" s="10">
        <v>59690</v>
      </c>
      <c r="F386" s="10">
        <v>52963</v>
      </c>
      <c r="G386" s="26">
        <f t="shared" ref="G386" si="493">E386-F386</f>
        <v>6727</v>
      </c>
      <c r="H386" s="10">
        <v>45986</v>
      </c>
      <c r="I386" s="10">
        <v>49772</v>
      </c>
      <c r="J386" s="25">
        <f t="shared" ref="J386" si="494">H386-I386</f>
        <v>-3786</v>
      </c>
      <c r="K386" s="10">
        <v>63417</v>
      </c>
      <c r="L386" s="10">
        <v>57480</v>
      </c>
      <c r="M386" s="26">
        <f t="shared" ref="M386" si="495">K386-L386</f>
        <v>5937</v>
      </c>
      <c r="N386" s="25">
        <f t="shared" ref="N386" si="496">J386-D386</f>
        <v>-2256</v>
      </c>
      <c r="O386" s="26">
        <f t="shared" ref="O386" si="497">M386-G386</f>
        <v>-790</v>
      </c>
    </row>
    <row r="387" spans="1:15">
      <c r="A387" s="9">
        <v>43165</v>
      </c>
      <c r="B387" s="10">
        <v>47131</v>
      </c>
      <c r="C387" s="10">
        <v>45643</v>
      </c>
      <c r="D387" s="25">
        <f t="shared" ref="D387" si="498">B387-C387</f>
        <v>1488</v>
      </c>
      <c r="E387" s="10">
        <v>61423</v>
      </c>
      <c r="F387" s="10">
        <v>52765</v>
      </c>
      <c r="G387" s="26">
        <f t="shared" ref="G387" si="499">E387-F387</f>
        <v>8658</v>
      </c>
      <c r="H387" s="10">
        <v>47600</v>
      </c>
      <c r="I387" s="10">
        <v>48320</v>
      </c>
      <c r="J387" s="25">
        <f t="shared" ref="J387" si="500">H387-I387</f>
        <v>-720</v>
      </c>
      <c r="K387" s="10">
        <v>66216</v>
      </c>
      <c r="L387" s="10">
        <v>58394</v>
      </c>
      <c r="M387" s="26">
        <f t="shared" ref="M387" si="501">K387-L387</f>
        <v>7822</v>
      </c>
      <c r="N387" s="25">
        <f t="shared" ref="N387" si="502">J387-D387</f>
        <v>-2208</v>
      </c>
      <c r="O387" s="26">
        <f t="shared" ref="O387" si="503">M387-G387</f>
        <v>-836</v>
      </c>
    </row>
    <row r="388" spans="1:15">
      <c r="A388" s="9">
        <v>43166</v>
      </c>
      <c r="B388" s="10">
        <v>46548</v>
      </c>
      <c r="C388" s="10">
        <v>46595</v>
      </c>
      <c r="D388" s="25">
        <f t="shared" ref="D388" si="504">B388-C388</f>
        <v>-47</v>
      </c>
      <c r="E388" s="10">
        <v>61182</v>
      </c>
      <c r="F388" s="10">
        <v>53588</v>
      </c>
      <c r="G388" s="26">
        <f t="shared" ref="G388" si="505">E388-F388</f>
        <v>7594</v>
      </c>
      <c r="H388" s="10">
        <v>47017</v>
      </c>
      <c r="I388" s="10">
        <v>49077</v>
      </c>
      <c r="J388" s="25">
        <f t="shared" ref="J388" si="506">H388-I388</f>
        <v>-2060</v>
      </c>
      <c r="K388" s="10">
        <v>65318</v>
      </c>
      <c r="L388" s="10">
        <v>58691</v>
      </c>
      <c r="M388" s="26">
        <f t="shared" ref="M388" si="507">K388-L388</f>
        <v>6627</v>
      </c>
      <c r="N388" s="25">
        <f t="shared" ref="N388" si="508">J388-D388</f>
        <v>-2013</v>
      </c>
      <c r="O388" s="26">
        <f t="shared" ref="O388" si="509">M388-G388</f>
        <v>-967</v>
      </c>
    </row>
    <row r="389" spans="1:15">
      <c r="A389" s="9">
        <v>43167</v>
      </c>
      <c r="B389" s="10">
        <v>48327</v>
      </c>
      <c r="C389" s="10">
        <v>44655</v>
      </c>
      <c r="D389" s="25">
        <f t="shared" ref="D389" si="510">B389-C389</f>
        <v>3672</v>
      </c>
      <c r="E389" s="10">
        <v>62704</v>
      </c>
      <c r="F389" s="10">
        <v>51621</v>
      </c>
      <c r="G389" s="26">
        <f t="shared" ref="G389" si="511">E389-F389</f>
        <v>11083</v>
      </c>
      <c r="H389" s="10">
        <v>49588</v>
      </c>
      <c r="I389" s="10">
        <v>47737</v>
      </c>
      <c r="J389" s="25">
        <f t="shared" ref="J389" si="512">H389-I389</f>
        <v>1851</v>
      </c>
      <c r="K389" s="10">
        <v>67385</v>
      </c>
      <c r="L389" s="10">
        <v>57589</v>
      </c>
      <c r="M389" s="26">
        <f t="shared" ref="M389" si="513">K389-L389</f>
        <v>9796</v>
      </c>
      <c r="N389" s="25">
        <f t="shared" ref="N389" si="514">J389-D389</f>
        <v>-1821</v>
      </c>
      <c r="O389" s="26">
        <f t="shared" ref="O389" si="515">M389-G389</f>
        <v>-1287</v>
      </c>
    </row>
    <row r="390" spans="1:15">
      <c r="A390" s="9">
        <v>43168</v>
      </c>
      <c r="B390" s="10">
        <v>47898</v>
      </c>
      <c r="C390" s="10">
        <v>44034</v>
      </c>
      <c r="D390" s="25">
        <f t="shared" ref="D390" si="516">B390-C390</f>
        <v>3864</v>
      </c>
      <c r="E390" s="10">
        <v>60948</v>
      </c>
      <c r="F390" s="10">
        <v>51130</v>
      </c>
      <c r="G390" s="26">
        <f t="shared" ref="G390" si="517">E390-F390</f>
        <v>9818</v>
      </c>
      <c r="H390" s="10">
        <v>49470</v>
      </c>
      <c r="I390" s="10">
        <v>47722</v>
      </c>
      <c r="J390" s="25">
        <f t="shared" ref="J390" si="518">H390-I390</f>
        <v>1748</v>
      </c>
      <c r="K390" s="10">
        <v>66928</v>
      </c>
      <c r="L390" s="10">
        <v>57419</v>
      </c>
      <c r="M390" s="26">
        <f t="shared" ref="M390" si="519">K390-L390</f>
        <v>9509</v>
      </c>
      <c r="N390" s="25">
        <f t="shared" ref="N390" si="520">J390-D390</f>
        <v>-2116</v>
      </c>
      <c r="O390" s="26">
        <f t="shared" ref="O390" si="521">M390-G390</f>
        <v>-309</v>
      </c>
    </row>
    <row r="391" spans="1:15">
      <c r="A391" s="9">
        <v>43169</v>
      </c>
      <c r="B391" s="10"/>
      <c r="C391" s="10"/>
      <c r="D391" s="25"/>
      <c r="E391" s="10"/>
      <c r="F391" s="10"/>
      <c r="G391" s="26"/>
      <c r="H391" s="10"/>
      <c r="I391" s="10"/>
      <c r="J391" s="25"/>
      <c r="K391" s="10"/>
      <c r="L391" s="10"/>
      <c r="M391" s="26"/>
      <c r="N391" s="25"/>
      <c r="O391" s="26"/>
    </row>
    <row r="392" spans="1:15">
      <c r="A392" s="9">
        <v>43170</v>
      </c>
      <c r="B392" s="10"/>
      <c r="C392" s="10"/>
      <c r="D392" s="25"/>
      <c r="E392" s="10"/>
      <c r="F392" s="10"/>
      <c r="G392" s="26"/>
      <c r="H392" s="10"/>
      <c r="I392" s="10"/>
      <c r="J392" s="25"/>
      <c r="K392" s="10"/>
      <c r="L392" s="10"/>
      <c r="M392" s="26"/>
      <c r="N392" s="25"/>
      <c r="O392" s="26"/>
    </row>
    <row r="393" spans="1:15">
      <c r="A393" s="9">
        <v>43171</v>
      </c>
      <c r="B393" s="10">
        <v>48313</v>
      </c>
      <c r="C393" s="10">
        <v>42989</v>
      </c>
      <c r="D393" s="25">
        <f t="shared" ref="D393" si="522">B393-C393</f>
        <v>5324</v>
      </c>
      <c r="E393" s="10">
        <v>62117</v>
      </c>
      <c r="F393" s="10">
        <v>51047</v>
      </c>
      <c r="G393" s="26">
        <f t="shared" ref="G393" si="523">E393-F393</f>
        <v>11070</v>
      </c>
      <c r="H393" s="10">
        <v>50526</v>
      </c>
      <c r="I393" s="10">
        <v>47308</v>
      </c>
      <c r="J393" s="25">
        <f t="shared" ref="J393" si="524">H393-I393</f>
        <v>3218</v>
      </c>
      <c r="K393" s="10">
        <v>68392</v>
      </c>
      <c r="L393" s="10">
        <v>57807</v>
      </c>
      <c r="M393" s="26">
        <f t="shared" ref="M393" si="525">K393-L393</f>
        <v>10585</v>
      </c>
      <c r="N393" s="25">
        <f t="shared" ref="N393" si="526">J393-D393</f>
        <v>-2106</v>
      </c>
      <c r="O393" s="26">
        <f t="shared" ref="O393" si="527">M393-G393</f>
        <v>-485</v>
      </c>
    </row>
    <row r="394" spans="1:15">
      <c r="A394" s="9">
        <v>43172</v>
      </c>
      <c r="B394" s="10">
        <v>47518</v>
      </c>
      <c r="C394" s="10">
        <v>42373</v>
      </c>
      <c r="D394" s="25">
        <f t="shared" ref="D394" si="528">B394-C394</f>
        <v>5145</v>
      </c>
      <c r="E394" s="10">
        <v>61732</v>
      </c>
      <c r="F394" s="10">
        <v>49668</v>
      </c>
      <c r="G394" s="26">
        <f t="shared" ref="G394" si="529">E394-F394</f>
        <v>12064</v>
      </c>
      <c r="H394" s="10">
        <v>49774</v>
      </c>
      <c r="I394" s="10">
        <v>46983</v>
      </c>
      <c r="J394" s="25">
        <f t="shared" ref="J394" si="530">H394-I394</f>
        <v>2791</v>
      </c>
      <c r="K394" s="10">
        <v>69253</v>
      </c>
      <c r="L394" s="10">
        <v>56533</v>
      </c>
      <c r="M394" s="26">
        <f t="shared" ref="M394" si="531">K394-L394</f>
        <v>12720</v>
      </c>
      <c r="N394" s="25">
        <f t="shared" ref="N394" si="532">J394-D394</f>
        <v>-2354</v>
      </c>
      <c r="O394" s="26">
        <f t="shared" ref="O394" si="533">M394-G394</f>
        <v>656</v>
      </c>
    </row>
    <row r="395" spans="1:15">
      <c r="A395" s="9">
        <v>43173</v>
      </c>
      <c r="B395" s="10">
        <v>48232</v>
      </c>
      <c r="C395" s="10">
        <v>40612</v>
      </c>
      <c r="D395" s="25">
        <f t="shared" ref="D395" si="534">B395-C395</f>
        <v>7620</v>
      </c>
      <c r="E395" s="10">
        <v>61796</v>
      </c>
      <c r="F395" s="10">
        <v>46863</v>
      </c>
      <c r="G395" s="26">
        <f t="shared" ref="G395" si="535">E395-F395</f>
        <v>14933</v>
      </c>
      <c r="H395" s="10">
        <v>50688</v>
      </c>
      <c r="I395" s="10">
        <v>45135</v>
      </c>
      <c r="J395" s="25">
        <f t="shared" ref="J395" si="536">H395-I395</f>
        <v>5553</v>
      </c>
      <c r="K395" s="10">
        <v>69998</v>
      </c>
      <c r="L395" s="10">
        <v>53579</v>
      </c>
      <c r="M395" s="26">
        <f t="shared" ref="M395" si="537">K395-L395</f>
        <v>16419</v>
      </c>
      <c r="N395" s="25">
        <f t="shared" ref="N395" si="538">J395-D395</f>
        <v>-2067</v>
      </c>
      <c r="O395" s="26">
        <f t="shared" ref="O395" si="539">M395-G395</f>
        <v>1486</v>
      </c>
    </row>
    <row r="396" spans="1:15">
      <c r="A396" s="9">
        <v>43174</v>
      </c>
      <c r="B396" s="10">
        <v>47352</v>
      </c>
      <c r="C396" s="10">
        <v>39497</v>
      </c>
      <c r="D396" s="25">
        <f t="shared" ref="D396" si="540">B396-C396</f>
        <v>7855</v>
      </c>
      <c r="E396" s="10">
        <v>63474</v>
      </c>
      <c r="F396" s="10">
        <v>48021</v>
      </c>
      <c r="G396" s="26">
        <f t="shared" ref="G396" si="541">E396-F396</f>
        <v>15453</v>
      </c>
      <c r="H396" s="10">
        <v>50941</v>
      </c>
      <c r="I396" s="10">
        <v>46859</v>
      </c>
      <c r="J396" s="25">
        <f t="shared" ref="J396" si="542">H396-I396</f>
        <v>4082</v>
      </c>
      <c r="K396" s="10">
        <v>73805</v>
      </c>
      <c r="L396" s="10">
        <v>57838</v>
      </c>
      <c r="M396" s="26">
        <f t="shared" ref="M396" si="543">K396-L396</f>
        <v>15967</v>
      </c>
      <c r="N396" s="25">
        <f t="shared" ref="N396" si="544">J396-D396</f>
        <v>-3773</v>
      </c>
      <c r="O396" s="26">
        <f t="shared" ref="O396" si="545">M396-G396</f>
        <v>514</v>
      </c>
    </row>
    <row r="397" spans="1:15">
      <c r="A397" s="9">
        <v>43175</v>
      </c>
      <c r="B397" s="10">
        <v>41473</v>
      </c>
      <c r="C397" s="10">
        <v>35906</v>
      </c>
      <c r="D397" s="25">
        <f t="shared" ref="D397" si="546">B397-C397</f>
        <v>5567</v>
      </c>
      <c r="E397" s="10">
        <v>54037</v>
      </c>
      <c r="F397" s="10">
        <v>43601</v>
      </c>
      <c r="G397" s="26">
        <f t="shared" ref="G397" si="547">E397-F397</f>
        <v>10436</v>
      </c>
      <c r="H397" s="10">
        <v>49083</v>
      </c>
      <c r="I397" s="10">
        <v>46203</v>
      </c>
      <c r="J397" s="25">
        <f t="shared" ref="J397" si="548">H397-I397</f>
        <v>2880</v>
      </c>
      <c r="K397" s="10">
        <v>70353</v>
      </c>
      <c r="L397" s="10">
        <v>58443</v>
      </c>
      <c r="M397" s="26">
        <f t="shared" ref="M397" si="549">K397-L397</f>
        <v>11910</v>
      </c>
      <c r="N397" s="25">
        <f t="shared" ref="N397" si="550">J397-D397</f>
        <v>-2687</v>
      </c>
      <c r="O397" s="26">
        <f t="shared" ref="O397" si="551">M397-G397</f>
        <v>1474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397"/>
  <sheetViews>
    <sheetView zoomScale="85" zoomScaleNormal="85" workbookViewId="0">
      <pane ySplit="3" topLeftCell="A388" activePane="bottomLeft" state="frozen"/>
      <selection pane="bottomLeft" activeCell="F402" sqref="F402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5" t="s">
        <v>257</v>
      </c>
      <c r="C1" s="115"/>
      <c r="D1" s="115"/>
      <c r="E1" s="115"/>
      <c r="F1" s="150" t="s">
        <v>89</v>
      </c>
      <c r="G1" s="151"/>
      <c r="H1" s="151"/>
      <c r="I1" s="151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1"/>
      <c r="G2" s="151"/>
      <c r="H2" s="151"/>
      <c r="I2" s="151"/>
    </row>
    <row r="3" spans="1:9">
      <c r="A3" s="15" t="s">
        <v>40</v>
      </c>
      <c r="B3" s="125" t="s">
        <v>69</v>
      </c>
      <c r="C3" s="122"/>
      <c r="D3" s="122"/>
      <c r="E3" s="122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  <row r="346" spans="1:9">
      <c r="A346" s="9">
        <v>43124</v>
      </c>
      <c r="B346" s="10">
        <v>-23214</v>
      </c>
      <c r="C346" s="10">
        <v>23891</v>
      </c>
      <c r="D346" s="10">
        <v>609212</v>
      </c>
      <c r="E346" s="10">
        <v>202672</v>
      </c>
      <c r="F346" s="22">
        <f t="shared" ref="F346" si="275">B346/10000</f>
        <v>-2.3214000000000001</v>
      </c>
      <c r="G346" s="22">
        <f t="shared" ref="G346" si="276">C346/10000</f>
        <v>2.3891</v>
      </c>
      <c r="H346" s="22">
        <f t="shared" ref="H346" si="277">D346/10000</f>
        <v>60.921199999999999</v>
      </c>
      <c r="I346" s="22">
        <f t="shared" ref="I346" si="278">E346/10000</f>
        <v>20.267199999999999</v>
      </c>
    </row>
    <row r="347" spans="1:9">
      <c r="A347" s="9">
        <v>43125</v>
      </c>
      <c r="B347" s="10">
        <v>-13943</v>
      </c>
      <c r="C347" s="10">
        <v>3914</v>
      </c>
      <c r="D347" s="10">
        <v>667335</v>
      </c>
      <c r="E347" s="10">
        <v>230951</v>
      </c>
      <c r="F347" s="22">
        <f t="shared" ref="F347" si="279">B347/10000</f>
        <v>-1.3943000000000001</v>
      </c>
      <c r="G347" s="22">
        <f t="shared" ref="G347" si="280">C347/10000</f>
        <v>0.39140000000000003</v>
      </c>
      <c r="H347" s="22">
        <f t="shared" ref="H347" si="281">D347/10000</f>
        <v>66.733500000000006</v>
      </c>
      <c r="I347" s="22">
        <f t="shared" ref="I347" si="282">E347/10000</f>
        <v>23.095099999999999</v>
      </c>
    </row>
    <row r="348" spans="1:9">
      <c r="A348" s="9">
        <v>43126</v>
      </c>
      <c r="B348" s="10">
        <v>-48460</v>
      </c>
      <c r="C348" s="10">
        <v>-30875</v>
      </c>
      <c r="D348" s="10">
        <v>656332</v>
      </c>
      <c r="E348" s="10">
        <v>234806</v>
      </c>
      <c r="F348" s="22">
        <f t="shared" ref="F348" si="283">B348/10000</f>
        <v>-4.8460000000000001</v>
      </c>
      <c r="G348" s="22">
        <f t="shared" ref="G348" si="284">C348/10000</f>
        <v>-3.0874999999999999</v>
      </c>
      <c r="H348" s="22">
        <f t="shared" ref="H348" si="285">D348/10000</f>
        <v>65.633200000000002</v>
      </c>
      <c r="I348" s="22">
        <f t="shared" ref="I348" si="286">E348/10000</f>
        <v>23.480599999999999</v>
      </c>
    </row>
    <row r="349" spans="1:9">
      <c r="A349" s="9">
        <v>43127</v>
      </c>
      <c r="B349" s="10"/>
      <c r="C349" s="10"/>
      <c r="D349" s="10"/>
      <c r="E349" s="10"/>
      <c r="F349" s="22"/>
      <c r="G349" s="22"/>
      <c r="H349" s="22"/>
      <c r="I349" s="22"/>
    </row>
    <row r="350" spans="1:9">
      <c r="A350" s="9">
        <v>43128</v>
      </c>
      <c r="B350" s="10"/>
      <c r="C350" s="10"/>
      <c r="D350" s="10"/>
      <c r="E350" s="10"/>
      <c r="F350" s="22"/>
      <c r="G350" s="22"/>
      <c r="H350" s="22"/>
      <c r="I350" s="22"/>
    </row>
    <row r="351" spans="1:9">
      <c r="A351" s="9">
        <v>43129</v>
      </c>
      <c r="B351" s="10">
        <v>-88340</v>
      </c>
      <c r="C351" s="10">
        <v>-30875</v>
      </c>
      <c r="D351" s="10">
        <v>752953</v>
      </c>
      <c r="E351" s="10">
        <v>211613</v>
      </c>
      <c r="F351" s="22">
        <f t="shared" ref="F351" si="287">B351/10000</f>
        <v>-8.8339999999999996</v>
      </c>
      <c r="G351" s="22">
        <f t="shared" ref="G351" si="288">C351/10000</f>
        <v>-3.0874999999999999</v>
      </c>
      <c r="H351" s="22">
        <f t="shared" ref="H351" si="289">D351/10000</f>
        <v>75.295299999999997</v>
      </c>
      <c r="I351" s="22">
        <f t="shared" ref="I351" si="290">E351/10000</f>
        <v>21.161300000000001</v>
      </c>
    </row>
    <row r="352" spans="1:9">
      <c r="A352" s="9">
        <v>43130</v>
      </c>
      <c r="B352" s="10">
        <v>-36646</v>
      </c>
      <c r="C352" s="10">
        <v>-8497</v>
      </c>
      <c r="D352" s="10">
        <v>562028</v>
      </c>
      <c r="E352" s="10">
        <v>333085</v>
      </c>
      <c r="F352" s="22">
        <f t="shared" ref="F352:F353" si="291">B352/10000</f>
        <v>-3.6646000000000001</v>
      </c>
      <c r="G352" s="22">
        <f t="shared" ref="G352:G353" si="292">C352/10000</f>
        <v>-0.84970000000000001</v>
      </c>
      <c r="H352" s="22">
        <f t="shared" ref="H352:H353" si="293">D352/10000</f>
        <v>56.202800000000003</v>
      </c>
      <c r="I352" s="22">
        <f t="shared" ref="I352:I353" si="294">E352/10000</f>
        <v>33.308500000000002</v>
      </c>
    </row>
    <row r="353" spans="1:9">
      <c r="A353" s="9">
        <v>43131</v>
      </c>
      <c r="B353" s="10">
        <v>-33319</v>
      </c>
      <c r="C353" s="10">
        <v>-85465</v>
      </c>
      <c r="D353" s="10">
        <v>609933</v>
      </c>
      <c r="E353" s="10">
        <v>360557</v>
      </c>
      <c r="F353" s="22">
        <f t="shared" si="291"/>
        <v>-3.3319000000000001</v>
      </c>
      <c r="G353" s="22">
        <f t="shared" si="292"/>
        <v>-8.5465</v>
      </c>
      <c r="H353" s="22">
        <f t="shared" si="293"/>
        <v>60.993299999999998</v>
      </c>
      <c r="I353" s="22">
        <f t="shared" si="294"/>
        <v>36.055700000000002</v>
      </c>
    </row>
    <row r="354" spans="1:9">
      <c r="A354" s="9">
        <v>43132</v>
      </c>
      <c r="B354" s="10">
        <v>-69999</v>
      </c>
      <c r="C354" s="10">
        <v>-108114</v>
      </c>
      <c r="D354" s="10">
        <v>715808</v>
      </c>
      <c r="E354" s="10">
        <v>367641</v>
      </c>
      <c r="F354" s="22">
        <f t="shared" ref="F354" si="295">B354/10000</f>
        <v>-6.9999000000000002</v>
      </c>
      <c r="G354" s="22">
        <f t="shared" ref="G354" si="296">C354/10000</f>
        <v>-10.811400000000001</v>
      </c>
      <c r="H354" s="22">
        <f t="shared" ref="H354" si="297">D354/10000</f>
        <v>71.580799999999996</v>
      </c>
      <c r="I354" s="22">
        <f t="shared" ref="I354" si="298">E354/10000</f>
        <v>36.764099999999999</v>
      </c>
    </row>
    <row r="355" spans="1:9">
      <c r="A355" s="9">
        <v>43133</v>
      </c>
      <c r="B355" s="10">
        <v>-74014</v>
      </c>
      <c r="C355" s="10">
        <v>-106024</v>
      </c>
      <c r="D355" s="10">
        <v>603628</v>
      </c>
      <c r="E355" s="10">
        <v>389316</v>
      </c>
      <c r="F355" s="22">
        <f t="shared" ref="F355" si="299">B355/10000</f>
        <v>-7.4013999999999998</v>
      </c>
      <c r="G355" s="22">
        <f t="shared" ref="G355" si="300">C355/10000</f>
        <v>-10.602399999999999</v>
      </c>
      <c r="H355" s="22">
        <f t="shared" ref="H355" si="301">D355/10000</f>
        <v>60.3628</v>
      </c>
      <c r="I355" s="22">
        <f t="shared" ref="I355" si="302">E355/10000</f>
        <v>38.931600000000003</v>
      </c>
    </row>
    <row r="356" spans="1:9">
      <c r="A356" s="9">
        <v>43134</v>
      </c>
      <c r="B356" s="10"/>
      <c r="C356" s="10"/>
      <c r="D356" s="10"/>
      <c r="E356" s="10"/>
      <c r="F356" s="22"/>
      <c r="G356" s="22"/>
      <c r="H356" s="22"/>
      <c r="I356" s="22"/>
    </row>
    <row r="357" spans="1:9">
      <c r="A357" s="9">
        <v>43135</v>
      </c>
      <c r="B357" s="10"/>
      <c r="C357" s="10"/>
      <c r="D357" s="10"/>
      <c r="E357" s="10"/>
      <c r="F357" s="22"/>
      <c r="G357" s="22"/>
      <c r="H357" s="22"/>
      <c r="I357" s="22"/>
    </row>
    <row r="358" spans="1:9">
      <c r="A358" s="9">
        <v>43136</v>
      </c>
      <c r="B358" s="10">
        <v>-23456</v>
      </c>
      <c r="C358" s="10">
        <v>-123498</v>
      </c>
      <c r="D358" s="10">
        <v>385323</v>
      </c>
      <c r="E358" s="10">
        <v>669179</v>
      </c>
      <c r="F358" s="22">
        <f t="shared" ref="F358" si="303">B358/10000</f>
        <v>-2.3456000000000001</v>
      </c>
      <c r="G358" s="22">
        <f t="shared" ref="G358" si="304">C358/10000</f>
        <v>-12.3498</v>
      </c>
      <c r="H358" s="22">
        <f t="shared" ref="H358" si="305">D358/10000</f>
        <v>38.532299999999999</v>
      </c>
      <c r="I358" s="22">
        <f t="shared" ref="I358" si="306">E358/10000</f>
        <v>66.917900000000003</v>
      </c>
    </row>
    <row r="359" spans="1:9">
      <c r="A359" s="9">
        <v>43137</v>
      </c>
      <c r="B359" s="10">
        <v>-115420</v>
      </c>
      <c r="C359" s="10">
        <v>-2125147</v>
      </c>
      <c r="D359" s="10">
        <v>373033</v>
      </c>
      <c r="E359" s="10">
        <v>3026415</v>
      </c>
      <c r="F359" s="22">
        <f t="shared" ref="F359:F362" si="307">B359/10000</f>
        <v>-11.542</v>
      </c>
      <c r="G359" s="22">
        <f t="shared" ref="G359:G362" si="308">C359/10000</f>
        <v>-212.5147</v>
      </c>
      <c r="H359" s="22">
        <f t="shared" ref="H359:H362" si="309">D359/10000</f>
        <v>37.3033</v>
      </c>
      <c r="I359" s="22">
        <f t="shared" ref="I359:I362" si="310">E359/10000</f>
        <v>302.64150000000001</v>
      </c>
    </row>
    <row r="360" spans="1:9">
      <c r="A360" s="9">
        <v>43138</v>
      </c>
      <c r="B360" s="10">
        <v>-77812</v>
      </c>
      <c r="C360" s="10">
        <v>-851989</v>
      </c>
      <c r="D360" s="10">
        <v>190243</v>
      </c>
      <c r="E360" s="10">
        <v>1216653</v>
      </c>
      <c r="F360" s="22">
        <f t="shared" si="307"/>
        <v>-7.7812000000000001</v>
      </c>
      <c r="G360" s="22">
        <f t="shared" si="308"/>
        <v>-85.198899999999995</v>
      </c>
      <c r="H360" s="22">
        <f t="shared" si="309"/>
        <v>19.0243</v>
      </c>
      <c r="I360" s="22">
        <f t="shared" si="310"/>
        <v>121.6653</v>
      </c>
    </row>
    <row r="361" spans="1:9">
      <c r="A361" s="9">
        <v>43139</v>
      </c>
      <c r="B361" s="10">
        <v>-64860</v>
      </c>
      <c r="C361" s="10">
        <v>-785315</v>
      </c>
      <c r="D361" s="10">
        <v>163384</v>
      </c>
      <c r="E361" s="10">
        <v>1099219</v>
      </c>
      <c r="F361" s="22">
        <f t="shared" si="307"/>
        <v>-6.4859999999999998</v>
      </c>
      <c r="G361" s="22">
        <f t="shared" si="308"/>
        <v>-78.531499999999994</v>
      </c>
      <c r="H361" s="22">
        <f t="shared" si="309"/>
        <v>16.3384</v>
      </c>
      <c r="I361" s="22">
        <f t="shared" si="310"/>
        <v>109.92189999999999</v>
      </c>
    </row>
    <row r="362" spans="1:9">
      <c r="A362" s="9">
        <v>43140</v>
      </c>
      <c r="B362" s="10">
        <v>-117982</v>
      </c>
      <c r="C362" s="10">
        <v>-1149910</v>
      </c>
      <c r="D362" s="10">
        <v>109756</v>
      </c>
      <c r="E362" s="10">
        <v>1618628</v>
      </c>
      <c r="F362" s="22">
        <f t="shared" si="307"/>
        <v>-11.7982</v>
      </c>
      <c r="G362" s="22">
        <f t="shared" si="308"/>
        <v>-114.991</v>
      </c>
      <c r="H362" s="22">
        <f t="shared" si="309"/>
        <v>10.9756</v>
      </c>
      <c r="I362" s="22">
        <f t="shared" si="310"/>
        <v>161.86279999999999</v>
      </c>
    </row>
    <row r="363" spans="1:9">
      <c r="A363" s="9">
        <v>43141</v>
      </c>
      <c r="B363" s="10"/>
      <c r="C363" s="10"/>
      <c r="D363" s="10"/>
      <c r="E363" s="10"/>
      <c r="F363" s="22"/>
      <c r="G363" s="22"/>
      <c r="H363" s="22"/>
      <c r="I363" s="22"/>
    </row>
    <row r="364" spans="1:9">
      <c r="A364" s="9">
        <v>43142</v>
      </c>
      <c r="B364" s="10"/>
      <c r="C364" s="10"/>
      <c r="D364" s="10"/>
      <c r="E364" s="10"/>
      <c r="F364" s="22"/>
      <c r="G364" s="22"/>
      <c r="H364" s="22"/>
      <c r="I364" s="22"/>
    </row>
    <row r="365" spans="1:9">
      <c r="A365" s="9">
        <v>43143</v>
      </c>
      <c r="B365" s="10">
        <v>-132569</v>
      </c>
      <c r="C365" s="10">
        <v>-930552</v>
      </c>
      <c r="D365" s="10">
        <v>65309</v>
      </c>
      <c r="E365" s="10">
        <v>1304657</v>
      </c>
      <c r="F365" s="22">
        <f t="shared" ref="F365" si="311">B365/10000</f>
        <v>-13.2569</v>
      </c>
      <c r="G365" s="22">
        <f t="shared" ref="G365" si="312">C365/10000</f>
        <v>-93.055199999999999</v>
      </c>
      <c r="H365" s="22">
        <f t="shared" ref="H365" si="313">D365/10000</f>
        <v>6.5308999999999999</v>
      </c>
      <c r="I365" s="22">
        <f t="shared" ref="I365" si="314">E365/10000</f>
        <v>130.4657</v>
      </c>
    </row>
    <row r="366" spans="1:9">
      <c r="A366" s="9">
        <v>43144</v>
      </c>
      <c r="B366" s="10"/>
      <c r="C366" s="10"/>
      <c r="D366" s="10"/>
      <c r="E366" s="10"/>
      <c r="F366" s="22"/>
      <c r="G366" s="22"/>
      <c r="H366" s="22"/>
      <c r="I366" s="22"/>
    </row>
    <row r="367" spans="1:9">
      <c r="A367" s="9">
        <v>43145</v>
      </c>
      <c r="B367" s="10"/>
      <c r="C367" s="10"/>
      <c r="D367" s="10"/>
      <c r="E367" s="10"/>
      <c r="F367" s="22"/>
      <c r="G367" s="22"/>
      <c r="H367" s="22"/>
      <c r="I367" s="22"/>
    </row>
    <row r="368" spans="1:9">
      <c r="A368" s="9">
        <v>43146</v>
      </c>
      <c r="B368" s="10"/>
      <c r="C368" s="10"/>
      <c r="D368" s="10"/>
      <c r="E368" s="10"/>
      <c r="F368" s="22"/>
      <c r="G368" s="22"/>
      <c r="H368" s="22"/>
      <c r="I368" s="22"/>
    </row>
    <row r="369" spans="1:9">
      <c r="A369" s="9">
        <v>43147</v>
      </c>
      <c r="B369" s="10"/>
      <c r="C369" s="10"/>
      <c r="D369" s="10"/>
      <c r="E369" s="10"/>
      <c r="F369" s="22"/>
      <c r="G369" s="22"/>
      <c r="H369" s="22"/>
      <c r="I369" s="22"/>
    </row>
    <row r="370" spans="1:9">
      <c r="A370" s="9">
        <v>43148</v>
      </c>
      <c r="B370" s="10"/>
      <c r="C370" s="10"/>
      <c r="D370" s="10"/>
      <c r="E370" s="10"/>
      <c r="F370" s="22"/>
      <c r="G370" s="22"/>
      <c r="H370" s="22"/>
      <c r="I370" s="22"/>
    </row>
    <row r="371" spans="1:9">
      <c r="A371" s="9">
        <v>43149</v>
      </c>
      <c r="B371" s="10"/>
      <c r="C371" s="10"/>
      <c r="D371" s="10"/>
      <c r="E371" s="10"/>
      <c r="F371" s="22"/>
      <c r="G371" s="22"/>
      <c r="H371" s="22"/>
      <c r="I371" s="22"/>
    </row>
    <row r="372" spans="1:9">
      <c r="A372" s="9">
        <v>43150</v>
      </c>
      <c r="B372" s="10"/>
      <c r="C372" s="10"/>
      <c r="D372" s="10"/>
      <c r="E372" s="10"/>
      <c r="F372" s="22"/>
      <c r="G372" s="22"/>
      <c r="H372" s="22"/>
      <c r="I372" s="22"/>
    </row>
    <row r="373" spans="1:9">
      <c r="A373" s="9">
        <v>43151</v>
      </c>
      <c r="B373" s="10"/>
      <c r="C373" s="10"/>
      <c r="D373" s="10"/>
      <c r="E373" s="10"/>
      <c r="F373" s="22"/>
      <c r="G373" s="22"/>
      <c r="H373" s="22"/>
      <c r="I373" s="22"/>
    </row>
    <row r="374" spans="1:9">
      <c r="A374" s="9">
        <v>43152</v>
      </c>
      <c r="B374" s="10">
        <v>43067</v>
      </c>
      <c r="C374" s="10">
        <v>-490900</v>
      </c>
      <c r="D374" s="10">
        <v>55700</v>
      </c>
      <c r="E374" s="10">
        <v>522844</v>
      </c>
      <c r="F374" s="22">
        <f t="shared" ref="F374" si="315">B374/10000</f>
        <v>4.3067000000000002</v>
      </c>
      <c r="G374" s="22">
        <f t="shared" ref="G374" si="316">C374/10000</f>
        <v>-49.09</v>
      </c>
      <c r="H374" s="22">
        <f t="shared" ref="H374" si="317">D374/10000</f>
        <v>5.57</v>
      </c>
      <c r="I374" s="22">
        <f t="shared" ref="I374" si="318">E374/10000</f>
        <v>52.284399999999998</v>
      </c>
    </row>
    <row r="375" spans="1:9">
      <c r="A375" s="9">
        <v>43153</v>
      </c>
      <c r="B375" s="10">
        <v>33734</v>
      </c>
      <c r="C375" s="10">
        <v>-499874</v>
      </c>
      <c r="D375" s="10">
        <v>30435</v>
      </c>
      <c r="E375" s="10">
        <v>566777</v>
      </c>
      <c r="F375" s="22">
        <f t="shared" ref="F375:F376" si="319">B375/10000</f>
        <v>3.3734000000000002</v>
      </c>
      <c r="G375" s="22">
        <f t="shared" ref="G375:G376" si="320">C375/10000</f>
        <v>-49.987400000000001</v>
      </c>
      <c r="H375" s="22">
        <f t="shared" ref="H375:H376" si="321">D375/10000</f>
        <v>3.0434999999999999</v>
      </c>
      <c r="I375" s="22">
        <f t="shared" ref="I375:I376" si="322">E375/10000</f>
        <v>56.677700000000002</v>
      </c>
    </row>
    <row r="376" spans="1:9">
      <c r="A376" s="9">
        <v>43154</v>
      </c>
      <c r="B376" s="10">
        <v>84147</v>
      </c>
      <c r="C376" s="10">
        <v>-402188</v>
      </c>
      <c r="D376" s="10">
        <v>54336</v>
      </c>
      <c r="E376" s="10">
        <v>410772</v>
      </c>
      <c r="F376" s="22">
        <f t="shared" si="319"/>
        <v>8.4146999999999998</v>
      </c>
      <c r="G376" s="22">
        <f t="shared" si="320"/>
        <v>-40.218800000000002</v>
      </c>
      <c r="H376" s="22">
        <f t="shared" si="321"/>
        <v>5.4336000000000002</v>
      </c>
      <c r="I376" s="22">
        <f t="shared" si="322"/>
        <v>41.077199999999998</v>
      </c>
    </row>
    <row r="377" spans="1:9">
      <c r="A377" s="9">
        <v>43155</v>
      </c>
      <c r="B377" s="10"/>
      <c r="C377" s="10"/>
      <c r="D377" s="10"/>
      <c r="E377" s="10"/>
      <c r="F377" s="22"/>
      <c r="G377" s="22"/>
      <c r="H377" s="22"/>
      <c r="I377" s="22"/>
    </row>
    <row r="378" spans="1:9">
      <c r="A378" s="9">
        <v>43156</v>
      </c>
      <c r="B378" s="10"/>
      <c r="C378" s="10"/>
      <c r="D378" s="10"/>
      <c r="E378" s="10"/>
      <c r="F378" s="22"/>
      <c r="G378" s="22"/>
      <c r="H378" s="22"/>
      <c r="I378" s="22"/>
    </row>
    <row r="379" spans="1:9">
      <c r="A379" s="9">
        <v>43157</v>
      </c>
      <c r="B379" s="10">
        <v>68005</v>
      </c>
      <c r="C379" s="10">
        <v>45847</v>
      </c>
      <c r="D379" s="10">
        <v>-353004</v>
      </c>
      <c r="E379" s="10">
        <v>368734</v>
      </c>
      <c r="F379" s="22">
        <f t="shared" ref="F379" si="323">B379/10000</f>
        <v>6.8005000000000004</v>
      </c>
      <c r="G379" s="22">
        <f t="shared" ref="G379" si="324">C379/10000</f>
        <v>4.5846999999999998</v>
      </c>
      <c r="H379" s="22">
        <f t="shared" ref="H379" si="325">D379/10000</f>
        <v>-35.300400000000003</v>
      </c>
      <c r="I379" s="22">
        <f t="shared" ref="I379" si="326">E379/10000</f>
        <v>36.873399999999997</v>
      </c>
    </row>
    <row r="380" spans="1:9">
      <c r="A380" s="9">
        <v>43158</v>
      </c>
      <c r="B380" s="10">
        <v>85278</v>
      </c>
      <c r="C380" s="10">
        <v>-368181</v>
      </c>
      <c r="D380" s="10">
        <v>17911</v>
      </c>
      <c r="E380" s="10">
        <v>353880</v>
      </c>
      <c r="F380" s="22">
        <f t="shared" ref="F380" si="327">B380/10000</f>
        <v>8.5277999999999992</v>
      </c>
      <c r="G380" s="22">
        <f t="shared" ref="G380" si="328">C380/10000</f>
        <v>-36.818100000000001</v>
      </c>
      <c r="H380" s="22">
        <f t="shared" ref="H380" si="329">D380/10000</f>
        <v>1.7910999999999999</v>
      </c>
      <c r="I380" s="22">
        <f t="shared" ref="I380" si="330">E380/10000</f>
        <v>35.387999999999998</v>
      </c>
    </row>
    <row r="381" spans="1:9">
      <c r="A381" s="9">
        <v>43159</v>
      </c>
      <c r="B381" s="10"/>
      <c r="C381" s="10"/>
      <c r="D381" s="10"/>
      <c r="E381" s="10"/>
      <c r="F381" s="22"/>
      <c r="G381" s="22"/>
      <c r="H381" s="22"/>
      <c r="I381" s="22"/>
    </row>
    <row r="382" spans="1:9">
      <c r="A382" s="9">
        <v>43160</v>
      </c>
      <c r="B382" s="10">
        <v>57136</v>
      </c>
      <c r="C382" s="10">
        <v>-430228</v>
      </c>
      <c r="D382" s="10">
        <v>17288</v>
      </c>
      <c r="E382" s="10">
        <v>427026</v>
      </c>
      <c r="F382" s="22">
        <f t="shared" ref="F382" si="331">B382/10000</f>
        <v>5.7135999999999996</v>
      </c>
      <c r="G382" s="22">
        <f t="shared" ref="G382" si="332">C382/10000</f>
        <v>-43.022799999999997</v>
      </c>
      <c r="H382" s="22">
        <f t="shared" ref="H382" si="333">D382/10000</f>
        <v>1.7287999999999999</v>
      </c>
      <c r="I382" s="22">
        <f t="shared" ref="I382" si="334">E382/10000</f>
        <v>42.702599999999997</v>
      </c>
    </row>
    <row r="383" spans="1:9">
      <c r="A383" s="9">
        <v>43161</v>
      </c>
      <c r="B383" s="10">
        <v>29274</v>
      </c>
      <c r="C383" s="10">
        <v>-487910</v>
      </c>
      <c r="D383" s="10">
        <v>1651</v>
      </c>
      <c r="E383" s="10">
        <v>510292</v>
      </c>
      <c r="F383" s="22">
        <f t="shared" ref="F383" si="335">B383/10000</f>
        <v>2.9274</v>
      </c>
      <c r="G383" s="22">
        <f t="shared" ref="G383" si="336">C383/10000</f>
        <v>-48.790999999999997</v>
      </c>
      <c r="H383" s="22">
        <f t="shared" ref="H383" si="337">D383/10000</f>
        <v>0.1651</v>
      </c>
      <c r="I383" s="22">
        <f t="shared" ref="I383" si="338">E383/10000</f>
        <v>51.029200000000003</v>
      </c>
    </row>
    <row r="384" spans="1:9">
      <c r="A384" s="9">
        <v>43162</v>
      </c>
      <c r="B384" s="10"/>
      <c r="C384" s="10"/>
      <c r="D384" s="10"/>
      <c r="E384" s="10"/>
      <c r="F384" s="22"/>
      <c r="G384" s="22"/>
      <c r="H384" s="22"/>
      <c r="I384" s="22"/>
    </row>
    <row r="385" spans="1:9">
      <c r="A385" s="9">
        <v>43163</v>
      </c>
      <c r="B385" s="10"/>
      <c r="C385" s="10"/>
      <c r="D385" s="10"/>
      <c r="E385" s="10"/>
      <c r="F385" s="22"/>
      <c r="G385" s="22"/>
      <c r="H385" s="22"/>
      <c r="I385" s="22"/>
    </row>
    <row r="386" spans="1:9">
      <c r="A386" s="9">
        <v>43164</v>
      </c>
      <c r="B386" s="10">
        <v>10201</v>
      </c>
      <c r="C386" s="10">
        <v>-489533</v>
      </c>
      <c r="D386" s="10">
        <v>48857</v>
      </c>
      <c r="E386" s="10">
        <v>494498</v>
      </c>
      <c r="F386" s="22">
        <f t="shared" ref="F386" si="339">B386/10000</f>
        <v>1.0201</v>
      </c>
      <c r="G386" s="22">
        <f t="shared" ref="G386" si="340">C386/10000</f>
        <v>-48.953299999999999</v>
      </c>
      <c r="H386" s="22">
        <f t="shared" ref="H386" si="341">D386/10000</f>
        <v>4.8856999999999999</v>
      </c>
      <c r="I386" s="22">
        <f t="shared" ref="I386" si="342">E386/10000</f>
        <v>49.449800000000003</v>
      </c>
    </row>
    <row r="387" spans="1:9">
      <c r="A387" s="9">
        <v>43165</v>
      </c>
      <c r="B387" s="10">
        <v>79946</v>
      </c>
      <c r="C387" s="10">
        <v>-325996</v>
      </c>
      <c r="D387" s="10">
        <v>62359</v>
      </c>
      <c r="E387" s="10">
        <v>326471</v>
      </c>
      <c r="F387" s="22">
        <f t="shared" ref="F387" si="343">B387/10000</f>
        <v>7.9946000000000002</v>
      </c>
      <c r="G387" s="22">
        <f t="shared" ref="G387" si="344">C387/10000</f>
        <v>-32.599600000000002</v>
      </c>
      <c r="H387" s="22">
        <f t="shared" ref="H387" si="345">D387/10000</f>
        <v>6.2359</v>
      </c>
      <c r="I387" s="22">
        <f t="shared" ref="I387" si="346">E387/10000</f>
        <v>32.647100000000002</v>
      </c>
    </row>
    <row r="388" spans="1:9">
      <c r="A388" s="9">
        <v>43166</v>
      </c>
      <c r="B388" s="10">
        <v>21989</v>
      </c>
      <c r="C388" s="10">
        <v>-444972</v>
      </c>
      <c r="D388" s="10">
        <v>59456</v>
      </c>
      <c r="E388" s="10">
        <v>396327</v>
      </c>
      <c r="F388" s="22">
        <f t="shared" ref="F388" si="347">B388/10000</f>
        <v>2.1989000000000001</v>
      </c>
      <c r="G388" s="22">
        <f t="shared" ref="G388" si="348">C388/10000</f>
        <v>-44.497199999999999</v>
      </c>
      <c r="H388" s="22">
        <f t="shared" ref="H388" si="349">D388/10000</f>
        <v>5.9455999999999998</v>
      </c>
      <c r="I388" s="22">
        <f t="shared" ref="I388" si="350">E388/10000</f>
        <v>39.6327</v>
      </c>
    </row>
    <row r="389" spans="1:9">
      <c r="A389" s="9">
        <v>43167</v>
      </c>
      <c r="B389" s="10">
        <v>67246</v>
      </c>
      <c r="C389" s="10">
        <v>-344099</v>
      </c>
      <c r="D389" s="10">
        <v>61207</v>
      </c>
      <c r="E389" s="10">
        <v>295634</v>
      </c>
      <c r="F389" s="22">
        <f t="shared" ref="F389" si="351">B389/10000</f>
        <v>6.7245999999999997</v>
      </c>
      <c r="G389" s="22">
        <f t="shared" ref="G389" si="352">C389/10000</f>
        <v>-34.4099</v>
      </c>
      <c r="H389" s="22">
        <f t="shared" ref="H389" si="353">D389/10000</f>
        <v>6.1207000000000003</v>
      </c>
      <c r="I389" s="22">
        <f t="shared" ref="I389" si="354">E389/10000</f>
        <v>29.563400000000001</v>
      </c>
    </row>
    <row r="390" spans="1:9">
      <c r="A390" s="9">
        <v>43168</v>
      </c>
      <c r="B390" s="10">
        <v>64582</v>
      </c>
      <c r="C390" s="10">
        <v>-295428</v>
      </c>
      <c r="D390" s="10">
        <v>50846</v>
      </c>
      <c r="E390" s="10">
        <v>260688</v>
      </c>
      <c r="F390" s="22">
        <f t="shared" ref="F390" si="355">B390/10000</f>
        <v>6.4581999999999997</v>
      </c>
      <c r="G390" s="22">
        <f t="shared" ref="G390" si="356">C390/10000</f>
        <v>-29.5428</v>
      </c>
      <c r="H390" s="22">
        <f t="shared" ref="H390" si="357">D390/10000</f>
        <v>5.0846</v>
      </c>
      <c r="I390" s="22">
        <f t="shared" ref="I390" si="358">E390/10000</f>
        <v>26.0688</v>
      </c>
    </row>
    <row r="391" spans="1:9">
      <c r="A391" s="9">
        <v>43169</v>
      </c>
      <c r="B391" s="10"/>
      <c r="C391" s="10"/>
      <c r="D391" s="10"/>
      <c r="E391" s="10"/>
      <c r="F391" s="22"/>
      <c r="G391" s="22"/>
      <c r="H391" s="22"/>
      <c r="I391" s="22"/>
    </row>
    <row r="392" spans="1:9">
      <c r="A392" s="9">
        <v>43170</v>
      </c>
      <c r="B392" s="10"/>
      <c r="C392" s="10"/>
      <c r="D392" s="10"/>
      <c r="E392" s="10"/>
      <c r="F392" s="22"/>
      <c r="G392" s="22"/>
      <c r="H392" s="22"/>
      <c r="I392" s="22"/>
    </row>
    <row r="393" spans="1:9">
      <c r="A393" s="9">
        <v>43171</v>
      </c>
      <c r="B393" s="10">
        <v>100943</v>
      </c>
      <c r="C393" s="10">
        <v>-233136</v>
      </c>
      <c r="D393" s="10">
        <v>113458</v>
      </c>
      <c r="E393" s="10">
        <v>168097</v>
      </c>
      <c r="F393" s="22">
        <f t="shared" ref="F393" si="359">B393/10000</f>
        <v>10.0943</v>
      </c>
      <c r="G393" s="22">
        <f t="shared" ref="G393" si="360">C393/10000</f>
        <v>-23.313600000000001</v>
      </c>
      <c r="H393" s="22">
        <f t="shared" ref="H393" si="361">D393/10000</f>
        <v>11.345800000000001</v>
      </c>
      <c r="I393" s="22">
        <f t="shared" ref="I393" si="362">E393/10000</f>
        <v>16.809699999999999</v>
      </c>
    </row>
    <row r="394" spans="1:9">
      <c r="A394" s="9">
        <v>43172</v>
      </c>
      <c r="B394" s="10">
        <v>81355</v>
      </c>
      <c r="C394" s="10">
        <v>-171469</v>
      </c>
      <c r="D394" s="10">
        <v>177007</v>
      </c>
      <c r="E394" s="10">
        <v>132016</v>
      </c>
      <c r="F394" s="22">
        <f t="shared" ref="F394" si="363">B394/10000</f>
        <v>8.1355000000000004</v>
      </c>
      <c r="G394" s="22">
        <f t="shared" ref="G394" si="364">C394/10000</f>
        <v>-17.146899999999999</v>
      </c>
      <c r="H394" s="22">
        <f t="shared" ref="H394" si="365">D394/10000</f>
        <v>17.700700000000001</v>
      </c>
      <c r="I394" s="22">
        <f t="shared" ref="I394" si="366">E394/10000</f>
        <v>13.201599999999999</v>
      </c>
    </row>
    <row r="395" spans="1:9">
      <c r="A395" s="9">
        <v>43173</v>
      </c>
      <c r="B395" s="10">
        <v>35952</v>
      </c>
      <c r="C395" s="10">
        <v>-181415</v>
      </c>
      <c r="D395" s="10">
        <v>133078</v>
      </c>
      <c r="E395" s="10">
        <v>173080</v>
      </c>
      <c r="F395" s="22">
        <f t="shared" ref="F395" si="367">B395/10000</f>
        <v>3.5952000000000002</v>
      </c>
      <c r="G395" s="22">
        <f t="shared" ref="G395" si="368">C395/10000</f>
        <v>-18.141500000000001</v>
      </c>
      <c r="H395" s="22">
        <f t="shared" ref="H395" si="369">D395/10000</f>
        <v>13.3078</v>
      </c>
      <c r="I395" s="22">
        <f t="shared" ref="I395" si="370">E395/10000</f>
        <v>17.308</v>
      </c>
    </row>
    <row r="396" spans="1:9">
      <c r="A396" s="9">
        <v>43174</v>
      </c>
      <c r="B396" s="10">
        <v>37642</v>
      </c>
      <c r="C396" s="10">
        <v>-179420</v>
      </c>
      <c r="D396" s="10">
        <v>123510</v>
      </c>
      <c r="E396" s="10">
        <v>156177</v>
      </c>
      <c r="F396" s="22">
        <f t="shared" ref="F396" si="371">B396/10000</f>
        <v>3.7642000000000002</v>
      </c>
      <c r="G396" s="22">
        <f t="shared" ref="G396" si="372">C396/10000</f>
        <v>-17.942</v>
      </c>
      <c r="H396" s="22">
        <f t="shared" ref="H396" si="373">D396/10000</f>
        <v>12.351000000000001</v>
      </c>
      <c r="I396" s="22">
        <f t="shared" ref="I396" si="374">E396/10000</f>
        <v>15.617699999999999</v>
      </c>
    </row>
    <row r="397" spans="1:9">
      <c r="A397" s="9">
        <v>43175</v>
      </c>
      <c r="B397" s="10">
        <v>-35264</v>
      </c>
      <c r="C397" s="10">
        <v>-150884</v>
      </c>
      <c r="D397" s="10">
        <v>111181</v>
      </c>
      <c r="E397" s="10">
        <v>174616</v>
      </c>
      <c r="F397" s="22">
        <f t="shared" ref="F397" si="375">B397/10000</f>
        <v>-3.5264000000000002</v>
      </c>
      <c r="G397" s="22">
        <f t="shared" ref="G397" si="376">C397/10000</f>
        <v>-15.0884</v>
      </c>
      <c r="H397" s="22">
        <f t="shared" ref="H397" si="377">D397/10000</f>
        <v>11.1181</v>
      </c>
      <c r="I397" s="22">
        <f t="shared" ref="I397" si="378">E397/10000</f>
        <v>17.461600000000001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397"/>
  <sheetViews>
    <sheetView zoomScaleNormal="100" workbookViewId="0">
      <pane xSplit="1" ySplit="3" topLeftCell="B389" activePane="bottomRight" state="frozen"/>
      <selection pane="topRight" activeCell="B1" sqref="B1"/>
      <selection pane="bottomLeft" activeCell="A4" sqref="A4"/>
      <selection pane="bottomRight" activeCell="E412" sqref="E412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2" t="s">
        <v>70</v>
      </c>
      <c r="C1" s="149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2" t="s">
        <v>71</v>
      </c>
      <c r="C2" s="149"/>
      <c r="E2" s="1" t="s">
        <v>258</v>
      </c>
      <c r="F2" s="94" t="s">
        <v>260</v>
      </c>
    </row>
    <row r="3" spans="1:6">
      <c r="A3" s="15" t="s">
        <v>40</v>
      </c>
      <c r="B3" s="125" t="s">
        <v>72</v>
      </c>
      <c r="C3" s="122"/>
      <c r="E3" s="2" t="s">
        <v>259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  <row r="346" spans="1:3">
      <c r="A346" s="9">
        <v>43124</v>
      </c>
      <c r="B346" s="10">
        <v>163.07</v>
      </c>
      <c r="C346" s="23">
        <f t="shared" ref="C346" si="66">B346/100</f>
        <v>1.6307</v>
      </c>
    </row>
    <row r="347" spans="1:3">
      <c r="A347" s="9">
        <v>43125</v>
      </c>
      <c r="B347" s="10">
        <v>166.23</v>
      </c>
      <c r="C347" s="23">
        <f t="shared" ref="C347" si="67">B347/100</f>
        <v>1.6622999999999999</v>
      </c>
    </row>
    <row r="348" spans="1:3">
      <c r="A348" s="9">
        <v>43126</v>
      </c>
      <c r="B348" s="10">
        <v>158.51</v>
      </c>
      <c r="C348" s="23">
        <f t="shared" ref="C348" si="68">B348/100</f>
        <v>1.5851</v>
      </c>
    </row>
    <row r="349" spans="1:3">
      <c r="A349" s="9">
        <v>43127</v>
      </c>
      <c r="B349" s="10"/>
      <c r="C349" s="23"/>
    </row>
    <row r="350" spans="1:3">
      <c r="A350" s="9">
        <v>43128</v>
      </c>
      <c r="B350" s="10"/>
      <c r="C350" s="23"/>
    </row>
    <row r="351" spans="1:3">
      <c r="A351" s="9">
        <v>43129</v>
      </c>
      <c r="B351" s="10">
        <v>149.24</v>
      </c>
      <c r="C351" s="23">
        <f t="shared" ref="C351" si="69">B351/100</f>
        <v>1.4924000000000002</v>
      </c>
    </row>
    <row r="352" spans="1:3">
      <c r="A352" s="9">
        <v>43130</v>
      </c>
      <c r="B352" s="10">
        <v>136.44999999999999</v>
      </c>
      <c r="C352" s="23">
        <f t="shared" ref="C352:C353" si="70">B352/100</f>
        <v>1.3644999999999998</v>
      </c>
    </row>
    <row r="353" spans="1:3">
      <c r="A353" s="9">
        <v>43131</v>
      </c>
      <c r="B353" s="10">
        <v>174.69</v>
      </c>
      <c r="C353" s="23">
        <f t="shared" si="70"/>
        <v>1.7468999999999999</v>
      </c>
    </row>
    <row r="354" spans="1:3">
      <c r="A354" s="9">
        <v>43132</v>
      </c>
      <c r="B354" s="10">
        <v>178.88</v>
      </c>
      <c r="C354" s="23">
        <f t="shared" ref="C354" si="71">B354/100</f>
        <v>1.7887999999999999</v>
      </c>
    </row>
    <row r="355" spans="1:3">
      <c r="A355" s="9">
        <v>43133</v>
      </c>
      <c r="B355" s="10">
        <v>168.01</v>
      </c>
      <c r="C355" s="23">
        <f t="shared" ref="C355" si="72">B355/100</f>
        <v>1.6800999999999999</v>
      </c>
    </row>
    <row r="356" spans="1:3">
      <c r="A356" s="9">
        <v>43134</v>
      </c>
      <c r="B356" s="10"/>
      <c r="C356" s="23"/>
    </row>
    <row r="357" spans="1:3">
      <c r="A357" s="9">
        <v>43135</v>
      </c>
      <c r="B357" s="10"/>
      <c r="C357" s="23"/>
    </row>
    <row r="358" spans="1:3">
      <c r="A358" s="9">
        <v>43136</v>
      </c>
      <c r="B358" s="10">
        <v>147.85</v>
      </c>
      <c r="C358" s="23">
        <f t="shared" ref="C358" si="73">B358/100</f>
        <v>1.4784999999999999</v>
      </c>
    </row>
    <row r="359" spans="1:3">
      <c r="A359" s="9">
        <v>43137</v>
      </c>
      <c r="B359" s="10">
        <v>104.55</v>
      </c>
      <c r="C359" s="23">
        <f t="shared" ref="C359:C365" si="74">B359/100</f>
        <v>1.0454999999999999</v>
      </c>
    </row>
    <row r="360" spans="1:3">
      <c r="A360" s="9">
        <v>43138</v>
      </c>
      <c r="B360" s="10">
        <v>141.53</v>
      </c>
      <c r="C360" s="23">
        <f t="shared" si="74"/>
        <v>1.4153</v>
      </c>
    </row>
    <row r="361" spans="1:3">
      <c r="A361" s="9">
        <v>43139</v>
      </c>
      <c r="B361" s="10">
        <v>136.55000000000001</v>
      </c>
      <c r="C361" s="23">
        <f t="shared" si="74"/>
        <v>1.3655000000000002</v>
      </c>
    </row>
    <row r="362" spans="1:3">
      <c r="A362" s="9">
        <v>43140</v>
      </c>
      <c r="B362" s="10">
        <v>130.84</v>
      </c>
      <c r="C362" s="23">
        <f t="shared" si="74"/>
        <v>1.3084</v>
      </c>
    </row>
    <row r="363" spans="1:3">
      <c r="A363" s="9">
        <v>43141</v>
      </c>
      <c r="B363" s="10"/>
      <c r="C363" s="23"/>
    </row>
    <row r="364" spans="1:3">
      <c r="A364" s="9">
        <v>43142</v>
      </c>
      <c r="B364" s="10"/>
      <c r="C364" s="23"/>
    </row>
    <row r="365" spans="1:3">
      <c r="A365" s="9">
        <v>43143</v>
      </c>
      <c r="B365" s="10">
        <v>129.34</v>
      </c>
      <c r="C365" s="23">
        <f t="shared" si="74"/>
        <v>1.2934000000000001</v>
      </c>
    </row>
    <row r="366" spans="1:3">
      <c r="A366" s="9">
        <v>43144</v>
      </c>
      <c r="B366" s="10"/>
      <c r="C366" s="23"/>
    </row>
    <row r="367" spans="1:3">
      <c r="A367" s="9">
        <v>43145</v>
      </c>
      <c r="B367" s="10"/>
      <c r="C367" s="23"/>
    </row>
    <row r="368" spans="1:3">
      <c r="A368" s="9">
        <v>43146</v>
      </c>
      <c r="B368" s="10"/>
      <c r="C368" s="23"/>
    </row>
    <row r="369" spans="1:3">
      <c r="A369" s="9">
        <v>43147</v>
      </c>
      <c r="B369" s="10"/>
      <c r="C369" s="23"/>
    </row>
    <row r="370" spans="1:3">
      <c r="A370" s="9">
        <v>43148</v>
      </c>
      <c r="B370" s="10"/>
      <c r="C370" s="23"/>
    </row>
    <row r="371" spans="1:3">
      <c r="A371" s="9">
        <v>43149</v>
      </c>
      <c r="B371" s="10"/>
      <c r="C371" s="23"/>
    </row>
    <row r="372" spans="1:3">
      <c r="A372" s="9">
        <v>43150</v>
      </c>
      <c r="B372" s="10"/>
      <c r="C372" s="23"/>
    </row>
    <row r="373" spans="1:3">
      <c r="A373" s="9">
        <v>43151</v>
      </c>
      <c r="B373" s="10"/>
      <c r="C373" s="23"/>
    </row>
    <row r="374" spans="1:3">
      <c r="A374" s="9">
        <v>43152</v>
      </c>
      <c r="B374" s="10">
        <v>148.78</v>
      </c>
      <c r="C374" s="23">
        <f t="shared" ref="C374" si="75">B374/100</f>
        <v>1.4878</v>
      </c>
    </row>
    <row r="375" spans="1:3">
      <c r="A375" s="9">
        <v>43153</v>
      </c>
      <c r="B375" s="10">
        <v>132.38</v>
      </c>
      <c r="C375" s="23">
        <f t="shared" ref="C375:C376" si="76">B375/100</f>
        <v>1.3237999999999999</v>
      </c>
    </row>
    <row r="376" spans="1:3">
      <c r="A376" s="9">
        <v>43154</v>
      </c>
      <c r="B376" s="10">
        <v>141.96</v>
      </c>
      <c r="C376" s="23">
        <f t="shared" si="76"/>
        <v>1.4196</v>
      </c>
    </row>
    <row r="377" spans="1:3">
      <c r="A377" s="9">
        <v>43155</v>
      </c>
      <c r="B377" s="10"/>
      <c r="C377" s="23"/>
    </row>
    <row r="378" spans="1:3">
      <c r="A378" s="9">
        <v>43156</v>
      </c>
      <c r="B378" s="10"/>
      <c r="C378" s="23"/>
    </row>
    <row r="379" spans="1:3">
      <c r="A379" s="9">
        <v>43157</v>
      </c>
      <c r="B379" s="10">
        <v>135.37</v>
      </c>
      <c r="C379" s="23">
        <f t="shared" ref="C379" si="77">B379/100</f>
        <v>1.3537000000000001</v>
      </c>
    </row>
    <row r="380" spans="1:3">
      <c r="A380" s="9">
        <v>43158</v>
      </c>
      <c r="B380" s="10">
        <v>136.35</v>
      </c>
      <c r="C380" s="23">
        <f t="shared" ref="C380" si="78">B380/100</f>
        <v>1.3634999999999999</v>
      </c>
    </row>
    <row r="381" spans="1:3">
      <c r="A381" s="9">
        <v>43159</v>
      </c>
      <c r="B381" s="10"/>
      <c r="C381" s="23"/>
    </row>
    <row r="382" spans="1:3">
      <c r="A382" s="9">
        <v>43160</v>
      </c>
      <c r="B382" s="10">
        <v>146.80000000000001</v>
      </c>
      <c r="C382" s="23">
        <f t="shared" ref="C382" si="79">B382/100</f>
        <v>1.4680000000000002</v>
      </c>
    </row>
    <row r="383" spans="1:3">
      <c r="A383" s="9">
        <v>43161</v>
      </c>
      <c r="B383" s="10">
        <v>133.26</v>
      </c>
      <c r="C383" s="23">
        <f t="shared" ref="C383" si="80">B383/100</f>
        <v>1.3326</v>
      </c>
    </row>
    <row r="384" spans="1:3">
      <c r="A384" s="9">
        <v>43162</v>
      </c>
      <c r="B384" s="10"/>
      <c r="C384" s="23"/>
    </row>
    <row r="385" spans="1:3">
      <c r="A385" s="9">
        <v>43163</v>
      </c>
      <c r="B385" s="10"/>
      <c r="C385" s="23"/>
    </row>
    <row r="386" spans="1:3">
      <c r="A386" s="9">
        <v>43164</v>
      </c>
      <c r="B386" s="10">
        <v>127.63</v>
      </c>
      <c r="C386" s="23">
        <f t="shared" ref="C386" si="81">B386/100</f>
        <v>1.2763</v>
      </c>
    </row>
    <row r="387" spans="1:3">
      <c r="A387" s="9">
        <v>43165</v>
      </c>
      <c r="B387" s="10">
        <v>136.58000000000001</v>
      </c>
      <c r="C387" s="23">
        <f t="shared" ref="C387" si="82">B387/100</f>
        <v>1.3658000000000001</v>
      </c>
    </row>
    <row r="388" spans="1:3">
      <c r="A388" s="9">
        <v>43166</v>
      </c>
      <c r="B388" s="10">
        <v>144.9</v>
      </c>
      <c r="C388" s="23">
        <f t="shared" ref="C388" si="83">B388/100</f>
        <v>1.4490000000000001</v>
      </c>
    </row>
    <row r="389" spans="1:3">
      <c r="A389" s="9">
        <v>43167</v>
      </c>
      <c r="B389" s="10">
        <v>149.5</v>
      </c>
      <c r="C389" s="23">
        <f t="shared" ref="C389" si="84">B389/100</f>
        <v>1.4950000000000001</v>
      </c>
    </row>
    <row r="390" spans="1:3">
      <c r="A390" s="9">
        <v>43168</v>
      </c>
      <c r="B390" s="10">
        <v>145.93</v>
      </c>
      <c r="C390" s="23">
        <f t="shared" ref="C390" si="85">B390/100</f>
        <v>1.4593</v>
      </c>
    </row>
    <row r="391" spans="1:3">
      <c r="A391" s="9">
        <v>43169</v>
      </c>
      <c r="B391" s="10"/>
      <c r="C391" s="23"/>
    </row>
    <row r="392" spans="1:3">
      <c r="A392" s="9">
        <v>43170</v>
      </c>
      <c r="B392" s="10"/>
      <c r="C392" s="23"/>
    </row>
    <row r="393" spans="1:3">
      <c r="A393" s="9">
        <v>43171</v>
      </c>
      <c r="B393" s="10">
        <v>164.04</v>
      </c>
      <c r="C393" s="23">
        <f t="shared" ref="C393" si="86">B393/100</f>
        <v>1.6403999999999999</v>
      </c>
    </row>
    <row r="394" spans="1:3">
      <c r="A394" s="9">
        <v>43172</v>
      </c>
      <c r="B394" s="10">
        <v>173.75</v>
      </c>
      <c r="C394" s="23">
        <f t="shared" ref="C394" si="87">B394/100</f>
        <v>1.7375</v>
      </c>
    </row>
    <row r="395" spans="1:3">
      <c r="A395" s="9">
        <v>43173</v>
      </c>
      <c r="B395" s="10">
        <v>165.05</v>
      </c>
      <c r="C395" s="23">
        <f t="shared" ref="C395" si="88">B395/100</f>
        <v>1.6505000000000001</v>
      </c>
    </row>
    <row r="396" spans="1:3">
      <c r="A396" s="9">
        <v>43174</v>
      </c>
      <c r="B396" s="10">
        <v>161.13999999999999</v>
      </c>
      <c r="C396" s="23">
        <f t="shared" ref="C396" si="89">B396/100</f>
        <v>1.6113999999999999</v>
      </c>
    </row>
    <row r="397" spans="1:3">
      <c r="A397" s="9">
        <v>43175</v>
      </c>
      <c r="B397" s="10">
        <v>154.97</v>
      </c>
      <c r="C397" s="23">
        <f t="shared" ref="C397" si="90">B397/100</f>
        <v>1.5497000000000001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397"/>
  <sheetViews>
    <sheetView workbookViewId="0">
      <pane ySplit="3" topLeftCell="A392" activePane="bottomLeft" state="frozen"/>
      <selection pane="bottomLeft" activeCell="C404" sqref="C404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2" t="s">
        <v>40</v>
      </c>
      <c r="B2" s="153"/>
      <c r="C2" s="122"/>
      <c r="D2" s="122"/>
      <c r="E2" s="1">
        <v>3</v>
      </c>
      <c r="F2" s="1" t="s">
        <v>249</v>
      </c>
      <c r="G2" s="94" t="s">
        <v>250</v>
      </c>
    </row>
    <row r="3" spans="1:7" ht="16.2">
      <c r="A3" s="122"/>
      <c r="B3" s="153" t="s">
        <v>149</v>
      </c>
      <c r="C3" s="122"/>
      <c r="D3" s="122"/>
      <c r="G3" s="2" t="s">
        <v>251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4">
      <c r="A345" s="9">
        <v>43123</v>
      </c>
      <c r="B345" s="42">
        <v>29.402000000000001</v>
      </c>
      <c r="C345" s="50">
        <v>-0.03</v>
      </c>
      <c r="D345" s="23">
        <v>90.123999999999995</v>
      </c>
    </row>
    <row r="346" spans="1:4">
      <c r="A346" s="9">
        <v>43124</v>
      </c>
      <c r="B346" s="42">
        <v>29.302</v>
      </c>
      <c r="C346" s="50">
        <v>-0.1</v>
      </c>
      <c r="D346" s="23">
        <v>89.206000000000003</v>
      </c>
    </row>
    <row r="347" spans="1:4">
      <c r="A347" s="9">
        <v>43125</v>
      </c>
      <c r="B347" s="42">
        <v>29.068999999999999</v>
      </c>
      <c r="C347" s="50">
        <v>-0.23300000000000001</v>
      </c>
      <c r="D347" s="23">
        <v>89.391000000000005</v>
      </c>
    </row>
    <row r="348" spans="1:4">
      <c r="A348" s="9">
        <v>43126</v>
      </c>
      <c r="B348" s="42">
        <v>29.100999999999999</v>
      </c>
      <c r="C348" s="50">
        <v>3.2000000000000001E-2</v>
      </c>
      <c r="D348" s="23">
        <v>89.066999999999993</v>
      </c>
    </row>
    <row r="349" spans="1:4">
      <c r="A349" s="9">
        <v>43127</v>
      </c>
      <c r="B349" s="42"/>
      <c r="C349" s="50"/>
      <c r="D349" s="23"/>
    </row>
    <row r="350" spans="1:4">
      <c r="A350" s="9">
        <v>43128</v>
      </c>
      <c r="B350" s="42"/>
      <c r="C350" s="50"/>
      <c r="D350" s="23"/>
    </row>
    <row r="351" spans="1:4">
      <c r="A351" s="9">
        <v>43129</v>
      </c>
      <c r="B351" s="42">
        <v>29.15</v>
      </c>
      <c r="C351" s="50">
        <v>4.9000000000000002E-2</v>
      </c>
      <c r="D351" s="23">
        <v>89.308000000000007</v>
      </c>
    </row>
    <row r="352" spans="1:4">
      <c r="A352" s="9">
        <v>43130</v>
      </c>
      <c r="B352" s="42">
        <v>29.24</v>
      </c>
      <c r="C352" s="50">
        <v>8.9999999999999858E-2</v>
      </c>
      <c r="D352" s="23">
        <v>89.16</v>
      </c>
    </row>
    <row r="353" spans="1:4">
      <c r="A353" s="9">
        <v>43131</v>
      </c>
      <c r="B353" s="42">
        <v>29.15</v>
      </c>
      <c r="C353" s="50">
        <v>-0.09</v>
      </c>
      <c r="D353" s="23">
        <v>89.132999999999996</v>
      </c>
    </row>
    <row r="354" spans="1:4">
      <c r="A354" s="9">
        <v>43132</v>
      </c>
      <c r="B354" s="42">
        <v>29.207000000000001</v>
      </c>
      <c r="C354" s="50">
        <v>5.7000000000000002E-2</v>
      </c>
      <c r="D354" s="23">
        <v>88.671000000000006</v>
      </c>
    </row>
    <row r="355" spans="1:4">
      <c r="A355" s="9">
        <v>43133</v>
      </c>
      <c r="B355" s="42">
        <v>29.234999999999999</v>
      </c>
      <c r="C355" s="50">
        <v>2.8000000000000001E-2</v>
      </c>
      <c r="D355" s="23">
        <v>89.194999999999993</v>
      </c>
    </row>
    <row r="356" spans="1:4">
      <c r="A356" s="9">
        <v>43134</v>
      </c>
      <c r="B356" s="42"/>
      <c r="C356" s="50"/>
      <c r="D356" s="23"/>
    </row>
    <row r="357" spans="1:4">
      <c r="A357" s="9">
        <v>43135</v>
      </c>
      <c r="B357" s="42"/>
      <c r="C357" s="50"/>
      <c r="D357" s="23"/>
    </row>
    <row r="358" spans="1:4">
      <c r="A358" s="9">
        <v>43136</v>
      </c>
      <c r="B358" s="42">
        <v>29.306999999999999</v>
      </c>
      <c r="C358" s="50">
        <v>7.1999999999999995E-2</v>
      </c>
      <c r="D358" s="23"/>
    </row>
    <row r="359" spans="1:4">
      <c r="A359" s="9">
        <v>43137</v>
      </c>
      <c r="B359" s="42"/>
      <c r="C359" s="50"/>
      <c r="D359" s="23"/>
    </row>
    <row r="360" spans="1:4">
      <c r="A360" s="9">
        <v>43138</v>
      </c>
      <c r="B360" s="42"/>
      <c r="C360" s="50"/>
      <c r="D360" s="23"/>
    </row>
    <row r="361" spans="1:4">
      <c r="A361" s="9">
        <v>43139</v>
      </c>
      <c r="B361" s="42"/>
      <c r="C361" s="50"/>
      <c r="D361" s="23">
        <v>90.228999999999999</v>
      </c>
    </row>
    <row r="362" spans="1:4">
      <c r="A362" s="9">
        <v>43140</v>
      </c>
      <c r="B362" s="42">
        <v>29.407</v>
      </c>
      <c r="C362" s="50">
        <v>1.7000000000000001E-2</v>
      </c>
      <c r="D362" s="23"/>
    </row>
    <row r="363" spans="1:4">
      <c r="A363" s="9">
        <v>43141</v>
      </c>
      <c r="B363" s="42"/>
      <c r="C363" s="50"/>
      <c r="D363" s="23"/>
    </row>
    <row r="364" spans="1:4">
      <c r="A364" s="9">
        <v>43142</v>
      </c>
      <c r="B364" s="42"/>
      <c r="C364" s="50"/>
      <c r="D364" s="23"/>
    </row>
    <row r="365" spans="1:4">
      <c r="A365" s="9">
        <v>43143</v>
      </c>
      <c r="B365" s="42"/>
      <c r="C365" s="50"/>
      <c r="D365" s="23"/>
    </row>
    <row r="366" spans="1:4">
      <c r="A366" s="9">
        <v>43144</v>
      </c>
      <c r="B366" s="42"/>
      <c r="C366" s="50"/>
      <c r="D366" s="23"/>
    </row>
    <row r="367" spans="1:4">
      <c r="A367" s="9">
        <v>43145</v>
      </c>
      <c r="B367" s="42"/>
      <c r="C367" s="50"/>
      <c r="D367" s="23"/>
    </row>
    <row r="368" spans="1:4">
      <c r="A368" s="9">
        <v>43146</v>
      </c>
      <c r="B368" s="42"/>
      <c r="C368" s="50"/>
      <c r="D368" s="23"/>
    </row>
    <row r="369" spans="1:4">
      <c r="A369" s="9">
        <v>43147</v>
      </c>
      <c r="B369" s="42"/>
      <c r="C369" s="50"/>
      <c r="D369" s="23"/>
    </row>
    <row r="370" spans="1:4">
      <c r="A370" s="9">
        <v>43148</v>
      </c>
      <c r="B370" s="42"/>
      <c r="C370" s="50"/>
      <c r="D370" s="23"/>
    </row>
    <row r="371" spans="1:4">
      <c r="A371" s="9">
        <v>43149</v>
      </c>
      <c r="B371" s="42"/>
      <c r="C371" s="50"/>
      <c r="D371" s="23"/>
    </row>
    <row r="372" spans="1:4">
      <c r="A372" s="9">
        <v>43150</v>
      </c>
      <c r="B372" s="42"/>
      <c r="C372" s="50"/>
      <c r="D372" s="23"/>
    </row>
    <row r="373" spans="1:4">
      <c r="A373" s="9">
        <v>43151</v>
      </c>
      <c r="B373" s="42"/>
      <c r="C373" s="50"/>
      <c r="D373" s="23">
        <v>89.715999999999994</v>
      </c>
    </row>
    <row r="374" spans="1:4">
      <c r="A374" s="9">
        <v>43152</v>
      </c>
      <c r="B374" s="42">
        <v>29.245000000000001</v>
      </c>
      <c r="C374" s="50">
        <v>-9.7000000000000003E-2</v>
      </c>
      <c r="D374" s="23"/>
    </row>
    <row r="375" spans="1:4">
      <c r="A375" s="9">
        <v>43153</v>
      </c>
      <c r="B375" s="42"/>
      <c r="C375" s="50"/>
      <c r="D375" s="23">
        <v>89.736000000000004</v>
      </c>
    </row>
    <row r="376" spans="1:4">
      <c r="A376" s="9">
        <v>43154</v>
      </c>
      <c r="B376" s="42">
        <v>29.306000000000001</v>
      </c>
      <c r="C376" s="50">
        <v>5.0000000000000001E-3</v>
      </c>
      <c r="D376" s="23">
        <v>89.882999999999996</v>
      </c>
    </row>
    <row r="377" spans="1:4">
      <c r="A377" s="9">
        <v>43155</v>
      </c>
      <c r="B377" s="42"/>
      <c r="C377" s="50"/>
      <c r="D377" s="23"/>
    </row>
    <row r="378" spans="1:4">
      <c r="A378" s="9">
        <v>43156</v>
      </c>
      <c r="B378" s="42"/>
      <c r="C378" s="50"/>
      <c r="D378" s="23"/>
    </row>
    <row r="379" spans="1:4">
      <c r="A379" s="9">
        <v>43157</v>
      </c>
      <c r="B379" s="42">
        <v>29.234999999999999</v>
      </c>
      <c r="C379" s="50">
        <v>-7.0999999999999994E-2</v>
      </c>
      <c r="D379" s="23">
        <v>89.852999999999994</v>
      </c>
    </row>
    <row r="380" spans="1:4">
      <c r="A380" s="9">
        <v>43158</v>
      </c>
      <c r="B380" s="42">
        <v>29.23</v>
      </c>
      <c r="C380" s="50">
        <v>-5.0000000000000001E-3</v>
      </c>
      <c r="D380" s="23"/>
    </row>
    <row r="381" spans="1:4">
      <c r="A381" s="9">
        <v>43159</v>
      </c>
      <c r="B381" s="42"/>
      <c r="C381" s="50"/>
      <c r="D381" s="23">
        <v>90.613</v>
      </c>
    </row>
    <row r="382" spans="1:4">
      <c r="A382" s="9">
        <v>43160</v>
      </c>
      <c r="B382" s="42">
        <v>29.318000000000001</v>
      </c>
      <c r="C382" s="50">
        <v>8.7999999999999995E-2</v>
      </c>
      <c r="D382" s="23">
        <v>90.323999999999998</v>
      </c>
    </row>
    <row r="383" spans="1:4">
      <c r="A383" s="9">
        <v>43161</v>
      </c>
      <c r="B383" s="42">
        <v>29.29</v>
      </c>
      <c r="C383" s="50">
        <v>-2.8000000000000001E-2</v>
      </c>
      <c r="D383" s="23">
        <v>89.935000000000002</v>
      </c>
    </row>
    <row r="384" spans="1:4">
      <c r="A384" s="9">
        <v>43162</v>
      </c>
      <c r="B384" s="42"/>
      <c r="C384" s="50"/>
      <c r="D384" s="23"/>
    </row>
    <row r="385" spans="1:4">
      <c r="A385" s="9">
        <v>43163</v>
      </c>
      <c r="B385" s="42"/>
      <c r="C385" s="50"/>
      <c r="D385" s="23"/>
    </row>
    <row r="386" spans="1:4">
      <c r="A386" s="9">
        <v>43164</v>
      </c>
      <c r="B386" s="42">
        <v>29.292000000000002</v>
      </c>
      <c r="C386" s="50">
        <v>2E-3</v>
      </c>
      <c r="D386" s="23">
        <v>90.08</v>
      </c>
    </row>
    <row r="387" spans="1:4">
      <c r="A387" s="9">
        <v>43165</v>
      </c>
      <c r="B387" s="42">
        <v>29.286999999999999</v>
      </c>
      <c r="C387" s="50">
        <v>-5.0000000000000001E-3</v>
      </c>
      <c r="D387" s="23">
        <v>89.617999999999995</v>
      </c>
    </row>
    <row r="388" spans="1:4">
      <c r="A388" s="9">
        <v>43166</v>
      </c>
      <c r="B388" s="42">
        <v>29.254000000000001</v>
      </c>
      <c r="C388" s="50">
        <v>-3.3000000000000002E-2</v>
      </c>
      <c r="D388" s="23">
        <v>89.637</v>
      </c>
    </row>
    <row r="389" spans="1:4">
      <c r="A389" s="9">
        <v>43167</v>
      </c>
      <c r="B389" s="42">
        <v>29.260999999999999</v>
      </c>
      <c r="C389" s="50">
        <v>7.0000000000000001E-3</v>
      </c>
      <c r="D389" s="23">
        <v>90.179000000000002</v>
      </c>
    </row>
    <row r="390" spans="1:4">
      <c r="A390" s="9">
        <v>43168</v>
      </c>
      <c r="B390" s="42">
        <v>29.3</v>
      </c>
      <c r="C390" s="50">
        <v>3.9E-2</v>
      </c>
      <c r="D390" s="23">
        <v>90.093000000000004</v>
      </c>
    </row>
    <row r="391" spans="1:4">
      <c r="A391" s="9">
        <v>43169</v>
      </c>
      <c r="B391" s="42"/>
      <c r="C391" s="50"/>
      <c r="D391" s="23"/>
    </row>
    <row r="392" spans="1:4">
      <c r="A392" s="9">
        <v>43170</v>
      </c>
      <c r="B392" s="42"/>
      <c r="C392" s="50"/>
      <c r="D392" s="23"/>
    </row>
    <row r="393" spans="1:4">
      <c r="A393" s="9">
        <v>43171</v>
      </c>
      <c r="B393" s="42">
        <v>29.28</v>
      </c>
      <c r="C393" s="50">
        <v>-0.02</v>
      </c>
      <c r="D393" s="23">
        <v>89.894999999999996</v>
      </c>
    </row>
    <row r="394" spans="1:4">
      <c r="A394" s="9">
        <v>43172</v>
      </c>
      <c r="B394" s="42">
        <v>29.251999999999999</v>
      </c>
      <c r="C394" s="50">
        <v>-2.8000000000000001E-2</v>
      </c>
      <c r="D394" s="23">
        <v>89.664000000000001</v>
      </c>
    </row>
    <row r="395" spans="1:4">
      <c r="A395" s="9">
        <v>43173</v>
      </c>
      <c r="B395" s="42">
        <v>29.257000000000001</v>
      </c>
      <c r="C395" s="50">
        <v>5.0000000000000001E-3</v>
      </c>
      <c r="D395" s="23">
        <v>89.703999999999994</v>
      </c>
    </row>
    <row r="396" spans="1:4">
      <c r="A396" s="9">
        <v>43174</v>
      </c>
      <c r="B396" s="42">
        <v>29.2</v>
      </c>
      <c r="C396" s="50">
        <v>-5.7000000000000002E-2</v>
      </c>
      <c r="D396" s="23">
        <v>90.138999999999996</v>
      </c>
    </row>
    <row r="397" spans="1:4">
      <c r="A397" s="9">
        <v>43175</v>
      </c>
      <c r="B397" s="42">
        <v>29.231000000000002</v>
      </c>
      <c r="C397" s="50">
        <v>3.1E-2</v>
      </c>
      <c r="D397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399"/>
  <sheetViews>
    <sheetView zoomScale="85" zoomScaleNormal="85" workbookViewId="0">
      <pane xSplit="1" ySplit="4" topLeftCell="B382" activePane="bottomRight" state="frozen"/>
      <selection pane="topRight" activeCell="B1" sqref="B1"/>
      <selection pane="bottomLeft" activeCell="A5" sqref="A5"/>
      <selection pane="bottomRight" activeCell="J400" sqref="J400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441406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7" t="s">
        <v>58</v>
      </c>
      <c r="C1" s="154" t="s">
        <v>59</v>
      </c>
      <c r="D1" s="111"/>
      <c r="E1" s="111"/>
      <c r="F1" s="77"/>
      <c r="G1" s="80"/>
      <c r="H1" s="155" t="s">
        <v>62</v>
      </c>
      <c r="I1" s="156"/>
      <c r="J1" s="156"/>
      <c r="K1" s="17"/>
      <c r="L1" s="159" t="s">
        <v>64</v>
      </c>
    </row>
    <row r="2" spans="1:12" s="1" customFormat="1">
      <c r="A2" s="15"/>
      <c r="B2" s="158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60"/>
    </row>
    <row r="3" spans="1:12">
      <c r="A3" s="15" t="s">
        <v>40</v>
      </c>
      <c r="B3" s="161" t="s">
        <v>99</v>
      </c>
      <c r="C3" s="162"/>
      <c r="D3" s="162"/>
      <c r="E3" s="162"/>
      <c r="F3" s="162"/>
      <c r="G3" s="162"/>
      <c r="H3" s="162"/>
      <c r="I3" s="162"/>
      <c r="J3" s="162"/>
      <c r="K3" s="162"/>
      <c r="L3" s="163"/>
    </row>
    <row r="4" spans="1:12">
      <c r="A4" s="15" t="s">
        <v>40</v>
      </c>
      <c r="B4" s="161" t="s">
        <v>56</v>
      </c>
      <c r="C4" s="162"/>
      <c r="D4" s="162"/>
      <c r="E4" s="162"/>
      <c r="F4" s="162"/>
      <c r="G4" s="162"/>
      <c r="H4" s="162"/>
      <c r="I4" s="162"/>
      <c r="J4" s="162"/>
      <c r="K4" s="162"/>
      <c r="L4" s="163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  <row r="348" spans="1:12">
      <c r="A348" s="9">
        <v>43124</v>
      </c>
      <c r="B348" s="10">
        <v>45894</v>
      </c>
      <c r="C348" s="10">
        <v>15736</v>
      </c>
      <c r="D348" s="10">
        <v>289</v>
      </c>
      <c r="E348" s="10">
        <v>2780</v>
      </c>
      <c r="F348" s="87">
        <f t="shared" ref="F348" si="195">B348-SUM(C348:E348)</f>
        <v>27089</v>
      </c>
      <c r="G348" s="83"/>
      <c r="H348" s="85">
        <v>12261</v>
      </c>
      <c r="I348" s="10">
        <v>0</v>
      </c>
      <c r="J348" s="10">
        <v>1830</v>
      </c>
      <c r="K348" s="19">
        <f t="shared" ref="K348" si="196">B348-SUM(H348:J348)</f>
        <v>31803</v>
      </c>
      <c r="L348" s="20">
        <f t="shared" ref="L348" si="197">(F348-K348)/B348</f>
        <v>-0.10271495184555715</v>
      </c>
    </row>
    <row r="349" spans="1:12">
      <c r="A349" s="9">
        <v>43125</v>
      </c>
      <c r="B349" s="10">
        <v>47839</v>
      </c>
      <c r="C349" s="10">
        <v>16496</v>
      </c>
      <c r="D349" s="10">
        <v>289</v>
      </c>
      <c r="E349" s="10">
        <v>5121</v>
      </c>
      <c r="F349" s="87">
        <f t="shared" ref="F349" si="198">B349-SUM(C349:E349)</f>
        <v>25933</v>
      </c>
      <c r="G349" s="83"/>
      <c r="H349" s="85">
        <v>13337</v>
      </c>
      <c r="I349" s="10">
        <v>0</v>
      </c>
      <c r="J349" s="10">
        <v>1722</v>
      </c>
      <c r="K349" s="19">
        <f t="shared" ref="K349" si="199">B349-SUM(H349:J349)</f>
        <v>32780</v>
      </c>
      <c r="L349" s="20">
        <f t="shared" ref="L349" si="200">(F349-K349)/B349</f>
        <v>-0.14312590146115095</v>
      </c>
    </row>
    <row r="350" spans="1:12">
      <c r="A350" s="9">
        <v>43126</v>
      </c>
      <c r="B350" s="10">
        <v>45552</v>
      </c>
      <c r="C350" s="10">
        <v>15905</v>
      </c>
      <c r="D350" s="10">
        <v>289</v>
      </c>
      <c r="E350" s="10">
        <v>4953</v>
      </c>
      <c r="F350" s="87">
        <f t="shared" ref="F350" si="201">B350-SUM(C350:E350)</f>
        <v>24405</v>
      </c>
      <c r="G350" s="83"/>
      <c r="H350" s="85">
        <v>12540</v>
      </c>
      <c r="I350" s="10">
        <v>0</v>
      </c>
      <c r="J350" s="10">
        <v>629</v>
      </c>
      <c r="K350" s="19">
        <f t="shared" ref="K350" si="202">B350-SUM(H350:J350)</f>
        <v>32383</v>
      </c>
      <c r="L350" s="20">
        <f t="shared" ref="L350" si="203">(F350-K350)/B350</f>
        <v>-0.17514049877063576</v>
      </c>
    </row>
    <row r="351" spans="1:12">
      <c r="A351" s="9">
        <v>43127</v>
      </c>
      <c r="B351" s="10"/>
      <c r="C351" s="10"/>
      <c r="D351" s="10"/>
      <c r="E351" s="10"/>
      <c r="F351" s="87"/>
      <c r="G351" s="83"/>
      <c r="H351" s="85"/>
      <c r="I351" s="10"/>
      <c r="J351" s="10"/>
      <c r="K351" s="19"/>
      <c r="L351" s="20"/>
    </row>
    <row r="352" spans="1:12">
      <c r="A352" s="9">
        <v>43128</v>
      </c>
      <c r="B352" s="10"/>
      <c r="C352" s="10"/>
      <c r="D352" s="10"/>
      <c r="E352" s="10"/>
      <c r="F352" s="87"/>
      <c r="G352" s="83"/>
      <c r="H352" s="85"/>
      <c r="I352" s="10"/>
      <c r="J352" s="10"/>
      <c r="K352" s="19"/>
      <c r="L352" s="20"/>
    </row>
    <row r="353" spans="1:12">
      <c r="A353" s="9">
        <v>43129</v>
      </c>
      <c r="B353" s="10">
        <v>46620</v>
      </c>
      <c r="C353" s="10">
        <v>15710</v>
      </c>
      <c r="D353" s="10">
        <v>79</v>
      </c>
      <c r="E353" s="10">
        <v>5706</v>
      </c>
      <c r="F353" s="87">
        <f t="shared" ref="F353" si="204">B353-SUM(C353:E353)</f>
        <v>25125</v>
      </c>
      <c r="G353" s="83"/>
      <c r="H353" s="85">
        <v>12766</v>
      </c>
      <c r="I353" s="10">
        <v>0</v>
      </c>
      <c r="J353" s="10">
        <v>643</v>
      </c>
      <c r="K353" s="19">
        <f t="shared" ref="K353" si="205">B353-SUM(H353:J353)</f>
        <v>33211</v>
      </c>
      <c r="L353" s="20">
        <f t="shared" ref="L353" si="206">(F353-K353)/B353</f>
        <v>-0.17344487344487344</v>
      </c>
    </row>
    <row r="354" spans="1:12">
      <c r="A354" s="9">
        <v>43130</v>
      </c>
      <c r="B354" s="10">
        <v>47487</v>
      </c>
      <c r="C354" s="10">
        <v>13673</v>
      </c>
      <c r="D354" s="10">
        <v>79</v>
      </c>
      <c r="E354" s="10">
        <v>5738</v>
      </c>
      <c r="F354" s="87">
        <f t="shared" ref="F354:F355" si="207">B354-SUM(C354:E354)</f>
        <v>27997</v>
      </c>
      <c r="G354" s="83"/>
      <c r="H354" s="85">
        <v>13821</v>
      </c>
      <c r="I354" s="10">
        <v>0</v>
      </c>
      <c r="J354" s="10">
        <v>539</v>
      </c>
      <c r="K354" s="19">
        <f t="shared" ref="K354:K355" si="208">B354-SUM(H354:J354)</f>
        <v>33127</v>
      </c>
      <c r="L354" s="20">
        <f t="shared" ref="L354:L355" si="209">(F354-K354)/B354</f>
        <v>-0.10802956598648052</v>
      </c>
    </row>
    <row r="355" spans="1:12">
      <c r="A355" s="9">
        <v>43131</v>
      </c>
      <c r="B355" s="10">
        <v>48155</v>
      </c>
      <c r="C355" s="10">
        <v>14270</v>
      </c>
      <c r="D355" s="10">
        <v>79</v>
      </c>
      <c r="E355" s="10">
        <v>7003</v>
      </c>
      <c r="F355" s="87">
        <f t="shared" si="207"/>
        <v>26803</v>
      </c>
      <c r="G355" s="83"/>
      <c r="H355" s="85">
        <v>13831</v>
      </c>
      <c r="I355" s="10">
        <v>0</v>
      </c>
      <c r="J355" s="10">
        <v>1423</v>
      </c>
      <c r="K355" s="19">
        <f t="shared" si="208"/>
        <v>32901</v>
      </c>
      <c r="L355" s="20">
        <f t="shared" si="209"/>
        <v>-0.12663274841657149</v>
      </c>
    </row>
    <row r="356" spans="1:12">
      <c r="A356" s="9">
        <v>43132</v>
      </c>
      <c r="B356" s="10">
        <v>48077</v>
      </c>
      <c r="C356" s="10">
        <v>13341</v>
      </c>
      <c r="D356" s="10">
        <v>79</v>
      </c>
      <c r="E356" s="10">
        <v>5623</v>
      </c>
      <c r="F356" s="87">
        <f t="shared" ref="F356" si="210">B356-SUM(C356:E356)</f>
        <v>29034</v>
      </c>
      <c r="G356" s="83"/>
      <c r="H356" s="85">
        <v>12653</v>
      </c>
      <c r="I356" s="10">
        <v>0</v>
      </c>
      <c r="J356" s="10">
        <v>1530</v>
      </c>
      <c r="K356" s="19">
        <f t="shared" ref="K356" si="211">B356-SUM(H356:J356)</f>
        <v>33894</v>
      </c>
      <c r="L356" s="20">
        <f t="shared" ref="L356" si="212">(F356-K356)/B356</f>
        <v>-0.10108783825945879</v>
      </c>
    </row>
    <row r="357" spans="1:12">
      <c r="A357" s="9">
        <v>43133</v>
      </c>
      <c r="B357" s="10">
        <v>46377</v>
      </c>
      <c r="C357" s="10">
        <v>13567</v>
      </c>
      <c r="D357" s="10">
        <v>79</v>
      </c>
      <c r="E357" s="10">
        <v>3780</v>
      </c>
      <c r="F357" s="87">
        <f t="shared" ref="F357" si="213">B357-SUM(C357:E357)</f>
        <v>28951</v>
      </c>
      <c r="G357" s="83"/>
      <c r="H357" s="85">
        <v>13413</v>
      </c>
      <c r="I357" s="10">
        <v>0</v>
      </c>
      <c r="J357" s="10">
        <v>1216</v>
      </c>
      <c r="K357" s="19">
        <f t="shared" ref="K357" si="214">B357-SUM(H357:J357)</f>
        <v>31748</v>
      </c>
      <c r="L357" s="20">
        <f t="shared" ref="L357" si="215">(F357-K357)/B357</f>
        <v>-6.0310067490350817E-2</v>
      </c>
    </row>
    <row r="358" spans="1:12">
      <c r="A358" s="9">
        <v>43134</v>
      </c>
      <c r="B358" s="10"/>
      <c r="C358" s="10"/>
      <c r="D358" s="10"/>
      <c r="E358" s="10"/>
      <c r="F358" s="87"/>
      <c r="G358" s="83"/>
      <c r="H358" s="85"/>
      <c r="I358" s="10"/>
      <c r="J358" s="10"/>
      <c r="K358" s="19"/>
      <c r="L358" s="20"/>
    </row>
    <row r="359" spans="1:12">
      <c r="A359" s="9">
        <v>43135</v>
      </c>
      <c r="B359" s="10"/>
      <c r="C359" s="10"/>
      <c r="D359" s="10"/>
      <c r="E359" s="10"/>
      <c r="F359" s="87"/>
      <c r="G359" s="83"/>
      <c r="H359" s="85"/>
      <c r="I359" s="10"/>
      <c r="J359" s="10"/>
      <c r="K359" s="19"/>
      <c r="L359" s="20"/>
    </row>
    <row r="360" spans="1:12">
      <c r="A360" s="9">
        <v>43136</v>
      </c>
      <c r="B360" s="10">
        <v>43677</v>
      </c>
      <c r="C360" s="10">
        <v>13579</v>
      </c>
      <c r="D360" s="10">
        <v>79</v>
      </c>
      <c r="E360" s="10">
        <v>792</v>
      </c>
      <c r="F360" s="87">
        <f t="shared" ref="F360" si="216">B360-SUM(C360:E360)</f>
        <v>29227</v>
      </c>
      <c r="G360" s="83"/>
      <c r="H360" s="85">
        <v>14518</v>
      </c>
      <c r="I360" s="10">
        <v>0</v>
      </c>
      <c r="J360" s="10">
        <v>1387</v>
      </c>
      <c r="K360" s="19">
        <f t="shared" ref="K360" si="217">B360-SUM(H360:J360)</f>
        <v>27772</v>
      </c>
      <c r="L360" s="20">
        <f t="shared" ref="L360" si="218">(F360-K360)/B360</f>
        <v>3.331272752249468E-2</v>
      </c>
    </row>
    <row r="361" spans="1:12">
      <c r="A361" s="9">
        <v>43137</v>
      </c>
      <c r="B361" s="10">
        <v>47721</v>
      </c>
      <c r="C361" s="10">
        <v>17141</v>
      </c>
      <c r="D361" s="10">
        <v>79</v>
      </c>
      <c r="E361" s="10">
        <v>2771</v>
      </c>
      <c r="F361" s="87">
        <f t="shared" ref="F361:F364" si="219">B361-SUM(C361:E361)</f>
        <v>27730</v>
      </c>
      <c r="G361" s="83"/>
      <c r="H361" s="85">
        <v>21597</v>
      </c>
      <c r="I361" s="10">
        <v>0</v>
      </c>
      <c r="J361" s="10">
        <v>2603</v>
      </c>
      <c r="K361" s="19">
        <f t="shared" ref="K361:K364" si="220">B361-SUM(H361:J361)</f>
        <v>23521</v>
      </c>
      <c r="L361" s="20">
        <f t="shared" ref="L361:L364" si="221">(F361-K361)/B361</f>
        <v>8.8200163450053437E-2</v>
      </c>
    </row>
    <row r="362" spans="1:12">
      <c r="A362" s="9">
        <v>43138</v>
      </c>
      <c r="B362" s="10">
        <v>45301</v>
      </c>
      <c r="C362" s="10">
        <v>16842</v>
      </c>
      <c r="D362" s="10">
        <v>79</v>
      </c>
      <c r="E362" s="10">
        <v>1777</v>
      </c>
      <c r="F362" s="87">
        <f t="shared" si="219"/>
        <v>26603</v>
      </c>
      <c r="G362" s="83"/>
      <c r="H362" s="85">
        <v>19497</v>
      </c>
      <c r="I362" s="10">
        <v>0</v>
      </c>
      <c r="J362" s="10">
        <v>1130</v>
      </c>
      <c r="K362" s="19">
        <f t="shared" si="220"/>
        <v>24674</v>
      </c>
      <c r="L362" s="20">
        <f t="shared" si="221"/>
        <v>4.2581841460453414E-2</v>
      </c>
    </row>
    <row r="363" spans="1:12">
      <c r="A363" s="9">
        <v>43139</v>
      </c>
      <c r="B363" s="10">
        <v>44285</v>
      </c>
      <c r="C363" s="10">
        <v>15181</v>
      </c>
      <c r="D363" s="10">
        <v>79</v>
      </c>
      <c r="E363" s="10">
        <v>2354</v>
      </c>
      <c r="F363" s="87">
        <f t="shared" si="219"/>
        <v>26671</v>
      </c>
      <c r="G363" s="83"/>
      <c r="H363" s="85">
        <v>19364</v>
      </c>
      <c r="I363" s="10">
        <v>0</v>
      </c>
      <c r="J363" s="10">
        <v>1779</v>
      </c>
      <c r="K363" s="19">
        <f t="shared" si="220"/>
        <v>23142</v>
      </c>
      <c r="L363" s="20">
        <f t="shared" si="221"/>
        <v>7.9688382070678562E-2</v>
      </c>
    </row>
    <row r="364" spans="1:12">
      <c r="A364" s="9">
        <v>43140</v>
      </c>
      <c r="B364" s="10">
        <v>42945</v>
      </c>
      <c r="C364" s="10">
        <v>14635</v>
      </c>
      <c r="D364" s="10">
        <v>79</v>
      </c>
      <c r="E364" s="10">
        <v>1288</v>
      </c>
      <c r="F364" s="87">
        <f t="shared" si="219"/>
        <v>26943</v>
      </c>
      <c r="G364" s="83"/>
      <c r="H364" s="85">
        <v>21267</v>
      </c>
      <c r="I364" s="10">
        <v>0</v>
      </c>
      <c r="J364" s="10">
        <v>1327</v>
      </c>
      <c r="K364" s="19">
        <f t="shared" si="220"/>
        <v>20351</v>
      </c>
      <c r="L364" s="20">
        <f t="shared" si="221"/>
        <v>0.15349866107812318</v>
      </c>
    </row>
    <row r="365" spans="1:12">
      <c r="A365" s="9">
        <v>43141</v>
      </c>
      <c r="B365" s="10"/>
      <c r="C365" s="10"/>
      <c r="D365" s="10"/>
      <c r="E365" s="10"/>
      <c r="F365" s="87"/>
      <c r="G365" s="83"/>
      <c r="H365" s="85"/>
      <c r="I365" s="10"/>
      <c r="J365" s="10"/>
      <c r="K365" s="19"/>
      <c r="L365" s="20"/>
    </row>
    <row r="366" spans="1:12">
      <c r="A366" s="9">
        <v>43142</v>
      </c>
      <c r="B366" s="10"/>
      <c r="C366" s="10"/>
      <c r="D366" s="10"/>
      <c r="E366" s="10"/>
      <c r="F366" s="87"/>
      <c r="G366" s="83"/>
      <c r="H366" s="85"/>
      <c r="I366" s="10"/>
      <c r="J366" s="10"/>
      <c r="K366" s="19"/>
      <c r="L366" s="20"/>
    </row>
    <row r="367" spans="1:12">
      <c r="A367" s="9">
        <v>43143</v>
      </c>
      <c r="B367" s="10">
        <v>40035</v>
      </c>
      <c r="C367" s="10">
        <v>14775</v>
      </c>
      <c r="D367" s="10">
        <v>77</v>
      </c>
      <c r="E367" s="10">
        <v>1501</v>
      </c>
      <c r="F367" s="87">
        <f t="shared" ref="F367:F376" si="222">B367-SUM(C367:E367)</f>
        <v>23682</v>
      </c>
      <c r="G367" s="83"/>
      <c r="H367" s="85">
        <v>20186</v>
      </c>
      <c r="I367" s="10">
        <v>0</v>
      </c>
      <c r="J367" s="10">
        <v>2206</v>
      </c>
      <c r="K367" s="19">
        <f t="shared" ref="K367:K376" si="223">B367-SUM(H367:J367)</f>
        <v>17643</v>
      </c>
      <c r="L367" s="20">
        <f t="shared" ref="L367:L376" si="224">(F367-K367)/B367</f>
        <v>0.15084301236418135</v>
      </c>
    </row>
    <row r="368" spans="1:12">
      <c r="A368" s="9">
        <v>43144</v>
      </c>
      <c r="B368" s="10"/>
      <c r="C368" s="10"/>
      <c r="D368" s="10"/>
      <c r="E368" s="10"/>
      <c r="F368" s="87"/>
      <c r="G368" s="83"/>
      <c r="H368" s="85"/>
      <c r="I368" s="10"/>
      <c r="J368" s="10"/>
      <c r="K368" s="19"/>
      <c r="L368" s="20"/>
    </row>
    <row r="369" spans="1:12">
      <c r="A369" s="9">
        <v>43145</v>
      </c>
      <c r="B369" s="10"/>
      <c r="C369" s="10"/>
      <c r="D369" s="10"/>
      <c r="E369" s="10"/>
      <c r="F369" s="87"/>
      <c r="G369" s="83"/>
      <c r="H369" s="85"/>
      <c r="I369" s="10"/>
      <c r="J369" s="10"/>
      <c r="K369" s="19"/>
      <c r="L369" s="20"/>
    </row>
    <row r="370" spans="1:12">
      <c r="A370" s="9">
        <v>43146</v>
      </c>
      <c r="B370" s="10"/>
      <c r="C370" s="10"/>
      <c r="D370" s="10"/>
      <c r="E370" s="10"/>
      <c r="F370" s="87"/>
      <c r="G370" s="83"/>
      <c r="H370" s="85"/>
      <c r="I370" s="10"/>
      <c r="J370" s="10"/>
      <c r="K370" s="19"/>
      <c r="L370" s="20"/>
    </row>
    <row r="371" spans="1:12">
      <c r="A371" s="9">
        <v>43147</v>
      </c>
      <c r="B371" s="10"/>
      <c r="C371" s="10"/>
      <c r="D371" s="10"/>
      <c r="E371" s="10"/>
      <c r="F371" s="87"/>
      <c r="G371" s="83"/>
      <c r="H371" s="85"/>
      <c r="I371" s="10"/>
      <c r="J371" s="10"/>
      <c r="K371" s="19"/>
      <c r="L371" s="20"/>
    </row>
    <row r="372" spans="1:12">
      <c r="A372" s="9">
        <v>43148</v>
      </c>
      <c r="B372" s="10"/>
      <c r="C372" s="10"/>
      <c r="D372" s="10"/>
      <c r="E372" s="10"/>
      <c r="F372" s="87"/>
      <c r="G372" s="83"/>
      <c r="H372" s="85"/>
      <c r="I372" s="10"/>
      <c r="J372" s="10"/>
      <c r="K372" s="19"/>
      <c r="L372" s="20"/>
    </row>
    <row r="373" spans="1:12">
      <c r="A373" s="9">
        <v>43149</v>
      </c>
      <c r="B373" s="10"/>
      <c r="C373" s="10"/>
      <c r="D373" s="10"/>
      <c r="E373" s="10"/>
      <c r="F373" s="87"/>
      <c r="G373" s="83"/>
      <c r="H373" s="85"/>
      <c r="I373" s="10"/>
      <c r="J373" s="10"/>
      <c r="K373" s="19"/>
      <c r="L373" s="20"/>
    </row>
    <row r="374" spans="1:12">
      <c r="A374" s="9">
        <v>43150</v>
      </c>
      <c r="B374" s="10"/>
      <c r="C374" s="10"/>
      <c r="D374" s="10"/>
      <c r="E374" s="10"/>
      <c r="F374" s="87"/>
      <c r="G374" s="83"/>
      <c r="H374" s="85"/>
      <c r="I374" s="10"/>
      <c r="J374" s="10"/>
      <c r="K374" s="19"/>
      <c r="L374" s="20"/>
    </row>
    <row r="375" spans="1:12">
      <c r="A375" s="9">
        <v>43151</v>
      </c>
      <c r="B375" s="10"/>
      <c r="C375" s="10"/>
      <c r="D375" s="10"/>
      <c r="E375" s="10"/>
      <c r="F375" s="87"/>
      <c r="G375" s="83"/>
      <c r="H375" s="85"/>
      <c r="I375" s="10"/>
      <c r="J375" s="10"/>
      <c r="K375" s="19"/>
      <c r="L375" s="20"/>
    </row>
    <row r="376" spans="1:12">
      <c r="A376" s="9">
        <v>43152</v>
      </c>
      <c r="B376" s="10">
        <v>42004</v>
      </c>
      <c r="C376" s="10">
        <v>11314</v>
      </c>
      <c r="D376" s="10">
        <v>287</v>
      </c>
      <c r="E376" s="10">
        <v>2972</v>
      </c>
      <c r="F376" s="87">
        <f t="shared" si="222"/>
        <v>27431</v>
      </c>
      <c r="G376" s="83"/>
      <c r="H376" s="85">
        <v>12028</v>
      </c>
      <c r="I376" s="10">
        <v>40</v>
      </c>
      <c r="J376" s="10">
        <v>937</v>
      </c>
      <c r="K376" s="19">
        <f t="shared" si="223"/>
        <v>28999</v>
      </c>
      <c r="L376" s="20">
        <f t="shared" si="224"/>
        <v>-3.7329778116369866E-2</v>
      </c>
    </row>
    <row r="377" spans="1:12">
      <c r="A377" s="9">
        <v>43153</v>
      </c>
      <c r="B377" s="10">
        <v>33906</v>
      </c>
      <c r="C377" s="10">
        <v>10045</v>
      </c>
      <c r="D377" s="10">
        <v>287</v>
      </c>
      <c r="E377" s="10">
        <v>134</v>
      </c>
      <c r="F377" s="87">
        <f t="shared" ref="F377:F378" si="225">B377-SUM(C377:E377)</f>
        <v>23440</v>
      </c>
      <c r="G377" s="83"/>
      <c r="H377" s="85">
        <v>12579</v>
      </c>
      <c r="I377" s="10">
        <v>40</v>
      </c>
      <c r="J377" s="10">
        <v>3095</v>
      </c>
      <c r="K377" s="19">
        <f t="shared" ref="K377:K378" si="226">B377-SUM(H377:J377)</f>
        <v>18192</v>
      </c>
      <c r="L377" s="20">
        <f t="shared" ref="L377:L378" si="227">(F377-K377)/B377</f>
        <v>0.15478086474370317</v>
      </c>
    </row>
    <row r="378" spans="1:12">
      <c r="A378" s="9">
        <v>43154</v>
      </c>
      <c r="B378" s="10">
        <v>40833</v>
      </c>
      <c r="C378" s="10">
        <v>11471</v>
      </c>
      <c r="D378" s="10">
        <v>287</v>
      </c>
      <c r="E378" s="10">
        <v>2184</v>
      </c>
      <c r="F378" s="87">
        <f t="shared" si="225"/>
        <v>26891</v>
      </c>
      <c r="G378" s="83"/>
      <c r="H378" s="85">
        <v>12706</v>
      </c>
      <c r="I378" s="10">
        <v>40</v>
      </c>
      <c r="J378" s="10">
        <v>1618</v>
      </c>
      <c r="K378" s="19">
        <f t="shared" si="226"/>
        <v>26469</v>
      </c>
      <c r="L378" s="20">
        <f t="shared" si="227"/>
        <v>1.0334778243087699E-2</v>
      </c>
    </row>
    <row r="379" spans="1:12">
      <c r="A379" s="9">
        <v>43155</v>
      </c>
      <c r="B379" s="10"/>
      <c r="C379" s="10"/>
      <c r="D379" s="10"/>
      <c r="E379" s="10"/>
      <c r="F379" s="87"/>
      <c r="G379" s="83"/>
      <c r="H379" s="85"/>
      <c r="I379" s="10"/>
      <c r="J379" s="10"/>
      <c r="K379" s="19"/>
      <c r="L379" s="20"/>
    </row>
    <row r="380" spans="1:12">
      <c r="A380" s="9">
        <v>43156</v>
      </c>
      <c r="B380" s="10"/>
      <c r="C380" s="10"/>
      <c r="D380" s="10"/>
      <c r="E380" s="10"/>
      <c r="F380" s="87"/>
      <c r="G380" s="83"/>
      <c r="H380" s="85"/>
      <c r="I380" s="10"/>
      <c r="J380" s="10"/>
      <c r="K380" s="19"/>
      <c r="L380" s="20"/>
    </row>
    <row r="381" spans="1:12">
      <c r="A381" s="9">
        <v>43157</v>
      </c>
      <c r="B381" s="10">
        <v>40264</v>
      </c>
      <c r="C381" s="10">
        <v>11166</v>
      </c>
      <c r="D381" s="10">
        <v>287</v>
      </c>
      <c r="E381" s="10">
        <v>287</v>
      </c>
      <c r="F381" s="87">
        <f t="shared" ref="F381" si="228">B381-SUM(C381:E381)</f>
        <v>28524</v>
      </c>
      <c r="G381" s="83"/>
      <c r="H381" s="85">
        <v>12858</v>
      </c>
      <c r="I381" s="10">
        <v>40</v>
      </c>
      <c r="J381" s="10">
        <v>1980</v>
      </c>
      <c r="K381" s="19">
        <f t="shared" ref="K381" si="229">B381-SUM(H381:J381)</f>
        <v>25386</v>
      </c>
      <c r="L381" s="20">
        <f t="shared" ref="L381" si="230">(F381-K381)/B381</f>
        <v>7.7935624875819592E-2</v>
      </c>
    </row>
    <row r="382" spans="1:12">
      <c r="A382" s="9">
        <v>43158</v>
      </c>
      <c r="B382" s="10">
        <v>41102</v>
      </c>
      <c r="C382" s="10">
        <v>10970</v>
      </c>
      <c r="D382" s="10">
        <v>288</v>
      </c>
      <c r="E382" s="10">
        <v>1249</v>
      </c>
      <c r="F382" s="87">
        <f t="shared" ref="F382" si="231">B382-SUM(C382:E382)</f>
        <v>28595</v>
      </c>
      <c r="G382" s="83"/>
      <c r="H382" s="85">
        <v>13242</v>
      </c>
      <c r="I382" s="10">
        <v>40</v>
      </c>
      <c r="J382" s="10">
        <v>2243</v>
      </c>
      <c r="K382" s="19">
        <f t="shared" ref="K382" si="232">B382-SUM(H382:J382)</f>
        <v>25577</v>
      </c>
      <c r="L382" s="20">
        <f t="shared" ref="L382" si="233">(F382-K382)/B382</f>
        <v>7.3427083840202426E-2</v>
      </c>
    </row>
    <row r="383" spans="1:12">
      <c r="A383" s="9">
        <v>43159</v>
      </c>
      <c r="B383" s="10"/>
      <c r="C383" s="10"/>
      <c r="D383" s="10"/>
      <c r="E383" s="10"/>
      <c r="F383" s="87"/>
      <c r="G383" s="83"/>
      <c r="H383" s="85"/>
      <c r="I383" s="10"/>
      <c r="J383" s="10"/>
      <c r="K383" s="19"/>
      <c r="L383" s="20"/>
    </row>
    <row r="384" spans="1:12">
      <c r="A384" s="9">
        <v>43160</v>
      </c>
      <c r="B384" s="10">
        <v>41840</v>
      </c>
      <c r="C384" s="10">
        <v>11631</v>
      </c>
      <c r="D384" s="10">
        <v>288</v>
      </c>
      <c r="E384" s="10">
        <v>806</v>
      </c>
      <c r="F384" s="87">
        <f t="shared" ref="F384" si="234">B384-SUM(C384:E384)</f>
        <v>29115</v>
      </c>
      <c r="G384" s="83"/>
      <c r="H384" s="85">
        <v>13464</v>
      </c>
      <c r="I384" s="10">
        <v>40</v>
      </c>
      <c r="J384" s="10">
        <v>1139</v>
      </c>
      <c r="K384" s="19">
        <f t="shared" ref="K384" si="235">B384-SUM(H384:J384)</f>
        <v>27197</v>
      </c>
      <c r="L384" s="20">
        <f t="shared" ref="L384" si="236">(F384-K384)/B384</f>
        <v>4.5841300191204588E-2</v>
      </c>
    </row>
    <row r="385" spans="1:12">
      <c r="A385" s="9">
        <v>43161</v>
      </c>
      <c r="B385" s="10">
        <v>40901</v>
      </c>
      <c r="C385" s="10">
        <v>12031</v>
      </c>
      <c r="D385" s="10">
        <v>288</v>
      </c>
      <c r="E385" s="10">
        <v>792</v>
      </c>
      <c r="F385" s="87">
        <f t="shared" ref="F385" si="237">B385-SUM(C385:E385)</f>
        <v>27790</v>
      </c>
      <c r="G385" s="83"/>
      <c r="H385" s="85">
        <v>13632</v>
      </c>
      <c r="I385" s="10">
        <v>40</v>
      </c>
      <c r="J385" s="10">
        <v>1482</v>
      </c>
      <c r="K385" s="19">
        <f t="shared" ref="K385" si="238">B385-SUM(H385:J385)</f>
        <v>25747</v>
      </c>
      <c r="L385" s="20">
        <f t="shared" ref="L385" si="239">(F385-K385)/B385</f>
        <v>4.9949878976064156E-2</v>
      </c>
    </row>
    <row r="386" spans="1:12">
      <c r="A386" s="9">
        <v>43162</v>
      </c>
      <c r="B386" s="10"/>
      <c r="C386" s="10"/>
      <c r="D386" s="10"/>
      <c r="E386" s="10"/>
      <c r="F386" s="87"/>
      <c r="G386" s="83"/>
      <c r="H386" s="85"/>
      <c r="I386" s="10"/>
      <c r="J386" s="10"/>
      <c r="K386" s="19"/>
      <c r="L386" s="20"/>
    </row>
    <row r="387" spans="1:12">
      <c r="A387" s="9">
        <v>43163</v>
      </c>
      <c r="B387" s="10"/>
      <c r="C387" s="10"/>
      <c r="D387" s="10"/>
      <c r="E387" s="10"/>
      <c r="F387" s="87"/>
      <c r="G387" s="83"/>
      <c r="H387" s="85"/>
      <c r="I387" s="10"/>
      <c r="J387" s="10"/>
      <c r="K387" s="19"/>
      <c r="L387" s="20"/>
    </row>
    <row r="388" spans="1:12">
      <c r="A388" s="9">
        <v>43164</v>
      </c>
      <c r="B388" s="10">
        <v>42785</v>
      </c>
      <c r="C388" s="10">
        <v>11678</v>
      </c>
      <c r="D388" s="10">
        <v>288</v>
      </c>
      <c r="E388" s="10">
        <v>625</v>
      </c>
      <c r="F388" s="87">
        <f t="shared" ref="F388" si="240">B388-SUM(C388:E388)</f>
        <v>30194</v>
      </c>
      <c r="G388" s="83"/>
      <c r="H388" s="85">
        <v>14261</v>
      </c>
      <c r="I388" s="10">
        <v>40</v>
      </c>
      <c r="J388" s="10">
        <v>3392</v>
      </c>
      <c r="K388" s="19">
        <f t="shared" ref="K388" si="241">B388-SUM(H388:J388)</f>
        <v>25092</v>
      </c>
      <c r="L388" s="20">
        <f t="shared" ref="L388" si="242">(F388-K388)/B388</f>
        <v>0.11924739978964591</v>
      </c>
    </row>
    <row r="389" spans="1:12">
      <c r="A389" s="9">
        <v>43165</v>
      </c>
      <c r="B389" s="10">
        <v>44724</v>
      </c>
      <c r="C389" s="10">
        <v>13804</v>
      </c>
      <c r="D389" s="10">
        <v>288</v>
      </c>
      <c r="E389" s="10">
        <v>2087</v>
      </c>
      <c r="F389" s="87">
        <f t="shared" ref="F389" si="243">B389-SUM(C389:E389)</f>
        <v>28545</v>
      </c>
      <c r="G389" s="83"/>
      <c r="H389" s="85">
        <v>14679</v>
      </c>
      <c r="I389" s="10">
        <v>40</v>
      </c>
      <c r="J389" s="10">
        <v>993</v>
      </c>
      <c r="K389" s="19">
        <f t="shared" ref="K389" si="244">B389-SUM(H389:J389)</f>
        <v>29012</v>
      </c>
      <c r="L389" s="20">
        <f t="shared" ref="L389" si="245">(F389-K389)/B389</f>
        <v>-1.04418209462481E-2</v>
      </c>
    </row>
    <row r="390" spans="1:12">
      <c r="A390" s="9">
        <v>43166</v>
      </c>
      <c r="B390" s="10">
        <v>43248</v>
      </c>
      <c r="C390" s="10">
        <v>12359</v>
      </c>
      <c r="D390" s="10">
        <v>288</v>
      </c>
      <c r="E390" s="10">
        <v>824</v>
      </c>
      <c r="F390" s="87">
        <f t="shared" ref="F390" si="246">B390-SUM(C390:E390)</f>
        <v>29777</v>
      </c>
      <c r="G390" s="83"/>
      <c r="H390" s="85">
        <v>15311</v>
      </c>
      <c r="I390" s="10">
        <v>40</v>
      </c>
      <c r="J390" s="10">
        <v>1682</v>
      </c>
      <c r="K390" s="19">
        <f t="shared" ref="K390" si="247">B390-SUM(H390:J390)</f>
        <v>26215</v>
      </c>
      <c r="L390" s="20">
        <f t="shared" ref="L390" si="248">(F390-K390)/B390</f>
        <v>8.2362190159082499E-2</v>
      </c>
    </row>
    <row r="391" spans="1:12">
      <c r="A391" s="9">
        <v>43167</v>
      </c>
      <c r="B391" s="10">
        <v>49688</v>
      </c>
      <c r="C391" s="10">
        <v>14511</v>
      </c>
      <c r="D391" s="10">
        <v>288</v>
      </c>
      <c r="E391" s="10">
        <v>5985</v>
      </c>
      <c r="F391" s="87">
        <f t="shared" ref="F391" si="249">B391-SUM(C391:E391)</f>
        <v>28904</v>
      </c>
      <c r="G391" s="83"/>
      <c r="H391" s="85">
        <v>16492</v>
      </c>
      <c r="I391" s="10">
        <v>40</v>
      </c>
      <c r="J391" s="10">
        <v>891</v>
      </c>
      <c r="K391" s="19">
        <f t="shared" ref="K391" si="250">B391-SUM(H391:J391)</f>
        <v>32265</v>
      </c>
      <c r="L391" s="20">
        <f t="shared" ref="L391" si="251">(F391-K391)/B391</f>
        <v>-6.7642086620511993E-2</v>
      </c>
    </row>
    <row r="392" spans="1:12">
      <c r="A392" s="9">
        <v>43168</v>
      </c>
      <c r="B392" s="10">
        <v>48178</v>
      </c>
      <c r="C392" s="10">
        <v>15579</v>
      </c>
      <c r="D392" s="10">
        <v>288</v>
      </c>
      <c r="E392" s="10">
        <v>4937</v>
      </c>
      <c r="F392" s="87">
        <f t="shared" ref="F392" si="252">B392-SUM(C392:E392)</f>
        <v>27374</v>
      </c>
      <c r="G392" s="83"/>
      <c r="H392" s="85">
        <v>16534</v>
      </c>
      <c r="I392" s="10">
        <v>40</v>
      </c>
      <c r="J392" s="10">
        <v>915</v>
      </c>
      <c r="K392" s="19">
        <f t="shared" ref="K392" si="253">B392-SUM(H392:J392)</f>
        <v>30689</v>
      </c>
      <c r="L392" s="20">
        <f t="shared" ref="L392" si="254">(F392-K392)/B392</f>
        <v>-6.8807339449541288E-2</v>
      </c>
    </row>
    <row r="393" spans="1:12">
      <c r="A393" s="9">
        <v>43169</v>
      </c>
      <c r="B393" s="10"/>
      <c r="C393" s="10"/>
      <c r="D393" s="10"/>
      <c r="E393" s="10"/>
      <c r="F393" s="87"/>
      <c r="G393" s="83"/>
      <c r="H393" s="85"/>
      <c r="I393" s="10"/>
      <c r="J393" s="10"/>
      <c r="K393" s="19"/>
      <c r="L393" s="20"/>
    </row>
    <row r="394" spans="1:12">
      <c r="A394" s="9">
        <v>43170</v>
      </c>
      <c r="B394" s="10"/>
      <c r="C394" s="10"/>
      <c r="D394" s="10"/>
      <c r="E394" s="10"/>
      <c r="F394" s="87"/>
      <c r="G394" s="83"/>
      <c r="H394" s="85"/>
      <c r="I394" s="10"/>
      <c r="J394" s="10"/>
      <c r="K394" s="19"/>
      <c r="L394" s="20"/>
    </row>
    <row r="395" spans="1:12">
      <c r="A395" s="9">
        <v>43171</v>
      </c>
      <c r="B395" s="10">
        <v>55840</v>
      </c>
      <c r="C395" s="10">
        <v>19896</v>
      </c>
      <c r="D395" s="10">
        <v>288</v>
      </c>
      <c r="E395" s="10">
        <v>7711</v>
      </c>
      <c r="F395" s="87">
        <f t="shared" ref="F395" si="255">B395-SUM(C395:E395)</f>
        <v>27945</v>
      </c>
      <c r="G395" s="83"/>
      <c r="H395" s="85">
        <v>18715</v>
      </c>
      <c r="I395" s="10">
        <v>40</v>
      </c>
      <c r="J395" s="10">
        <v>875</v>
      </c>
      <c r="K395" s="19">
        <f t="shared" ref="K395" si="256">B395-SUM(H395:J395)</f>
        <v>36210</v>
      </c>
      <c r="L395" s="20">
        <f t="shared" ref="L395" si="257">(F395-K395)/B395</f>
        <v>-0.14801217765042979</v>
      </c>
    </row>
    <row r="396" spans="1:12">
      <c r="A396" s="9">
        <v>43172</v>
      </c>
      <c r="B396" s="10">
        <v>60536</v>
      </c>
      <c r="C396" s="10">
        <v>22126</v>
      </c>
      <c r="D396" s="10">
        <v>288</v>
      </c>
      <c r="E396" s="10">
        <v>9761</v>
      </c>
      <c r="F396" s="87">
        <f t="shared" ref="F396" si="258">B396-SUM(C396:E396)</f>
        <v>28361</v>
      </c>
      <c r="G396" s="83"/>
      <c r="H396" s="85">
        <v>20874</v>
      </c>
      <c r="I396" s="10">
        <v>40</v>
      </c>
      <c r="J396" s="10">
        <v>993</v>
      </c>
      <c r="K396" s="19">
        <f t="shared" ref="K396" si="259">B396-SUM(H396:J396)</f>
        <v>38629</v>
      </c>
      <c r="L396" s="20">
        <f t="shared" ref="L396" si="260">(F396-K396)/B396</f>
        <v>-0.16961807849874455</v>
      </c>
    </row>
    <row r="397" spans="1:12">
      <c r="A397" s="9">
        <v>43173</v>
      </c>
      <c r="B397" s="10">
        <v>55839</v>
      </c>
      <c r="C397" s="10">
        <v>21869</v>
      </c>
      <c r="D397" s="10">
        <v>288</v>
      </c>
      <c r="E397" s="10">
        <v>6956</v>
      </c>
      <c r="F397" s="87">
        <f t="shared" ref="F397" si="261">B397-SUM(C397:E397)</f>
        <v>26726</v>
      </c>
      <c r="G397" s="83"/>
      <c r="H397" s="85">
        <v>20381</v>
      </c>
      <c r="I397" s="10">
        <v>40</v>
      </c>
      <c r="J397" s="10">
        <v>1376</v>
      </c>
      <c r="K397" s="19">
        <f t="shared" ref="K397" si="262">B397-SUM(H397:J397)</f>
        <v>34042</v>
      </c>
      <c r="L397" s="20">
        <f t="shared" ref="L397" si="263">(F397-K397)/B397</f>
        <v>-0.13101953831551424</v>
      </c>
    </row>
    <row r="398" spans="1:12">
      <c r="A398" s="9">
        <v>43174</v>
      </c>
      <c r="B398" s="10">
        <v>59430</v>
      </c>
      <c r="C398" s="10">
        <v>23869</v>
      </c>
      <c r="D398" s="10">
        <v>288</v>
      </c>
      <c r="E398" s="10">
        <v>8647</v>
      </c>
      <c r="F398" s="87">
        <f t="shared" ref="F398" si="264">B398-SUM(C398:E398)</f>
        <v>26626</v>
      </c>
      <c r="G398" s="83"/>
      <c r="H398" s="85">
        <v>22061</v>
      </c>
      <c r="I398" s="10">
        <v>40</v>
      </c>
      <c r="J398" s="10">
        <v>1724</v>
      </c>
      <c r="K398" s="19">
        <f t="shared" ref="K398" si="265">B398-SUM(H398:J398)</f>
        <v>35605</v>
      </c>
      <c r="L398" s="20">
        <f t="shared" ref="L398" si="266">(F398-K398)/B398</f>
        <v>-0.15108531044926804</v>
      </c>
    </row>
    <row r="399" spans="1:12">
      <c r="A399" s="9">
        <v>43175</v>
      </c>
      <c r="B399" s="10">
        <v>54974</v>
      </c>
      <c r="C399" s="10">
        <v>23107</v>
      </c>
      <c r="D399" s="10">
        <v>48</v>
      </c>
      <c r="E399" s="10">
        <v>6724</v>
      </c>
      <c r="F399" s="87">
        <f t="shared" ref="F399" si="267">B399-SUM(C399:E399)</f>
        <v>25095</v>
      </c>
      <c r="G399" s="83"/>
      <c r="H399" s="85">
        <v>21678</v>
      </c>
      <c r="I399" s="10">
        <v>220</v>
      </c>
      <c r="J399" s="10">
        <v>2052</v>
      </c>
      <c r="K399" s="19">
        <f t="shared" ref="K399" si="268">B399-SUM(H399:J399)</f>
        <v>31024</v>
      </c>
      <c r="L399" s="20">
        <f t="shared" ref="L399" si="269">(F399-K399)/B399</f>
        <v>-0.10785098410157529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396"/>
  <sheetViews>
    <sheetView zoomScaleNormal="100" workbookViewId="0">
      <pane ySplit="3" topLeftCell="A388" activePane="bottomLeft" state="frozen"/>
      <selection pane="bottomLeft" activeCell="H400" sqref="H400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4" t="s">
        <v>84</v>
      </c>
      <c r="C1" s="165"/>
      <c r="D1" s="166"/>
      <c r="E1" s="164" t="s">
        <v>85</v>
      </c>
      <c r="F1" s="165"/>
      <c r="G1" s="166"/>
      <c r="H1" s="164" t="s">
        <v>86</v>
      </c>
      <c r="I1" s="165"/>
      <c r="J1" s="166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7" t="s">
        <v>144</v>
      </c>
      <c r="C3" s="168"/>
      <c r="D3" s="168"/>
      <c r="E3" s="168"/>
      <c r="F3" s="168"/>
      <c r="G3" s="168"/>
      <c r="H3" s="168"/>
      <c r="I3" s="168"/>
      <c r="J3" s="168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>
        <v>26210.81</v>
      </c>
      <c r="C345" s="27">
        <v>-3.79</v>
      </c>
      <c r="D345" s="91">
        <v>-1E-4</v>
      </c>
      <c r="E345" s="89">
        <v>7460.29</v>
      </c>
      <c r="F345" s="27">
        <v>52.26</v>
      </c>
      <c r="G345" s="91">
        <v>7.1000000000000004E-3</v>
      </c>
      <c r="H345" s="89">
        <v>1392.86</v>
      </c>
      <c r="I345" s="27">
        <v>10.45</v>
      </c>
      <c r="J345" s="91">
        <v>7.6E-3</v>
      </c>
    </row>
    <row r="346" spans="1:10">
      <c r="A346" s="92">
        <v>43124</v>
      </c>
      <c r="B346" s="89">
        <v>26252.12</v>
      </c>
      <c r="C346" s="27">
        <v>41.31</v>
      </c>
      <c r="D346" s="91">
        <v>1.6000000000000001E-3</v>
      </c>
      <c r="E346" s="89">
        <v>7415.06</v>
      </c>
      <c r="F346" s="27">
        <v>-45.23</v>
      </c>
      <c r="G346" s="91">
        <v>-6.1000000000000004E-3</v>
      </c>
      <c r="H346" s="89">
        <v>1359.99</v>
      </c>
      <c r="I346" s="27">
        <v>-32.869999999999997</v>
      </c>
      <c r="J346" s="91">
        <v>-2.3599999999999999E-2</v>
      </c>
    </row>
    <row r="347" spans="1:10">
      <c r="A347" s="92">
        <v>43125</v>
      </c>
      <c r="B347" s="89">
        <v>26392.79</v>
      </c>
      <c r="C347" s="27">
        <v>140.66999999999999</v>
      </c>
      <c r="D347" s="91">
        <v>5.4000000000000003E-3</v>
      </c>
      <c r="E347" s="89">
        <v>7411.16</v>
      </c>
      <c r="F347" s="27">
        <v>-3.89</v>
      </c>
      <c r="G347" s="91">
        <v>-5.0000000000000001E-4</v>
      </c>
      <c r="H347" s="89">
        <v>1337.62</v>
      </c>
      <c r="I347" s="27">
        <v>-23.06</v>
      </c>
      <c r="J347" s="91">
        <v>-1.6899999999999998E-2</v>
      </c>
    </row>
    <row r="348" spans="1:10">
      <c r="A348" s="92">
        <v>43126</v>
      </c>
      <c r="B348" s="89">
        <v>26616.71</v>
      </c>
      <c r="C348" s="27">
        <v>223.92</v>
      </c>
      <c r="D348" s="91">
        <v>8.5000000000000006E-3</v>
      </c>
      <c r="E348" s="89">
        <v>7505.77</v>
      </c>
      <c r="F348" s="27">
        <v>94.61</v>
      </c>
      <c r="G348" s="91">
        <v>1.2800000000000001E-2</v>
      </c>
      <c r="H348" s="89">
        <v>1381.27</v>
      </c>
      <c r="I348" s="27">
        <v>43.65</v>
      </c>
      <c r="J348" s="91">
        <v>3.2599999999999997E-2</v>
      </c>
    </row>
    <row r="349" spans="1:10">
      <c r="A349" s="92">
        <v>43127</v>
      </c>
      <c r="B349" s="89"/>
      <c r="C349" s="27"/>
      <c r="D349" s="91"/>
      <c r="E349" s="89"/>
      <c r="F349" s="27"/>
      <c r="G349" s="91"/>
      <c r="H349" s="89"/>
      <c r="I349" s="27"/>
      <c r="J349" s="91"/>
    </row>
    <row r="350" spans="1:10">
      <c r="A350" s="92">
        <v>43128</v>
      </c>
      <c r="B350" s="89"/>
      <c r="C350" s="27"/>
      <c r="D350" s="91"/>
      <c r="E350" s="89"/>
      <c r="F350" s="27"/>
      <c r="G350" s="91"/>
      <c r="H350" s="89"/>
      <c r="I350" s="27"/>
      <c r="J350" s="91"/>
    </row>
    <row r="351" spans="1:10">
      <c r="A351" s="92">
        <v>43129</v>
      </c>
      <c r="B351" s="89">
        <v>26439.48</v>
      </c>
      <c r="C351" s="27">
        <v>-177.23</v>
      </c>
      <c r="D351" s="91">
        <v>-6.7000000000000002E-3</v>
      </c>
      <c r="E351" s="89">
        <v>7466.5</v>
      </c>
      <c r="F351" s="27">
        <v>-39.270000000000003</v>
      </c>
      <c r="G351" s="91">
        <v>-5.1999999999999998E-3</v>
      </c>
      <c r="H351" s="89">
        <v>1378.42</v>
      </c>
      <c r="I351" s="27">
        <v>-2.86</v>
      </c>
      <c r="J351" s="91">
        <v>-2.0999999999999999E-3</v>
      </c>
    </row>
    <row r="352" spans="1:10">
      <c r="A352" s="92">
        <v>43130</v>
      </c>
      <c r="B352" s="89">
        <v>26076.89</v>
      </c>
      <c r="C352" s="27">
        <v>-362.59</v>
      </c>
      <c r="D352" s="91">
        <v>-1.37E-2</v>
      </c>
      <c r="E352" s="89">
        <v>7402.48</v>
      </c>
      <c r="F352" s="27">
        <v>-64.02</v>
      </c>
      <c r="G352" s="91">
        <v>-8.6E-3</v>
      </c>
      <c r="H352" s="89">
        <v>1351.95</v>
      </c>
      <c r="I352" s="27">
        <v>-26.46</v>
      </c>
      <c r="J352" s="91">
        <v>-1.9199999999999998E-2</v>
      </c>
    </row>
    <row r="353" spans="1:10">
      <c r="A353" s="92">
        <v>43131</v>
      </c>
      <c r="B353" s="89">
        <v>26149.39</v>
      </c>
      <c r="C353" s="27">
        <v>72.5</v>
      </c>
      <c r="D353" s="91">
        <v>2.8E-3</v>
      </c>
      <c r="E353" s="89">
        <v>7411.48</v>
      </c>
      <c r="F353" s="27">
        <v>9</v>
      </c>
      <c r="G353" s="91">
        <v>1.1999999999999999E-3</v>
      </c>
      <c r="H353" s="89">
        <v>1360.2</v>
      </c>
      <c r="I353" s="27">
        <v>9.75</v>
      </c>
      <c r="J353" s="91">
        <v>7.1999999999999998E-3</v>
      </c>
    </row>
    <row r="354" spans="1:10">
      <c r="A354" s="92">
        <v>43132</v>
      </c>
      <c r="B354" s="89">
        <v>26186.71</v>
      </c>
      <c r="C354" s="27">
        <v>37.32</v>
      </c>
      <c r="D354" s="91">
        <v>1.4E-3</v>
      </c>
      <c r="E354" s="89">
        <v>7385.86</v>
      </c>
      <c r="F354" s="27">
        <v>-25.62</v>
      </c>
      <c r="G354" s="91">
        <v>-3.5000000000000001E-3</v>
      </c>
      <c r="H354" s="89">
        <v>1355.07</v>
      </c>
      <c r="I354" s="27">
        <v>-6.43</v>
      </c>
      <c r="J354" s="91">
        <v>-4.7000000000000002E-3</v>
      </c>
    </row>
    <row r="355" spans="1:10">
      <c r="A355" s="92">
        <v>43133</v>
      </c>
      <c r="B355" s="89">
        <v>25520.959999999999</v>
      </c>
      <c r="C355" s="27">
        <v>-665.75</v>
      </c>
      <c r="D355" s="91">
        <v>-2.5399999999999999E-2</v>
      </c>
      <c r="E355" s="89">
        <v>7240.95</v>
      </c>
      <c r="F355" s="27">
        <v>-144.91999999999999</v>
      </c>
      <c r="G355" s="91">
        <v>-1.9599999999999999E-2</v>
      </c>
      <c r="H355" s="89">
        <v>1331.8</v>
      </c>
      <c r="I355" s="27">
        <v>-23.28</v>
      </c>
      <c r="J355" s="91">
        <v>-1.72E-2</v>
      </c>
    </row>
    <row r="356" spans="1:10">
      <c r="A356" s="92">
        <v>43134</v>
      </c>
      <c r="B356" s="89"/>
      <c r="C356" s="27"/>
      <c r="D356" s="91"/>
      <c r="E356" s="89"/>
      <c r="F356" s="27"/>
      <c r="G356" s="91"/>
      <c r="H356" s="89"/>
      <c r="I356" s="27"/>
      <c r="J356" s="91"/>
    </row>
    <row r="357" spans="1:10">
      <c r="A357" s="92">
        <v>43135</v>
      </c>
      <c r="B357" s="89"/>
      <c r="C357" s="27"/>
      <c r="D357" s="91"/>
      <c r="E357" s="89"/>
      <c r="F357" s="27"/>
      <c r="G357" s="91"/>
      <c r="H357" s="89"/>
      <c r="I357" s="27"/>
      <c r="J357" s="91"/>
    </row>
    <row r="358" spans="1:10">
      <c r="A358" s="92">
        <v>43136</v>
      </c>
      <c r="B358" s="89">
        <v>24345.75</v>
      </c>
      <c r="C358" s="27">
        <v>-1175.21</v>
      </c>
      <c r="D358" s="91">
        <v>-4.5999999999999999E-2</v>
      </c>
      <c r="E358" s="89">
        <v>6967.53</v>
      </c>
      <c r="F358" s="27">
        <v>-273.42</v>
      </c>
      <c r="G358" s="91">
        <v>-3.78E-2</v>
      </c>
      <c r="H358" s="89">
        <v>1255.81</v>
      </c>
      <c r="I358" s="27">
        <v>-62.17</v>
      </c>
      <c r="J358" s="91">
        <v>-4.7199999999999999E-2</v>
      </c>
    </row>
    <row r="359" spans="1:10">
      <c r="A359" s="92">
        <v>43137</v>
      </c>
      <c r="B359" s="89">
        <v>24912.77</v>
      </c>
      <c r="C359" s="27">
        <v>567.02</v>
      </c>
      <c r="D359" s="91">
        <v>2.3300000000000001E-2</v>
      </c>
      <c r="E359" s="89">
        <v>7115.88</v>
      </c>
      <c r="F359" s="27">
        <v>148.36000000000001</v>
      </c>
      <c r="G359" s="91">
        <v>2.1299999999999999E-2</v>
      </c>
      <c r="H359" s="89">
        <v>1279.01</v>
      </c>
      <c r="I359" s="27">
        <v>23.2</v>
      </c>
      <c r="J359" s="91">
        <v>1.8499999999999999E-2</v>
      </c>
    </row>
    <row r="360" spans="1:10">
      <c r="A360" s="92">
        <v>43138</v>
      </c>
      <c r="B360" s="89">
        <v>24893.35</v>
      </c>
      <c r="C360" s="27">
        <v>-19.420000000000002</v>
      </c>
      <c r="D360" s="91">
        <v>-8.0000000000000004E-4</v>
      </c>
      <c r="E360" s="89">
        <v>7051.98</v>
      </c>
      <c r="F360" s="27">
        <v>-63.9</v>
      </c>
      <c r="G360" s="91">
        <v>-8.9999999999999993E-3</v>
      </c>
      <c r="H360" s="89">
        <v>1298.77</v>
      </c>
      <c r="I360" s="27">
        <v>-2.9</v>
      </c>
      <c r="J360" s="91">
        <v>-2.2000000000000001E-3</v>
      </c>
    </row>
    <row r="361" spans="1:10">
      <c r="A361" s="92">
        <v>43139</v>
      </c>
      <c r="B361" s="89">
        <v>23860.46</v>
      </c>
      <c r="C361" s="27">
        <v>-1032.8900000000001</v>
      </c>
      <c r="D361" s="91">
        <v>-4.1500000000000002E-2</v>
      </c>
      <c r="E361" s="89">
        <v>6777.16</v>
      </c>
      <c r="F361" s="27">
        <v>-274.83</v>
      </c>
      <c r="G361" s="91">
        <v>-3.9E-2</v>
      </c>
      <c r="H361" s="89">
        <v>1298.77</v>
      </c>
      <c r="I361" s="27">
        <v>-2.9</v>
      </c>
      <c r="J361" s="91">
        <v>-2.2000000000000001E-3</v>
      </c>
    </row>
    <row r="362" spans="1:10">
      <c r="A362" s="92">
        <v>43140</v>
      </c>
      <c r="B362" s="89">
        <v>24190.9</v>
      </c>
      <c r="C362" s="27">
        <v>330.44</v>
      </c>
      <c r="D362" s="91">
        <v>1.38E-2</v>
      </c>
      <c r="E362" s="89">
        <v>6874.49</v>
      </c>
      <c r="F362" s="27">
        <v>97.33</v>
      </c>
      <c r="G362" s="91">
        <v>1.44E-2</v>
      </c>
      <c r="H362" s="89">
        <v>1239.1500000000001</v>
      </c>
      <c r="I362" s="27">
        <v>20.49</v>
      </c>
      <c r="J362" s="91">
        <v>1.6799999999999999E-2</v>
      </c>
    </row>
    <row r="363" spans="1:10">
      <c r="A363" s="92">
        <v>43141</v>
      </c>
      <c r="B363" s="89"/>
      <c r="C363" s="27"/>
      <c r="D363" s="91"/>
      <c r="E363" s="89"/>
      <c r="F363" s="27"/>
      <c r="G363" s="91"/>
      <c r="H363" s="89"/>
      <c r="I363" s="27"/>
      <c r="J363" s="91"/>
    </row>
    <row r="364" spans="1:10">
      <c r="A364" s="92">
        <v>43142</v>
      </c>
      <c r="B364" s="89"/>
      <c r="C364" s="27"/>
      <c r="D364" s="91"/>
      <c r="E364" s="89"/>
      <c r="F364" s="27"/>
      <c r="G364" s="91"/>
      <c r="H364" s="89"/>
      <c r="I364" s="27"/>
      <c r="J364" s="91"/>
    </row>
    <row r="365" spans="1:10">
      <c r="A365" s="92">
        <v>43143</v>
      </c>
      <c r="B365" s="89">
        <v>24601.27</v>
      </c>
      <c r="C365" s="27">
        <v>410.37</v>
      </c>
      <c r="D365" s="91">
        <v>1.7000000000000001E-2</v>
      </c>
      <c r="E365" s="89">
        <v>6981.96</v>
      </c>
      <c r="F365" s="27">
        <v>107.47</v>
      </c>
      <c r="G365" s="91">
        <v>1.5599999999999999E-2</v>
      </c>
      <c r="H365" s="89">
        <v>1279.1400000000001</v>
      </c>
      <c r="I365" s="27">
        <v>23.33</v>
      </c>
      <c r="J365" s="91">
        <v>1.8599999999999998E-2</v>
      </c>
    </row>
    <row r="366" spans="1:10">
      <c r="A366" s="92">
        <v>43144</v>
      </c>
      <c r="B366" s="89">
        <v>24640.45</v>
      </c>
      <c r="C366" s="27">
        <v>39.18</v>
      </c>
      <c r="D366" s="91">
        <v>1.6000000000000001E-3</v>
      </c>
      <c r="E366" s="89">
        <v>7013.51</v>
      </c>
      <c r="F366" s="27">
        <v>31.55</v>
      </c>
      <c r="G366" s="91">
        <v>4.4999999999999997E-3</v>
      </c>
      <c r="H366" s="89">
        <v>1278.51</v>
      </c>
      <c r="I366" s="27">
        <v>-0.64</v>
      </c>
      <c r="J366" s="91">
        <v>-5.0000000000000001E-4</v>
      </c>
    </row>
    <row r="367" spans="1:10">
      <c r="A367" s="92">
        <v>43145</v>
      </c>
      <c r="B367" s="89">
        <v>24893.49</v>
      </c>
      <c r="C367" s="27">
        <v>253.04</v>
      </c>
      <c r="D367" s="91">
        <v>1.03E-2</v>
      </c>
      <c r="E367" s="89">
        <v>7143.62</v>
      </c>
      <c r="F367" s="27">
        <v>130.1</v>
      </c>
      <c r="G367" s="91">
        <v>1.8599999999999998E-2</v>
      </c>
      <c r="H367" s="89">
        <v>1278.51</v>
      </c>
      <c r="I367" s="27">
        <v>-0.64</v>
      </c>
      <c r="J367" s="91">
        <v>-5.0000000000000001E-4</v>
      </c>
    </row>
    <row r="368" spans="1:10">
      <c r="A368" s="92">
        <v>43146</v>
      </c>
      <c r="B368" s="89">
        <v>25200.37</v>
      </c>
      <c r="C368" s="27">
        <v>306.88</v>
      </c>
      <c r="D368" s="91">
        <v>1.23E-2</v>
      </c>
      <c r="E368" s="89">
        <v>7256.43</v>
      </c>
      <c r="F368" s="27">
        <v>112.82</v>
      </c>
      <c r="G368" s="91">
        <v>1.5800000000000002E-2</v>
      </c>
      <c r="H368" s="89">
        <v>1322.95</v>
      </c>
      <c r="I368" s="27">
        <v>15.9</v>
      </c>
      <c r="J368" s="91">
        <v>1.2200000000000001E-2</v>
      </c>
    </row>
    <row r="369" spans="1:10">
      <c r="A369" s="92">
        <v>43147</v>
      </c>
      <c r="B369" s="89">
        <v>25219.38</v>
      </c>
      <c r="C369" s="27">
        <v>19.010000000000002</v>
      </c>
      <c r="D369" s="91">
        <v>8.0000000000000004E-4</v>
      </c>
      <c r="E369" s="89">
        <v>7239.46</v>
      </c>
      <c r="F369" s="27">
        <v>-16.97</v>
      </c>
      <c r="G369" s="91">
        <v>-2.3E-3</v>
      </c>
      <c r="H369" s="89">
        <v>1331.66</v>
      </c>
      <c r="I369" s="27">
        <v>8.7100000000000009</v>
      </c>
      <c r="J369" s="91">
        <v>6.6E-3</v>
      </c>
    </row>
    <row r="370" spans="1:10">
      <c r="A370" s="92">
        <v>43148</v>
      </c>
      <c r="B370" s="89"/>
      <c r="C370" s="27"/>
      <c r="D370" s="91"/>
      <c r="E370" s="89"/>
      <c r="F370" s="27"/>
      <c r="G370" s="91"/>
      <c r="H370" s="89"/>
      <c r="I370" s="27"/>
      <c r="J370" s="91"/>
    </row>
    <row r="371" spans="1:10">
      <c r="A371" s="92">
        <v>43149</v>
      </c>
      <c r="B371" s="89"/>
      <c r="C371" s="27"/>
      <c r="D371" s="91"/>
      <c r="E371" s="89"/>
      <c r="F371" s="27"/>
      <c r="G371" s="91"/>
      <c r="H371" s="89"/>
      <c r="I371" s="27"/>
      <c r="J371" s="91"/>
    </row>
    <row r="372" spans="1:10">
      <c r="A372" s="92">
        <v>43150</v>
      </c>
      <c r="B372" s="89">
        <v>25219.38</v>
      </c>
      <c r="C372" s="27">
        <v>19.010000000000002</v>
      </c>
      <c r="D372" s="91">
        <v>8.0000000000000004E-4</v>
      </c>
      <c r="E372" s="89">
        <v>7239.46</v>
      </c>
      <c r="F372" s="27">
        <v>-16.97</v>
      </c>
      <c r="G372" s="91">
        <v>-2.3E-3</v>
      </c>
      <c r="H372" s="89">
        <v>1318.32</v>
      </c>
      <c r="I372" s="27">
        <v>-4.63</v>
      </c>
      <c r="J372" s="91">
        <v>-3.5000000000000001E-3</v>
      </c>
    </row>
    <row r="373" spans="1:10">
      <c r="A373" s="92">
        <v>43151</v>
      </c>
      <c r="B373" s="89">
        <v>24964.75</v>
      </c>
      <c r="C373" s="27">
        <v>-254.63</v>
      </c>
      <c r="D373" s="91">
        <v>-1.01E-2</v>
      </c>
      <c r="E373" s="89">
        <v>7234.31</v>
      </c>
      <c r="F373" s="27">
        <v>-5.16</v>
      </c>
      <c r="G373" s="91">
        <v>-6.9999999999999999E-4</v>
      </c>
      <c r="H373" s="89">
        <v>1341.53</v>
      </c>
      <c r="I373" s="27">
        <v>23.21</v>
      </c>
      <c r="J373" s="91">
        <v>1.7600000000000001E-2</v>
      </c>
    </row>
    <row r="374" spans="1:10">
      <c r="A374" s="92">
        <v>43152</v>
      </c>
      <c r="B374" s="89">
        <v>24797.78</v>
      </c>
      <c r="C374" s="27">
        <v>-166.97</v>
      </c>
      <c r="D374" s="91">
        <v>-6.7000000000000002E-3</v>
      </c>
      <c r="E374" s="89">
        <v>7218.23</v>
      </c>
      <c r="F374" s="27">
        <v>-16.079999999999998</v>
      </c>
      <c r="G374" s="91">
        <v>-2.2000000000000001E-3</v>
      </c>
      <c r="H374" s="89">
        <v>1346.65</v>
      </c>
      <c r="I374" s="27">
        <v>5.12</v>
      </c>
      <c r="J374" s="91">
        <v>3.8E-3</v>
      </c>
    </row>
    <row r="375" spans="1:10">
      <c r="A375" s="92">
        <v>43153</v>
      </c>
      <c r="B375" s="89">
        <v>24962.48</v>
      </c>
      <c r="C375" s="27">
        <v>164.7</v>
      </c>
      <c r="D375" s="91">
        <v>6.6E-3</v>
      </c>
      <c r="E375" s="89">
        <v>7210.09</v>
      </c>
      <c r="F375" s="27">
        <v>-8.14</v>
      </c>
      <c r="G375" s="91">
        <v>-1.1000000000000001E-3</v>
      </c>
      <c r="H375" s="89">
        <v>1322.09</v>
      </c>
      <c r="I375" s="27">
        <v>-3.26</v>
      </c>
      <c r="J375" s="91">
        <v>-2.5000000000000001E-3</v>
      </c>
    </row>
    <row r="376" spans="1:10">
      <c r="A376" s="92">
        <v>43154</v>
      </c>
      <c r="B376" s="89">
        <v>25309.99</v>
      </c>
      <c r="C376" s="27">
        <v>347.51</v>
      </c>
      <c r="D376" s="91">
        <v>1.3899999999999999E-2</v>
      </c>
      <c r="E376" s="89">
        <v>7337.39</v>
      </c>
      <c r="F376" s="27">
        <v>127.3</v>
      </c>
      <c r="G376" s="91">
        <v>1.77E-2</v>
      </c>
      <c r="H376" s="89">
        <v>1349.52</v>
      </c>
      <c r="I376" s="27">
        <v>27.43</v>
      </c>
      <c r="J376" s="91">
        <v>2.07E-2</v>
      </c>
    </row>
    <row r="377" spans="1:10">
      <c r="A377" s="92">
        <v>43155</v>
      </c>
      <c r="B377" s="89"/>
      <c r="C377" s="27"/>
      <c r="D377" s="91"/>
      <c r="E377" s="89"/>
      <c r="F377" s="27"/>
      <c r="G377" s="91"/>
      <c r="H377" s="89"/>
      <c r="I377" s="27"/>
      <c r="J377" s="91"/>
    </row>
    <row r="378" spans="1:10">
      <c r="A378" s="92">
        <v>43156</v>
      </c>
      <c r="B378" s="89"/>
      <c r="C378" s="27"/>
      <c r="D378" s="91"/>
      <c r="E378" s="89"/>
      <c r="F378" s="27"/>
      <c r="G378" s="91"/>
      <c r="H378" s="89"/>
      <c r="I378" s="27"/>
      <c r="J378" s="91"/>
    </row>
    <row r="379" spans="1:10">
      <c r="A379" s="92">
        <v>43157</v>
      </c>
      <c r="B379" s="89">
        <v>25709.27</v>
      </c>
      <c r="C379" s="27">
        <v>399.28</v>
      </c>
      <c r="D379" s="91">
        <v>1.5800000000000002E-2</v>
      </c>
      <c r="E379" s="89">
        <v>7421.46</v>
      </c>
      <c r="F379" s="27">
        <v>84.07</v>
      </c>
      <c r="G379" s="91">
        <v>1.15E-2</v>
      </c>
      <c r="H379" s="89">
        <v>1380.27</v>
      </c>
      <c r="I379" s="27">
        <v>29.18</v>
      </c>
      <c r="J379" s="91">
        <v>2.1600000000000001E-2</v>
      </c>
    </row>
    <row r="380" spans="1:10">
      <c r="A380" s="92">
        <v>43158</v>
      </c>
      <c r="B380" s="89">
        <v>25410.03</v>
      </c>
      <c r="C380" s="27">
        <v>-299.24</v>
      </c>
      <c r="D380" s="91">
        <v>-1.1599999999999999E-2</v>
      </c>
      <c r="E380" s="89">
        <v>7330.35</v>
      </c>
      <c r="F380" s="27">
        <v>-91.11</v>
      </c>
      <c r="G380" s="91">
        <v>-1.23E-2</v>
      </c>
      <c r="H380" s="89">
        <v>1380.27</v>
      </c>
      <c r="I380" s="27">
        <v>0</v>
      </c>
      <c r="J380" s="91">
        <v>0</v>
      </c>
    </row>
    <row r="381" spans="1:10">
      <c r="A381" s="92">
        <v>43159</v>
      </c>
      <c r="B381" s="89">
        <v>25029.200000000001</v>
      </c>
      <c r="C381" s="27">
        <v>-380.83</v>
      </c>
      <c r="D381" s="91">
        <v>-1.4999999999999999E-2</v>
      </c>
      <c r="E381" s="89">
        <v>7273.01</v>
      </c>
      <c r="F381" s="27">
        <v>-57.35</v>
      </c>
      <c r="G381" s="91">
        <v>-7.7999999999999996E-3</v>
      </c>
      <c r="H381" s="89">
        <v>1275.25</v>
      </c>
      <c r="I381" s="27">
        <v>-29.86</v>
      </c>
      <c r="J381" s="91">
        <v>-2.29E-2</v>
      </c>
    </row>
    <row r="382" spans="1:10">
      <c r="A382" s="92">
        <v>43160</v>
      </c>
      <c r="B382" s="89">
        <v>24608.98</v>
      </c>
      <c r="C382" s="27">
        <v>-420.22</v>
      </c>
      <c r="D382" s="91">
        <v>-1.6799999999999999E-2</v>
      </c>
      <c r="E382" s="89">
        <v>7180.56</v>
      </c>
      <c r="F382" s="27">
        <v>-92.45</v>
      </c>
      <c r="G382" s="91">
        <v>-1.2699999999999999E-2</v>
      </c>
      <c r="H382" s="89">
        <v>1340.14</v>
      </c>
      <c r="I382" s="27">
        <v>-21.88</v>
      </c>
      <c r="J382" s="91">
        <v>-1.61E-2</v>
      </c>
    </row>
    <row r="383" spans="1:10">
      <c r="A383" s="92">
        <v>43161</v>
      </c>
      <c r="B383" s="89">
        <v>24538.06</v>
      </c>
      <c r="C383" s="27">
        <v>-70.92</v>
      </c>
      <c r="D383" s="91">
        <v>-2.8999999999999998E-3</v>
      </c>
      <c r="E383" s="89">
        <v>7257.87</v>
      </c>
      <c r="F383" s="27">
        <v>77.31</v>
      </c>
      <c r="G383" s="91">
        <v>1.0800000000000001E-2</v>
      </c>
      <c r="H383" s="89">
        <v>1363.78</v>
      </c>
      <c r="I383" s="27">
        <v>23.64</v>
      </c>
      <c r="J383" s="91">
        <v>1.7600000000000001E-2</v>
      </c>
    </row>
    <row r="384" spans="1:10">
      <c r="A384" s="92">
        <v>43162</v>
      </c>
      <c r="B384" s="89"/>
      <c r="C384" s="27"/>
      <c r="D384" s="91"/>
      <c r="E384" s="89"/>
      <c r="F384" s="27"/>
      <c r="G384" s="91"/>
      <c r="H384" s="89"/>
      <c r="I384" s="27"/>
      <c r="J384" s="91"/>
    </row>
    <row r="385" spans="1:10">
      <c r="A385" s="92">
        <v>43163</v>
      </c>
      <c r="B385" s="89"/>
      <c r="C385" s="27"/>
      <c r="D385" s="91"/>
      <c r="E385" s="89"/>
      <c r="F385" s="27"/>
      <c r="G385" s="91"/>
      <c r="H385" s="89"/>
      <c r="I385" s="27"/>
      <c r="J385" s="91"/>
    </row>
    <row r="386" spans="1:10">
      <c r="A386" s="92">
        <v>43164</v>
      </c>
      <c r="B386" s="89">
        <v>24874.76</v>
      </c>
      <c r="C386" s="27">
        <v>336.7</v>
      </c>
      <c r="D386" s="91">
        <v>1.37E-2</v>
      </c>
      <c r="E386" s="89">
        <v>7330.71</v>
      </c>
      <c r="F386" s="27">
        <v>72.84</v>
      </c>
      <c r="G386" s="91">
        <v>0.01</v>
      </c>
      <c r="H386" s="89">
        <v>1374.51</v>
      </c>
      <c r="I386" s="27">
        <v>10.73</v>
      </c>
      <c r="J386" s="91">
        <v>7.9000000000000008E-3</v>
      </c>
    </row>
    <row r="387" spans="1:10">
      <c r="A387" s="92">
        <v>43165</v>
      </c>
      <c r="B387" s="89">
        <v>24884.12</v>
      </c>
      <c r="C387" s="27">
        <v>9.36</v>
      </c>
      <c r="D387" s="91">
        <v>4.0000000000000002E-4</v>
      </c>
      <c r="E387" s="89">
        <v>7372.01</v>
      </c>
      <c r="F387" s="27">
        <v>41.3</v>
      </c>
      <c r="G387" s="91">
        <v>5.5999999999999999E-3</v>
      </c>
      <c r="H387" s="89">
        <v>1396.47</v>
      </c>
      <c r="I387" s="27">
        <v>20.61</v>
      </c>
      <c r="J387" s="91">
        <v>1.4999999999999999E-2</v>
      </c>
    </row>
    <row r="388" spans="1:10">
      <c r="A388" s="92">
        <v>43166</v>
      </c>
      <c r="B388" s="89">
        <v>24801.360000000001</v>
      </c>
      <c r="C388" s="27">
        <v>-82.76</v>
      </c>
      <c r="D388" s="91">
        <v>-3.3E-3</v>
      </c>
      <c r="E388" s="89">
        <v>7396.65</v>
      </c>
      <c r="F388" s="27">
        <v>24.64</v>
      </c>
      <c r="G388" s="91">
        <v>3.3E-3</v>
      </c>
      <c r="H388" s="89">
        <v>1400.47</v>
      </c>
      <c r="I388" s="27">
        <v>4</v>
      </c>
      <c r="J388" s="91">
        <v>2.8999999999999998E-3</v>
      </c>
    </row>
    <row r="389" spans="1:10">
      <c r="A389" s="92">
        <v>43167</v>
      </c>
      <c r="B389" s="89">
        <v>24895.21</v>
      </c>
      <c r="C389" s="27">
        <v>93.85</v>
      </c>
      <c r="D389" s="91">
        <v>3.8E-3</v>
      </c>
      <c r="E389" s="89">
        <v>7427.95</v>
      </c>
      <c r="F389" s="27">
        <v>31.3</v>
      </c>
      <c r="G389" s="91">
        <v>4.1999999999999997E-3</v>
      </c>
      <c r="H389" s="89">
        <v>1402.05</v>
      </c>
      <c r="I389" s="27">
        <v>1.59</v>
      </c>
      <c r="J389" s="91">
        <v>1.1000000000000001E-3</v>
      </c>
    </row>
    <row r="390" spans="1:10">
      <c r="A390" s="92">
        <v>43168</v>
      </c>
      <c r="B390" s="89">
        <v>25335.74</v>
      </c>
      <c r="C390" s="27">
        <v>440.53</v>
      </c>
      <c r="D390" s="91">
        <v>1.77E-2</v>
      </c>
      <c r="E390" s="89">
        <v>7560.81</v>
      </c>
      <c r="F390" s="27">
        <v>132.86000000000001</v>
      </c>
      <c r="G390" s="91">
        <v>1.7899999999999999E-2</v>
      </c>
      <c r="H390" s="89">
        <v>1431.16</v>
      </c>
      <c r="I390" s="27">
        <v>29.11</v>
      </c>
      <c r="J390" s="91">
        <v>2.0799999999999999E-2</v>
      </c>
    </row>
    <row r="391" spans="1:10">
      <c r="A391" s="92">
        <v>43169</v>
      </c>
      <c r="B391" s="89"/>
      <c r="C391" s="27"/>
      <c r="D391" s="91"/>
      <c r="E391" s="89"/>
      <c r="F391" s="27"/>
      <c r="G391" s="91"/>
      <c r="H391" s="89"/>
      <c r="I391" s="27"/>
      <c r="J391" s="91"/>
    </row>
    <row r="392" spans="1:10">
      <c r="A392" s="92">
        <v>43170</v>
      </c>
      <c r="B392" s="89"/>
      <c r="C392" s="27"/>
      <c r="D392" s="91"/>
      <c r="E392" s="89"/>
      <c r="F392" s="27"/>
      <c r="G392" s="91"/>
      <c r="H392" s="89"/>
      <c r="I392" s="27"/>
      <c r="J392" s="91"/>
    </row>
    <row r="393" spans="1:10">
      <c r="A393" s="92">
        <v>43171</v>
      </c>
      <c r="B393" s="89">
        <v>25178.61</v>
      </c>
      <c r="C393" s="27">
        <v>-157.13</v>
      </c>
      <c r="D393" s="91">
        <v>-6.1999999999999998E-3</v>
      </c>
      <c r="E393" s="89">
        <v>7588.33</v>
      </c>
      <c r="F393" s="27">
        <v>27.51</v>
      </c>
      <c r="G393" s="91">
        <v>3.5999999999999999E-3</v>
      </c>
      <c r="H393" s="89">
        <v>1445.9</v>
      </c>
      <c r="I393" s="27">
        <v>14.74</v>
      </c>
      <c r="J393" s="91">
        <v>1.03E-2</v>
      </c>
    </row>
    <row r="394" spans="1:10">
      <c r="A394" s="92">
        <v>43172</v>
      </c>
      <c r="B394" s="89">
        <v>25007.03</v>
      </c>
      <c r="C394" s="27">
        <v>-171.58</v>
      </c>
      <c r="D394" s="91">
        <v>-6.7999999999999996E-3</v>
      </c>
      <c r="E394" s="89">
        <v>7511.01</v>
      </c>
      <c r="F394" s="27">
        <v>-77.31</v>
      </c>
      <c r="G394" s="91">
        <v>-1.0200000000000001E-2</v>
      </c>
      <c r="H394" s="89">
        <v>445.9</v>
      </c>
      <c r="I394" s="27">
        <v>14.74</v>
      </c>
      <c r="J394" s="91">
        <v>1.03E-2</v>
      </c>
    </row>
    <row r="395" spans="1:10">
      <c r="A395" s="92">
        <v>43173</v>
      </c>
      <c r="B395" s="89">
        <v>24758.12</v>
      </c>
      <c r="C395" s="27">
        <v>-248.91</v>
      </c>
      <c r="D395" s="91">
        <v>-0.01</v>
      </c>
      <c r="E395" s="89">
        <v>7496.81</v>
      </c>
      <c r="F395" s="27">
        <v>-14.2</v>
      </c>
      <c r="G395" s="91">
        <v>-1.9E-3</v>
      </c>
      <c r="H395" s="89">
        <v>1423.5</v>
      </c>
      <c r="I395" s="27">
        <v>0.04</v>
      </c>
      <c r="J395" s="91">
        <v>0</v>
      </c>
    </row>
    <row r="396" spans="1:10">
      <c r="A396" s="92">
        <v>43174</v>
      </c>
      <c r="B396" s="89">
        <v>24873.66</v>
      </c>
      <c r="C396" s="27">
        <v>115.54</v>
      </c>
      <c r="D396" s="91">
        <v>4.7000000000000002E-3</v>
      </c>
      <c r="E396" s="89">
        <v>7481.74</v>
      </c>
      <c r="F396" s="27">
        <v>-15.07</v>
      </c>
      <c r="G396" s="91">
        <v>-2E-3</v>
      </c>
      <c r="H396" s="89">
        <v>1422.07</v>
      </c>
      <c r="I396" s="27">
        <v>-1.42</v>
      </c>
      <c r="J396" s="91">
        <v>-1E-3</v>
      </c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重點說明</vt:lpstr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2018-03-16T13:19:46Z</dcterms:modified>
</cp:coreProperties>
</file>