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外資期貨未平倉口數" sheetId="14" r:id="rId5"/>
    <sheet name="期貨大額交易人未沖銷部位" sheetId="18" r:id="rId6"/>
    <sheet name="選擇權未平倉餘額" sheetId="16" r:id="rId7"/>
    <sheet name="臺指選擇權P_C_Ratios" sheetId="17" r:id="rId8"/>
    <sheet name="新台幣匯率美元指數" sheetId="13" r:id="rId9"/>
    <sheet name="散戶多空比" sheetId="15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8" i="15" l="1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<sst xmlns="http://schemas.openxmlformats.org/spreadsheetml/2006/main" count="359" uniqueCount="268">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</sst>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8532353"/>
  <ax:ocxPr ax:name="CurrentDate" ax:value="4312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22" sqref="E22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43124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11152.16</v>
      </c>
      <c r="D7" s="34">
        <f>VLOOKUP($B$6,資料整合一覽!$B$3:$AF$500,3,FALSE)</f>
        <v>-100.95</v>
      </c>
      <c r="E7" s="35">
        <f>VLOOKUP($B$6,資料整合一覽!$B$3:$AF$500,4,FALSE)</f>
        <v>-8.9999999999999993E-3</v>
      </c>
      <c r="F7" s="33" t="str">
        <f>VLOOKUP($B$6,資料整合一覽!$B$3:$AF$500,5,FALSE)</f>
        <v>1446.96億</v>
      </c>
      <c r="G7" s="36">
        <f>VLOOKUP($B$6,資料整合一覽!$B$3:$AF$500,6,FALSE)</f>
        <v>-0.97647010000000001</v>
      </c>
      <c r="H7" s="34">
        <f>VLOOKUP($B$6,資料整合一覽!$B$3:$AF$500,7,FALSE)</f>
        <v>6.4294421499999999</v>
      </c>
      <c r="I7" s="34">
        <f>VLOOKUP($B$6,資料整合一覽!$B$3:$AF$500,8,FALSE)</f>
        <v>-5.5145701100000002</v>
      </c>
      <c r="J7" s="34">
        <f>VLOOKUP($B$6,資料整合一覽!$B$3:$AF$500,9,FALSE)</f>
        <v>35.23203831</v>
      </c>
      <c r="K7" s="37">
        <f>VLOOKUP($B$6,資料整合一覽!$B$3:$AF$500,10,FALSE)</f>
        <v>29.302</v>
      </c>
      <c r="L7" s="38">
        <f>VLOOKUP($B$6,資料整合一覽!$B$3:$AF$500,11,FALSE)</f>
        <v>-0.1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1657.75</v>
      </c>
      <c r="D11" s="27">
        <f>VLOOKUP($B$6,資料整合一覽!$B$3:$AF$500,14,FALSE)</f>
        <v>41799.5</v>
      </c>
      <c r="E11" s="64">
        <f>VLOOKUP($B$6,資料整合一覽!$B$3:$AF$500,17,FALSE)</f>
        <v>-2.3214000000000001</v>
      </c>
      <c r="F11" s="64">
        <f>VLOOKUP($B$6,資料整合一覽!$B$3:$AF$500,18,FALSE)</f>
        <v>2.3891</v>
      </c>
      <c r="G11" s="64">
        <f>VLOOKUP($B$6,資料整合一覽!$B$3:$AF$500,19,FALSE)</f>
        <v>60.921199999999999</v>
      </c>
      <c r="H11" s="64">
        <f>VLOOKUP($B$6,資料整合一覽!$B$3:$AF$500,20,FALSE)</f>
        <v>20.267199999999999</v>
      </c>
      <c r="I11" s="39">
        <f>VLOOKUP($B$6,資料整合一覽!$B$3:$AF$500,21,FALSE)</f>
        <v>1.6307</v>
      </c>
      <c r="J11" s="41">
        <f>VLOOKUP($B$6,資料整合一覽!$B$3:$AF$500,22,FALSE)</f>
        <v>-0.10271495184555715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-11549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0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0</v>
      </c>
      <c r="AE345" s="33">
        <f>VLOOKUP($B345,三大美股走勢!$A$4:$J$495,7,FALSE)</f>
        <v>0</v>
      </c>
      <c r="AF345" s="33">
        <f>VLOOKUP($B345,三大美股走勢!$A$4:$J$495,10,FALSE)</f>
        <v>0</v>
      </c>
    </row>
    <row r="346" spans="2:32">
      <c r="B346" s="32">
        <v>43125</v>
      </c>
      <c r="C346" s="33" t="e">
        <f>VLOOKUP($B346,大盤與近月台指!$A$4:$I$499,2,FALSE)</f>
        <v>#N/A</v>
      </c>
      <c r="D346" s="34" t="e">
        <f>VLOOKUP($B346,大盤與近月台指!$A$4:$I$499,3,FALSE)</f>
        <v>#N/A</v>
      </c>
      <c r="E346" s="35" t="e">
        <f>VLOOKUP($B346,大盤與近月台指!$A$4:$I$499,4,FALSE)</f>
        <v>#N/A</v>
      </c>
      <c r="F346" s="33" t="e">
        <f>VLOOKUP($B346,大盤與近月台指!$A$4:$I$499,5,FALSE)</f>
        <v>#N/A</v>
      </c>
      <c r="G346" s="49">
        <f>VLOOKUP($B346,三大法人買賣超!$A$4:$I$500,3,FALSE)</f>
        <v>0</v>
      </c>
      <c r="H346" s="34">
        <f>VLOOKUP($B346,三大法人買賣超!$A$4:$I$500,5,FALSE)</f>
        <v>0</v>
      </c>
      <c r="I346" s="27">
        <f>VLOOKUP($B346,三大法人買賣超!$A$4:$I$500,7,FALSE)</f>
        <v>0</v>
      </c>
      <c r="J346" s="27">
        <f>VLOOKUP($B346,三大法人買賣超!$A$4:$I$500,9,FALSE)</f>
        <v>0</v>
      </c>
      <c r="K346" s="37">
        <f>新台幣匯率美元指數!B347</f>
        <v>0</v>
      </c>
      <c r="L346" s="38">
        <f>新台幣匯率美元指數!C347</f>
        <v>0</v>
      </c>
      <c r="M346" s="39">
        <f>新台幣匯率美元指數!D347</f>
        <v>0</v>
      </c>
      <c r="N346" s="27" t="e">
        <f>VLOOKUP($B346,外資期貨未平倉口數!$A$4:$M$499,4,FALSE)</f>
        <v>#N/A</v>
      </c>
      <c r="O346" s="27" t="e">
        <f>VLOOKUP($B346,外資期貨未平倉口數!$A$4:$M$499,9,FALSE)</f>
        <v>#N/A</v>
      </c>
      <c r="P346" s="27" t="e">
        <f>VLOOKUP($B346,外資期貨未平倉口數!$A$4:$M$499,10,FALSE)</f>
        <v>#N/A</v>
      </c>
      <c r="Q346" s="27" t="e">
        <f>VLOOKUP($B346,外資期貨未平倉口數!$A$4:$M$499,11,FALSE)</f>
        <v>#N/A</v>
      </c>
      <c r="R346" s="64" t="e">
        <f>VLOOKUP($B346,選擇權未平倉餘額!$A$4:$I$500,6,FALSE)</f>
        <v>#N/A</v>
      </c>
      <c r="S346" s="64" t="e">
        <f>VLOOKUP($B346,選擇權未平倉餘額!$A$4:$I$500,7,FALSE)</f>
        <v>#N/A</v>
      </c>
      <c r="T346" s="64" t="e">
        <f>VLOOKUP($B346,選擇權未平倉餘額!$A$4:$I$500,8,FALSE)</f>
        <v>#N/A</v>
      </c>
      <c r="U346" s="64" t="e">
        <f>VLOOKUP($B346,選擇權未平倉餘額!$A$4:$I$500,9,FALSE)</f>
        <v>#N/A</v>
      </c>
      <c r="V346" s="39" t="e">
        <f>VLOOKUP($B346,臺指選擇權P_C_Ratios!$A$4:$C$500,3,FALSE)</f>
        <v>#N/A</v>
      </c>
      <c r="W346" s="41" t="e">
        <f>VLOOKUP($B346,散戶多空比!$A$6:$L$500,12,FALSE)</f>
        <v>#N/A</v>
      </c>
      <c r="X346" s="40" t="e">
        <f>VLOOKUP($B346,期貨大額交易人未沖銷部位!$A$4:$O$499,4,FALSE)</f>
        <v>#N/A</v>
      </c>
      <c r="Y346" s="40" t="e">
        <f>VLOOKUP($B346,期貨大額交易人未沖銷部位!$A$4:$O$499,7,FALSE)</f>
        <v>#N/A</v>
      </c>
      <c r="Z346" s="40" t="e">
        <f>VLOOKUP($B346,期貨大額交易人未沖銷部位!$A$4:$O$499,10,FALSE)</f>
        <v>#N/A</v>
      </c>
      <c r="AA346" s="40" t="e">
        <f>VLOOKUP($B346,期貨大額交易人未沖銷部位!$A$4:$O$499,13,FALSE)</f>
        <v>#N/A</v>
      </c>
      <c r="AB346" s="40" t="e">
        <f>VLOOKUP($B346,期貨大額交易人未沖銷部位!$A$4:$O$499,14,FALSE)</f>
        <v>#N/A</v>
      </c>
      <c r="AC346" s="40" t="e">
        <f>VLOOKUP($B346,期貨大額交易人未沖銷部位!$A$4:$O$499,15,FALSE)</f>
        <v>#N/A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VLOOKUP($B347,外資期貨未平倉口數!$A$4:$M$499,4,FALSE)</f>
        <v>#N/A</v>
      </c>
      <c r="O347" s="27" t="e">
        <f>VLOOKUP($B347,外資期貨未平倉口數!$A$4:$M$499,9,FALSE)</f>
        <v>#N/A</v>
      </c>
      <c r="P347" s="27" t="e">
        <f>VLOOKUP($B347,外資期貨未平倉口數!$A$4:$M$499,10,FALSE)</f>
        <v>#N/A</v>
      </c>
      <c r="Q347" s="27" t="e">
        <f>VLOOKUP($B347,外資期貨未平倉口數!$A$4:$M$499,11,FALSE)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VLOOKUP($B348,外資期貨未平倉口數!$A$4:$M$499,4,FALSE)</f>
        <v>#N/A</v>
      </c>
      <c r="O348" s="27" t="e">
        <f>VLOOKUP($B348,外資期貨未平倉口數!$A$4:$M$499,9,FALSE)</f>
        <v>#N/A</v>
      </c>
      <c r="P348" s="27" t="e">
        <f>VLOOKUP($B348,外資期貨未平倉口數!$A$4:$M$499,10,FALSE)</f>
        <v>#N/A</v>
      </c>
      <c r="Q348" s="27" t="e">
        <f>VLOOKUP($B348,外資期貨未平倉口數!$A$4:$M$499,11,FALSE)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VLOOKUP($B349,外資期貨未平倉口數!$A$4:$M$499,4,FALSE)</f>
        <v>#N/A</v>
      </c>
      <c r="O349" s="27" t="e">
        <f>VLOOKUP($B349,外資期貨未平倉口數!$A$4:$M$499,9,FALSE)</f>
        <v>#N/A</v>
      </c>
      <c r="P349" s="27" t="e">
        <f>VLOOKUP($B349,外資期貨未平倉口數!$A$4:$M$499,10,FALSE)</f>
        <v>#N/A</v>
      </c>
      <c r="Q349" s="27" t="e">
        <f>VLOOKUP($B349,外資期貨未平倉口數!$A$4:$M$499,11,FALSE)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VLOOKUP($B350,外資期貨未平倉口數!$A$4:$M$499,4,FALSE)</f>
        <v>#N/A</v>
      </c>
      <c r="O350" s="27" t="e">
        <f>VLOOKUP($B350,外資期貨未平倉口數!$A$4:$M$499,9,FALSE)</f>
        <v>#N/A</v>
      </c>
      <c r="P350" s="27" t="e">
        <f>VLOOKUP($B350,外資期貨未平倉口數!$A$4:$M$499,10,FALSE)</f>
        <v>#N/A</v>
      </c>
      <c r="Q350" s="27" t="e">
        <f>VLOOKUP($B350,外資期貨未平倉口數!$A$4:$M$499,11,FALSE)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6"/>
  <sheetViews>
    <sheetView zoomScaleNormal="100" workbookViewId="0">
      <pane ySplit="3" topLeftCell="A343" activePane="bottomLeft" state="frozen"/>
      <selection pane="bottomLeft" activeCell="G353" sqref="G353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workbookViewId="0">
      <pane ySplit="3" topLeftCell="A336" activePane="bottomLeft" state="frozen"/>
      <selection pane="bottomLeft" activeCell="H351" sqref="H351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/>
      <c r="C347" s="98">
        <f t="shared" si="228"/>
        <v>0</v>
      </c>
      <c r="D347" s="97"/>
      <c r="E347" s="95">
        <f t="shared" si="229"/>
        <v>0</v>
      </c>
      <c r="F347" s="96"/>
      <c r="G347" s="98">
        <f t="shared" si="230"/>
        <v>0</v>
      </c>
      <c r="H347" s="96"/>
      <c r="I347" s="98">
        <f t="shared" si="231"/>
        <v>0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47"/>
  <sheetViews>
    <sheetView zoomScale="85" zoomScaleNormal="85" workbookViewId="0">
      <pane ySplit="3" topLeftCell="A332" activePane="bottomLeft" state="frozen"/>
      <selection pane="bottomLeft" activeCell="K353" sqref="K353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46"/>
  <sheetViews>
    <sheetView zoomScale="80" zoomScaleNormal="80" workbookViewId="0">
      <pane ySplit="3" topLeftCell="A340" activePane="bottomLeft" state="frozen"/>
      <selection pane="bottomLeft" activeCell="L346" sqref="L34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46"/>
  <sheetViews>
    <sheetView zoomScale="85" zoomScaleNormal="85" workbookViewId="0">
      <pane ySplit="3" topLeftCell="A332" activePane="bottomLeft" state="frozen"/>
      <selection pane="bottomLeft" activeCell="G351" sqref="G351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46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B346" sqref="B346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46"/>
  <sheetViews>
    <sheetView workbookViewId="0">
      <pane ySplit="3" topLeftCell="A336" activePane="bottomLeft" state="frozen"/>
      <selection pane="bottomLeft" activeCell="F347" sqref="F347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48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J349" sqref="J349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46"/>
  <sheetViews>
    <sheetView zoomScaleNormal="100" workbookViewId="0">
      <pane ySplit="3" topLeftCell="A334" activePane="bottomLeft" state="frozen"/>
      <selection pane="bottomLeft" activeCell="H351" sqref="H351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/>
      <c r="C346" s="27"/>
      <c r="D346" s="91"/>
      <c r="E346" s="89"/>
      <c r="F346" s="27"/>
      <c r="G346" s="91"/>
      <c r="H346" s="89"/>
      <c r="I346" s="27"/>
      <c r="J346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2018-01-24T12:29:11Z</dcterms:modified>
</cp:coreProperties>
</file>