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8" i="18" l="1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<sst xmlns="http://schemas.openxmlformats.org/spreadsheetml/2006/main" count="300" uniqueCount="218">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</sst>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82541569"/>
  <ax:ocxPr ax:name="CurrentDate" ax:value="43096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E15" sqref="E15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43096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10486.67</v>
      </c>
      <c r="D7" s="34">
        <f>VLOOKUP($B$6,資料整合一覽!$B$3:$AF$500,3,FALSE)</f>
        <v>64.760000000000005</v>
      </c>
      <c r="E7" s="35">
        <f>VLOOKUP($B$6,資料整合一覽!$B$3:$AF$500,4,FALSE)</f>
        <v>6.1999999999999998E-3</v>
      </c>
      <c r="F7" s="33" t="str">
        <f>VLOOKUP($B$6,資料整合一覽!$B$3:$AF$500,5,FALSE)</f>
        <v>909.53億</v>
      </c>
      <c r="G7" s="36">
        <f>VLOOKUP($B$6,資料整合一覽!$B$3:$AF$500,6,FALSE)</f>
        <v>1.66174533</v>
      </c>
      <c r="H7" s="34">
        <f>VLOOKUP($B$6,資料整合一覽!$B$3:$AF$500,7,FALSE)</f>
        <v>1.84870175</v>
      </c>
      <c r="I7" s="34">
        <f>VLOOKUP($B$6,資料整合一覽!$B$3:$AF$500,8,FALSE)</f>
        <v>-0.17188199000000001</v>
      </c>
      <c r="J7" s="34">
        <f>VLOOKUP($B$6,資料整合一覽!$B$3:$AF$500,9,FALSE)</f>
        <v>25.758427489999999</v>
      </c>
      <c r="K7" s="37">
        <f>VLOOKUP($B$6,資料整合一覽!$B$3:$AF$500,10,FALSE)</f>
        <v>29.94</v>
      </c>
      <c r="L7" s="38">
        <f>VLOOKUP($B$6,資料整合一覽!$B$3:$AF$500,11,FALSE)</f>
        <v>-5.0000000000000001E-3</v>
      </c>
      <c r="M7" s="39">
        <f>VLOOKUP($B$6,資料整合一覽!$B$3:$AF$500,12,FALSE)</f>
        <v>0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-8460.75</v>
      </c>
      <c r="D11" s="27">
        <f>VLOOKUP($B$6,資料整合一覽!$B$3:$AF$500,14,FALSE)</f>
        <v>49251</v>
      </c>
      <c r="E11" s="64">
        <f>VLOOKUP($B$6,資料整合一覽!$B$3:$AF$500,17,FALSE)</f>
        <v>15.362299999999999</v>
      </c>
      <c r="F11" s="64">
        <f>VLOOKUP($B$6,資料整合一覽!$B$3:$AF$500,18,FALSE)</f>
        <v>-26.308199999999999</v>
      </c>
      <c r="G11" s="64">
        <f>VLOOKUP($B$6,資料整合一覽!$B$3:$AF$500,19,FALSE)</f>
        <v>5.2937000000000003</v>
      </c>
      <c r="H11" s="64">
        <f>VLOOKUP($B$6,資料整合一覽!$B$3:$AF$500,20,FALSE)</f>
        <v>51.5929</v>
      </c>
      <c r="I11" s="39">
        <f>VLOOKUP($B$6,資料整合一覽!$B$3:$AF$500,21,FALSE)</f>
        <v>1.5772999999999999</v>
      </c>
      <c r="J11" s="41">
        <f>VLOOKUP($B$6,資料整合一覽!$B$3:$AF$500,22,FALSE)</f>
        <v>8.9577050036809228E-2</v>
      </c>
      <c r="K11" s="35" t="e">
        <f>VLOOKUP($B$6,資料整合一覽!$B$3:$AF$500,29,FALSE)</f>
        <v>#N/A</v>
      </c>
      <c r="L11" s="35" t="e">
        <f>VLOOKUP($B$6,資料整合一覽!$B$3:$AF$500,30,FALSE)</f>
        <v>#N/A</v>
      </c>
      <c r="M11" s="35" t="e">
        <f>VLOOKUP($B$6,資料整合一覽!$B$3:$AF$500,31,FALSE)</f>
        <v>#N/A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18"/>
  <sheetViews>
    <sheetView zoomScale="80" zoomScaleNormal="80" workbookViewId="0">
      <pane ySplit="3" topLeftCell="A308" activePane="bottomLeft" state="frozen"/>
      <selection pane="bottomLeft" activeCell="I324" sqref="I324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174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17"/>
  <sheetViews>
    <sheetView zoomScaleNormal="100" workbookViewId="0">
      <pane ySplit="3" topLeftCell="A310" activePane="bottomLeft" state="frozen"/>
      <selection pane="bottomLeft" activeCell="G321" sqref="G321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VLOOKUP($B313,期貨未平倉口數!$A$4:$M$499,4,FALSE)</f>
        <v>0</v>
      </c>
      <c r="O313" s="27">
        <f>VLOOKUP($B313,期貨未平倉口數!$A$4:$M$499,9,FALSE)</f>
        <v>0</v>
      </c>
      <c r="P313" s="27">
        <f>VLOOKUP($B313,期貨未平倉口數!$A$4:$M$499,10,FALSE)</f>
        <v>0</v>
      </c>
      <c r="Q313" s="27">
        <f>VLOOKUP($B313,期貨未平倉口數!$A$4:$M$499,11,FALSE)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VLOOKUP($B314,期貨未平倉口數!$A$4:$M$499,4,FALSE)</f>
        <v>0</v>
      </c>
      <c r="O314" s="27">
        <f>VLOOKUP($B314,期貨未平倉口數!$A$4:$M$499,9,FALSE)</f>
        <v>0</v>
      </c>
      <c r="P314" s="27">
        <f>VLOOKUP($B314,期貨未平倉口數!$A$4:$M$499,10,FALSE)</f>
        <v>0</v>
      </c>
      <c r="Q314" s="27">
        <f>VLOOKUP($B314,期貨未平倉口數!$A$4:$M$499,11,FALSE)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VLOOKUP($B315,期貨未平倉口數!$A$4:$M$499,4,FALSE)</f>
        <v>-6297.5</v>
      </c>
      <c r="O315" s="27">
        <f>VLOOKUP($B315,期貨未平倉口數!$A$4:$M$499,9,FALSE)</f>
        <v>45815.5</v>
      </c>
      <c r="P315" s="27">
        <f>VLOOKUP($B315,期貨未平倉口數!$A$4:$M$499,10,FALSE)</f>
        <v>-229.75</v>
      </c>
      <c r="Q315" s="27">
        <f>VLOOKUP($B315,期貨未平倉口數!$A$4:$M$499,11,FALSE)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VLOOKUP($B316,期貨未平倉口數!$A$4:$M$499,4,FALSE)</f>
        <v>-7855.25</v>
      </c>
      <c r="O316" s="27">
        <f>VLOOKUP($B316,期貨未平倉口數!$A$4:$M$499,9,FALSE)</f>
        <v>43292</v>
      </c>
      <c r="P316" s="27">
        <f>VLOOKUP($B316,期貨未平倉口數!$A$4:$M$499,10,FALSE)</f>
        <v>-2753.25</v>
      </c>
      <c r="Q316" s="27">
        <f>VLOOKUP($B316,期貨未平倉口數!$A$4:$M$499,11,FALSE)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0</v>
      </c>
      <c r="N317" s="27">
        <f>VLOOKUP($B317,期貨未平倉口數!$A$4:$M$499,4,FALSE)</f>
        <v>-8460.75</v>
      </c>
      <c r="O317" s="27">
        <f>VLOOKUP($B317,期貨未平倉口數!$A$4:$M$499,9,FALSE)</f>
        <v>49251</v>
      </c>
      <c r="P317" s="27">
        <f>VLOOKUP($B317,期貨未平倉口數!$A$4:$M$499,10,FALSE)</f>
        <v>3205.75</v>
      </c>
      <c r="Q317" s="27">
        <f>VLOOKUP($B317,期貨未平倉口數!$A$4:$M$499,11,FALSE)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 t="e">
        <f>VLOOKUP($B317,三大美股走勢!$A$4:$J$495,4,FALSE)</f>
        <v>#N/A</v>
      </c>
      <c r="AE317" s="33" t="e">
        <f>VLOOKUP($B317,三大美股走勢!$A$4:$J$495,7,FALSE)</f>
        <v>#N/A</v>
      </c>
      <c r="AF317" s="33" t="e">
        <f>VLOOKUP($B317,三大美股走勢!$A$4:$J$495,10,FALSE)</f>
        <v>#N/A</v>
      </c>
    </row>
    <row r="318" spans="2:32">
      <c r="B318" s="32">
        <v>43097</v>
      </c>
      <c r="C318" s="33" t="e">
        <f>VLOOKUP($B318,大盤與近月台指!$A$4:$I$499,2,FALSE)</f>
        <v>#N/A</v>
      </c>
      <c r="D318" s="34" t="e">
        <f>VLOOKUP($B318,大盤與近月台指!$A$4:$I$499,3,FALSE)</f>
        <v>#N/A</v>
      </c>
      <c r="E318" s="35" t="e">
        <f>VLOOKUP($B318,大盤與近月台指!$A$4:$I$499,4,FALSE)</f>
        <v>#N/A</v>
      </c>
      <c r="F318" s="33" t="e">
        <f>VLOOKUP($B318,大盤與近月台指!$A$4:$I$499,5,FALSE)</f>
        <v>#N/A</v>
      </c>
      <c r="G318" s="49" t="e">
        <f>VLOOKUP($B318,三大法人買賣超!$A$4:$I$500,3,FALSE)</f>
        <v>#N/A</v>
      </c>
      <c r="H318" s="34" t="e">
        <f>VLOOKUP($B318,三大法人買賣超!$A$4:$I$500,5,FALSE)</f>
        <v>#N/A</v>
      </c>
      <c r="I318" s="27" t="e">
        <f>VLOOKUP($B318,三大法人買賣超!$A$4:$I$500,7,FALSE)</f>
        <v>#N/A</v>
      </c>
      <c r="J318" s="27" t="e">
        <f>VLOOKUP($B318,三大法人買賣超!$A$4:$I$500,9,FALSE)</f>
        <v>#N/A</v>
      </c>
      <c r="K318" s="37">
        <f>新台幣匯率美元指數!B319</f>
        <v>0</v>
      </c>
      <c r="L318" s="38">
        <f>新台幣匯率美元指數!C319</f>
        <v>0</v>
      </c>
      <c r="M318" s="39">
        <f>新台幣匯率美元指數!D319</f>
        <v>0</v>
      </c>
      <c r="N318" s="27" t="e">
        <f>VLOOKUP($B318,期貨未平倉口數!$A$4:$M$499,4,FALSE)</f>
        <v>#N/A</v>
      </c>
      <c r="O318" s="27" t="e">
        <f>VLOOKUP($B318,期貨未平倉口數!$A$4:$M$499,9,FALSE)</f>
        <v>#N/A</v>
      </c>
      <c r="P318" s="27" t="e">
        <f>VLOOKUP($B318,期貨未平倉口數!$A$4:$M$499,10,FALSE)</f>
        <v>#N/A</v>
      </c>
      <c r="Q318" s="27" t="e">
        <f>VLOOKUP($B318,期貨未平倉口數!$A$4:$M$499,11,FALSE)</f>
        <v>#N/A</v>
      </c>
      <c r="R318" s="64" t="e">
        <f>VLOOKUP($B318,選擇權未平倉餘額!$A$4:$I$500,6,FALSE)</f>
        <v>#N/A</v>
      </c>
      <c r="S318" s="64" t="e">
        <f>VLOOKUP($B318,選擇權未平倉餘額!$A$4:$I$500,7,FALSE)</f>
        <v>#N/A</v>
      </c>
      <c r="T318" s="64" t="e">
        <f>VLOOKUP($B318,選擇權未平倉餘額!$A$4:$I$500,8,FALSE)</f>
        <v>#N/A</v>
      </c>
      <c r="U318" s="64" t="e">
        <f>VLOOKUP($B318,選擇權未平倉餘額!$A$4:$I$500,9,FALSE)</f>
        <v>#N/A</v>
      </c>
      <c r="V318" s="39" t="e">
        <f>VLOOKUP($B318,臺指選擇權P_C_Ratios!$A$4:$C$500,3,FALSE)</f>
        <v>#N/A</v>
      </c>
      <c r="W318" s="41" t="e">
        <f>VLOOKUP($B318,散戶多空比!$A$6:$L$500,12,FALSE)</f>
        <v>#N/A</v>
      </c>
      <c r="X318" s="40" t="e">
        <f>VLOOKUP($B318,期貨大額交易人未沖銷部位!$A$4:$O$499,4,FALSE)</f>
        <v>#N/A</v>
      </c>
      <c r="Y318" s="40" t="e">
        <f>VLOOKUP($B318,期貨大額交易人未沖銷部位!$A$4:$O$499,7,FALSE)</f>
        <v>#N/A</v>
      </c>
      <c r="Z318" s="40" t="e">
        <f>VLOOKUP($B318,期貨大額交易人未沖銷部位!$A$4:$O$499,10,FALSE)</f>
        <v>#N/A</v>
      </c>
      <c r="AA318" s="40" t="e">
        <f>VLOOKUP($B318,期貨大額交易人未沖銷部位!$A$4:$O$499,13,FALSE)</f>
        <v>#N/A</v>
      </c>
      <c r="AB318" s="40" t="e">
        <f>VLOOKUP($B318,期貨大額交易人未沖銷部位!$A$4:$O$499,14,FALSE)</f>
        <v>#N/A</v>
      </c>
      <c r="AC318" s="40" t="e">
        <f>VLOOKUP($B318,期貨大額交易人未沖銷部位!$A$4:$O$499,15,FALSE)</f>
        <v>#N/A</v>
      </c>
      <c r="AD318" s="33" t="e">
        <f>VLOOKUP($B318,三大美股走勢!$A$4:$J$495,4,FALSE)</f>
        <v>#N/A</v>
      </c>
      <c r="AE318" s="33" t="e">
        <f>VLOOKUP($B318,三大美股走勢!$A$4:$J$495,7,FALSE)</f>
        <v>#N/A</v>
      </c>
      <c r="AF318" s="33" t="e">
        <f>VLOOKUP($B318,三大美股走勢!$A$4:$J$495,10,FALSE)</f>
        <v>#N/A</v>
      </c>
    </row>
    <row r="319" spans="2:32">
      <c r="B319" s="32">
        <v>43098</v>
      </c>
      <c r="C319" s="33" t="e">
        <f>VLOOKUP($B319,大盤與近月台指!$A$4:$I$499,2,FALSE)</f>
        <v>#N/A</v>
      </c>
      <c r="D319" s="34" t="e">
        <f>VLOOKUP($B319,大盤與近月台指!$A$4:$I$499,3,FALSE)</f>
        <v>#N/A</v>
      </c>
      <c r="E319" s="35" t="e">
        <f>VLOOKUP($B319,大盤與近月台指!$A$4:$I$499,4,FALSE)</f>
        <v>#N/A</v>
      </c>
      <c r="F319" s="33" t="e">
        <f>VLOOKUP($B319,大盤與近月台指!$A$4:$I$499,5,FALSE)</f>
        <v>#N/A</v>
      </c>
      <c r="G319" s="49" t="e">
        <f>VLOOKUP($B319,三大法人買賣超!$A$4:$I$500,3,FALSE)</f>
        <v>#N/A</v>
      </c>
      <c r="H319" s="34" t="e">
        <f>VLOOKUP($B319,三大法人買賣超!$A$4:$I$500,5,FALSE)</f>
        <v>#N/A</v>
      </c>
      <c r="I319" s="27" t="e">
        <f>VLOOKUP($B319,三大法人買賣超!$A$4:$I$500,7,FALSE)</f>
        <v>#N/A</v>
      </c>
      <c r="J319" s="27" t="e">
        <f>VLOOKUP($B319,三大法人買賣超!$A$4:$I$500,9,FALSE)</f>
        <v>#N/A</v>
      </c>
      <c r="K319" s="37">
        <f>新台幣匯率美元指數!B320</f>
        <v>0</v>
      </c>
      <c r="L319" s="38">
        <f>新台幣匯率美元指數!C320</f>
        <v>0</v>
      </c>
      <c r="M319" s="39">
        <f>新台幣匯率美元指數!D320</f>
        <v>0</v>
      </c>
      <c r="N319" s="27" t="e">
        <f>VLOOKUP($B319,期貨未平倉口數!$A$4:$M$499,4,FALSE)</f>
        <v>#N/A</v>
      </c>
      <c r="O319" s="27" t="e">
        <f>VLOOKUP($B319,期貨未平倉口數!$A$4:$M$499,9,FALSE)</f>
        <v>#N/A</v>
      </c>
      <c r="P319" s="27" t="e">
        <f>VLOOKUP($B319,期貨未平倉口數!$A$4:$M$499,10,FALSE)</f>
        <v>#N/A</v>
      </c>
      <c r="Q319" s="27" t="e">
        <f>VLOOKUP($B319,期貨未平倉口數!$A$4:$M$499,11,FALSE)</f>
        <v>#N/A</v>
      </c>
      <c r="R319" s="64" t="e">
        <f>VLOOKUP($B319,選擇權未平倉餘額!$A$4:$I$500,6,FALSE)</f>
        <v>#N/A</v>
      </c>
      <c r="S319" s="64" t="e">
        <f>VLOOKUP($B319,選擇權未平倉餘額!$A$4:$I$500,7,FALSE)</f>
        <v>#N/A</v>
      </c>
      <c r="T319" s="64" t="e">
        <f>VLOOKUP($B319,選擇權未平倉餘額!$A$4:$I$500,8,FALSE)</f>
        <v>#N/A</v>
      </c>
      <c r="U319" s="64" t="e">
        <f>VLOOKUP($B319,選擇權未平倉餘額!$A$4:$I$500,9,FALSE)</f>
        <v>#N/A</v>
      </c>
      <c r="V319" s="39" t="e">
        <f>VLOOKUP($B319,臺指選擇權P_C_Ratios!$A$4:$C$500,3,FALSE)</f>
        <v>#N/A</v>
      </c>
      <c r="W319" s="41" t="e">
        <f>VLOOKUP($B319,散戶多空比!$A$6:$L$500,12,FALSE)</f>
        <v>#N/A</v>
      </c>
      <c r="X319" s="40" t="e">
        <f>VLOOKUP($B319,期貨大額交易人未沖銷部位!$A$4:$O$499,4,FALSE)</f>
        <v>#N/A</v>
      </c>
      <c r="Y319" s="40" t="e">
        <f>VLOOKUP($B319,期貨大額交易人未沖銷部位!$A$4:$O$499,7,FALSE)</f>
        <v>#N/A</v>
      </c>
      <c r="Z319" s="40" t="e">
        <f>VLOOKUP($B319,期貨大額交易人未沖銷部位!$A$4:$O$499,10,FALSE)</f>
        <v>#N/A</v>
      </c>
      <c r="AA319" s="40" t="e">
        <f>VLOOKUP($B319,期貨大額交易人未沖銷部位!$A$4:$O$499,13,FALSE)</f>
        <v>#N/A</v>
      </c>
      <c r="AB319" s="40" t="e">
        <f>VLOOKUP($B319,期貨大額交易人未沖銷部位!$A$4:$O$499,14,FALSE)</f>
        <v>#N/A</v>
      </c>
      <c r="AC319" s="40" t="e">
        <f>VLOOKUP($B319,期貨大額交易人未沖銷部位!$A$4:$O$499,15,FALSE)</f>
        <v>#N/A</v>
      </c>
      <c r="AD319" s="33" t="e">
        <f>VLOOKUP($B319,三大美股走勢!$A$4:$J$495,4,FALSE)</f>
        <v>#N/A</v>
      </c>
      <c r="AE319" s="33" t="e">
        <f>VLOOKUP($B319,三大美股走勢!$A$4:$J$495,7,FALSE)</f>
        <v>#N/A</v>
      </c>
      <c r="AF319" s="33" t="e">
        <f>VLOOKUP($B319,三大美股走勢!$A$4:$J$495,10,FALSE)</f>
        <v>#N/A</v>
      </c>
    </row>
    <row r="320" spans="2:32">
      <c r="B320" s="32">
        <v>43099</v>
      </c>
      <c r="C320" s="33" t="e">
        <f>VLOOKUP($B320,大盤與近月台指!$A$4:$I$499,2,FALSE)</f>
        <v>#N/A</v>
      </c>
      <c r="D320" s="34" t="e">
        <f>VLOOKUP($B320,大盤與近月台指!$A$4:$I$499,3,FALSE)</f>
        <v>#N/A</v>
      </c>
      <c r="E320" s="35" t="e">
        <f>VLOOKUP($B320,大盤與近月台指!$A$4:$I$499,4,FALSE)</f>
        <v>#N/A</v>
      </c>
      <c r="F320" s="33" t="e">
        <f>VLOOKUP($B320,大盤與近月台指!$A$4:$I$499,5,FALSE)</f>
        <v>#N/A</v>
      </c>
      <c r="G320" s="49" t="e">
        <f>VLOOKUP($B320,三大法人買賣超!$A$4:$I$500,3,FALSE)</f>
        <v>#N/A</v>
      </c>
      <c r="H320" s="34" t="e">
        <f>VLOOKUP($B320,三大法人買賣超!$A$4:$I$500,5,FALSE)</f>
        <v>#N/A</v>
      </c>
      <c r="I320" s="27" t="e">
        <f>VLOOKUP($B320,三大法人買賣超!$A$4:$I$500,7,FALSE)</f>
        <v>#N/A</v>
      </c>
      <c r="J320" s="27" t="e">
        <f>VLOOKUP($B320,三大法人買賣超!$A$4:$I$500,9,FALSE)</f>
        <v>#N/A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 t="e">
        <f>VLOOKUP($B320,期貨未平倉口數!$A$4:$M$499,4,FALSE)</f>
        <v>#N/A</v>
      </c>
      <c r="O320" s="27" t="e">
        <f>VLOOKUP($B320,期貨未平倉口數!$A$4:$M$499,9,FALSE)</f>
        <v>#N/A</v>
      </c>
      <c r="P320" s="27" t="e">
        <f>VLOOKUP($B320,期貨未平倉口數!$A$4:$M$499,10,FALSE)</f>
        <v>#N/A</v>
      </c>
      <c r="Q320" s="27" t="e">
        <f>VLOOKUP($B320,期貨未平倉口數!$A$4:$M$499,11,FALSE)</f>
        <v>#N/A</v>
      </c>
      <c r="R320" s="64" t="e">
        <f>VLOOKUP($B320,選擇權未平倉餘額!$A$4:$I$500,6,FALSE)</f>
        <v>#N/A</v>
      </c>
      <c r="S320" s="64" t="e">
        <f>VLOOKUP($B320,選擇權未平倉餘額!$A$4:$I$500,7,FALSE)</f>
        <v>#N/A</v>
      </c>
      <c r="T320" s="64" t="e">
        <f>VLOOKUP($B320,選擇權未平倉餘額!$A$4:$I$500,8,FALSE)</f>
        <v>#N/A</v>
      </c>
      <c r="U320" s="64" t="e">
        <f>VLOOKUP($B320,選擇權未平倉餘額!$A$4:$I$500,9,FALSE)</f>
        <v>#N/A</v>
      </c>
      <c r="V320" s="39" t="e">
        <f>VLOOKUP($B320,臺指選擇權P_C_Ratios!$A$4:$C$500,3,FALSE)</f>
        <v>#N/A</v>
      </c>
      <c r="W320" s="41" t="e">
        <f>VLOOKUP($B320,散戶多空比!$A$6:$L$500,12,FALSE)</f>
        <v>#N/A</v>
      </c>
      <c r="X320" s="40" t="e">
        <f>VLOOKUP($B320,期貨大額交易人未沖銷部位!$A$4:$O$499,4,FALSE)</f>
        <v>#N/A</v>
      </c>
      <c r="Y320" s="40" t="e">
        <f>VLOOKUP($B320,期貨大額交易人未沖銷部位!$A$4:$O$499,7,FALSE)</f>
        <v>#N/A</v>
      </c>
      <c r="Z320" s="40" t="e">
        <f>VLOOKUP($B320,期貨大額交易人未沖銷部位!$A$4:$O$499,10,FALSE)</f>
        <v>#N/A</v>
      </c>
      <c r="AA320" s="40" t="e">
        <f>VLOOKUP($B320,期貨大額交易人未沖銷部位!$A$4:$O$499,13,FALSE)</f>
        <v>#N/A</v>
      </c>
      <c r="AB320" s="40" t="e">
        <f>VLOOKUP($B320,期貨大額交易人未沖銷部位!$A$4:$O$499,14,FALSE)</f>
        <v>#N/A</v>
      </c>
      <c r="AC320" s="40" t="e">
        <f>VLOOKUP($B320,期貨大額交易人未沖銷部位!$A$4:$O$499,15,FALSE)</f>
        <v>#N/A</v>
      </c>
      <c r="AD320" s="33" t="e">
        <f>VLOOKUP($B320,三大美股走勢!$A$4:$J$495,4,FALSE)</f>
        <v>#N/A</v>
      </c>
      <c r="AE320" s="33" t="e">
        <f>VLOOKUP($B320,三大美股走勢!$A$4:$J$495,7,FALSE)</f>
        <v>#N/A</v>
      </c>
      <c r="AF320" s="33" t="e">
        <f>VLOOKUP($B320,三大美股走勢!$A$4:$J$495,10,FALSE)</f>
        <v>#N/A</v>
      </c>
    </row>
    <row r="321" spans="2:32">
      <c r="B321" s="32">
        <v>43100</v>
      </c>
      <c r="C321" s="33" t="e">
        <f>VLOOKUP($B321,大盤與近月台指!$A$4:$I$499,2,FALSE)</f>
        <v>#N/A</v>
      </c>
      <c r="D321" s="34" t="e">
        <f>VLOOKUP($B321,大盤與近月台指!$A$4:$I$499,3,FALSE)</f>
        <v>#N/A</v>
      </c>
      <c r="E321" s="35" t="e">
        <f>VLOOKUP($B321,大盤與近月台指!$A$4:$I$499,4,FALSE)</f>
        <v>#N/A</v>
      </c>
      <c r="F321" s="33" t="e">
        <f>VLOOKUP($B321,大盤與近月台指!$A$4:$I$499,5,FALSE)</f>
        <v>#N/A</v>
      </c>
      <c r="G321" s="49" t="e">
        <f>VLOOKUP($B321,三大法人買賣超!$A$4:$I$500,3,FALSE)</f>
        <v>#N/A</v>
      </c>
      <c r="H321" s="34" t="e">
        <f>VLOOKUP($B321,三大法人買賣超!$A$4:$I$500,5,FALSE)</f>
        <v>#N/A</v>
      </c>
      <c r="I321" s="27" t="e">
        <f>VLOOKUP($B321,三大法人買賣超!$A$4:$I$500,7,FALSE)</f>
        <v>#N/A</v>
      </c>
      <c r="J321" s="27" t="e">
        <f>VLOOKUP($B321,三大法人買賣超!$A$4:$I$500,9,FALSE)</f>
        <v>#N/A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 t="e">
        <f>VLOOKUP($B321,期貨未平倉口數!$A$4:$M$499,4,FALSE)</f>
        <v>#N/A</v>
      </c>
      <c r="O321" s="27" t="e">
        <f>VLOOKUP($B321,期貨未平倉口數!$A$4:$M$499,9,FALSE)</f>
        <v>#N/A</v>
      </c>
      <c r="P321" s="27" t="e">
        <f>VLOOKUP($B321,期貨未平倉口數!$A$4:$M$499,10,FALSE)</f>
        <v>#N/A</v>
      </c>
      <c r="Q321" s="27" t="e">
        <f>VLOOKUP($B321,期貨未平倉口數!$A$4:$M$499,11,FALSE)</f>
        <v>#N/A</v>
      </c>
      <c r="R321" s="64" t="e">
        <f>VLOOKUP($B321,選擇權未平倉餘額!$A$4:$I$500,6,FALSE)</f>
        <v>#N/A</v>
      </c>
      <c r="S321" s="64" t="e">
        <f>VLOOKUP($B321,選擇權未平倉餘額!$A$4:$I$500,7,FALSE)</f>
        <v>#N/A</v>
      </c>
      <c r="T321" s="64" t="e">
        <f>VLOOKUP($B321,選擇權未平倉餘額!$A$4:$I$500,8,FALSE)</f>
        <v>#N/A</v>
      </c>
      <c r="U321" s="64" t="e">
        <f>VLOOKUP($B321,選擇權未平倉餘額!$A$4:$I$500,9,FALSE)</f>
        <v>#N/A</v>
      </c>
      <c r="V321" s="39" t="e">
        <f>VLOOKUP($B321,臺指選擇權P_C_Ratios!$A$4:$C$500,3,FALSE)</f>
        <v>#N/A</v>
      </c>
      <c r="W321" s="41" t="e">
        <f>VLOOKUP($B321,散戶多空比!$A$6:$L$500,12,FALSE)</f>
        <v>#N/A</v>
      </c>
      <c r="X321" s="40" t="e">
        <f>VLOOKUP($B321,期貨大額交易人未沖銷部位!$A$4:$O$499,4,FALSE)</f>
        <v>#N/A</v>
      </c>
      <c r="Y321" s="40" t="e">
        <f>VLOOKUP($B321,期貨大額交易人未沖銷部位!$A$4:$O$499,7,FALSE)</f>
        <v>#N/A</v>
      </c>
      <c r="Z321" s="40" t="e">
        <f>VLOOKUP($B321,期貨大額交易人未沖銷部位!$A$4:$O$499,10,FALSE)</f>
        <v>#N/A</v>
      </c>
      <c r="AA321" s="40" t="e">
        <f>VLOOKUP($B321,期貨大額交易人未沖銷部位!$A$4:$O$499,13,FALSE)</f>
        <v>#N/A</v>
      </c>
      <c r="AB321" s="40" t="e">
        <f>VLOOKUP($B321,期貨大額交易人未沖銷部位!$A$4:$O$499,14,FALSE)</f>
        <v>#N/A</v>
      </c>
      <c r="AC321" s="40" t="e">
        <f>VLOOKUP($B321,期貨大額交易人未沖銷部位!$A$4:$O$499,15,FALSE)</f>
        <v>#N/A</v>
      </c>
      <c r="AD321" s="33" t="e">
        <f>VLOOKUP($B321,三大美股走勢!$A$4:$J$495,4,FALSE)</f>
        <v>#N/A</v>
      </c>
      <c r="AE321" s="33" t="e">
        <f>VLOOKUP($B321,三大美股走勢!$A$4:$J$495,7,FALSE)</f>
        <v>#N/A</v>
      </c>
      <c r="AF321" s="33" t="e">
        <f>VLOOKUP($B321,三大美股走勢!$A$4:$J$495,10,FALSE)</f>
        <v>#N/A</v>
      </c>
    </row>
    <row r="322" spans="2:32">
      <c r="B322" s="32">
        <v>43101</v>
      </c>
      <c r="C322" s="33" t="e">
        <f>VLOOKUP($B322,大盤與近月台指!$A$4:$I$499,2,FALSE)</f>
        <v>#N/A</v>
      </c>
      <c r="D322" s="34" t="e">
        <f>VLOOKUP($B322,大盤與近月台指!$A$4:$I$499,3,FALSE)</f>
        <v>#N/A</v>
      </c>
      <c r="E322" s="35" t="e">
        <f>VLOOKUP($B322,大盤與近月台指!$A$4:$I$499,4,FALSE)</f>
        <v>#N/A</v>
      </c>
      <c r="F322" s="33" t="e">
        <f>VLOOKUP($B322,大盤與近月台指!$A$4:$I$499,5,FALSE)</f>
        <v>#N/A</v>
      </c>
      <c r="G322" s="49" t="e">
        <f>VLOOKUP($B322,三大法人買賣超!$A$4:$I$500,3,FALSE)</f>
        <v>#N/A</v>
      </c>
      <c r="H322" s="34" t="e">
        <f>VLOOKUP($B322,三大法人買賣超!$A$4:$I$500,5,FALSE)</f>
        <v>#N/A</v>
      </c>
      <c r="I322" s="27" t="e">
        <f>VLOOKUP($B322,三大法人買賣超!$A$4:$I$500,7,FALSE)</f>
        <v>#N/A</v>
      </c>
      <c r="J322" s="27" t="e">
        <f>VLOOKUP($B322,三大法人買賣超!$A$4:$I$500,9,FALSE)</f>
        <v>#N/A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 t="e">
        <f>VLOOKUP($B322,期貨未平倉口數!$A$4:$M$499,4,FALSE)</f>
        <v>#N/A</v>
      </c>
      <c r="O322" s="27" t="e">
        <f>VLOOKUP($B322,期貨未平倉口數!$A$4:$M$499,9,FALSE)</f>
        <v>#N/A</v>
      </c>
      <c r="P322" s="27" t="e">
        <f>VLOOKUP($B322,期貨未平倉口數!$A$4:$M$499,10,FALSE)</f>
        <v>#N/A</v>
      </c>
      <c r="Q322" s="27" t="e">
        <f>VLOOKUP($B322,期貨未平倉口數!$A$4:$M$499,11,FALSE)</f>
        <v>#N/A</v>
      </c>
      <c r="R322" s="64" t="e">
        <f>VLOOKUP($B322,選擇權未平倉餘額!$A$4:$I$500,6,FALSE)</f>
        <v>#N/A</v>
      </c>
      <c r="S322" s="64" t="e">
        <f>VLOOKUP($B322,選擇權未平倉餘額!$A$4:$I$500,7,FALSE)</f>
        <v>#N/A</v>
      </c>
      <c r="T322" s="64" t="e">
        <f>VLOOKUP($B322,選擇權未平倉餘額!$A$4:$I$500,8,FALSE)</f>
        <v>#N/A</v>
      </c>
      <c r="U322" s="64" t="e">
        <f>VLOOKUP($B322,選擇權未平倉餘額!$A$4:$I$500,9,FALSE)</f>
        <v>#N/A</v>
      </c>
      <c r="V322" s="39" t="e">
        <f>VLOOKUP($B322,臺指選擇權P_C_Ratios!$A$4:$C$500,3,FALSE)</f>
        <v>#N/A</v>
      </c>
      <c r="W322" s="41" t="e">
        <f>VLOOKUP($B322,散戶多空比!$A$6:$L$500,12,FALSE)</f>
        <v>#N/A</v>
      </c>
      <c r="X322" s="40" t="e">
        <f>VLOOKUP($B322,期貨大額交易人未沖銷部位!$A$4:$O$499,4,FALSE)</f>
        <v>#N/A</v>
      </c>
      <c r="Y322" s="40" t="e">
        <f>VLOOKUP($B322,期貨大額交易人未沖銷部位!$A$4:$O$499,7,FALSE)</f>
        <v>#N/A</v>
      </c>
      <c r="Z322" s="40" t="e">
        <f>VLOOKUP($B322,期貨大額交易人未沖銷部位!$A$4:$O$499,10,FALSE)</f>
        <v>#N/A</v>
      </c>
      <c r="AA322" s="40" t="e">
        <f>VLOOKUP($B322,期貨大額交易人未沖銷部位!$A$4:$O$499,13,FALSE)</f>
        <v>#N/A</v>
      </c>
      <c r="AB322" s="40" t="e">
        <f>VLOOKUP($B322,期貨大額交易人未沖銷部位!$A$4:$O$499,14,FALSE)</f>
        <v>#N/A</v>
      </c>
      <c r="AC322" s="40" t="e">
        <f>VLOOKUP($B322,期貨大額交易人未沖銷部位!$A$4:$O$499,15,FALSE)</f>
        <v>#N/A</v>
      </c>
      <c r="AD322" s="33" t="e">
        <f>VLOOKUP($B322,三大美股走勢!$A$4:$J$495,4,FALSE)</f>
        <v>#N/A</v>
      </c>
      <c r="AE322" s="33" t="e">
        <f>VLOOKUP($B322,三大美股走勢!$A$4:$J$495,7,FALSE)</f>
        <v>#N/A</v>
      </c>
      <c r="AF322" s="33" t="e">
        <f>VLOOKUP($B322,三大美股走勢!$A$4:$J$495,10,FALSE)</f>
        <v>#N/A</v>
      </c>
    </row>
    <row r="323" spans="2:32">
      <c r="B323" s="32">
        <v>43102</v>
      </c>
      <c r="C323" s="33" t="e">
        <f>VLOOKUP($B323,大盤與近月台指!$A$4:$I$499,2,FALSE)</f>
        <v>#N/A</v>
      </c>
      <c r="D323" s="34" t="e">
        <f>VLOOKUP($B323,大盤與近月台指!$A$4:$I$499,3,FALSE)</f>
        <v>#N/A</v>
      </c>
      <c r="E323" s="35" t="e">
        <f>VLOOKUP($B323,大盤與近月台指!$A$4:$I$499,4,FALSE)</f>
        <v>#N/A</v>
      </c>
      <c r="F323" s="33" t="e">
        <f>VLOOKUP($B323,大盤與近月台指!$A$4:$I$499,5,FALSE)</f>
        <v>#N/A</v>
      </c>
      <c r="G323" s="49" t="e">
        <f>VLOOKUP($B323,三大法人買賣超!$A$4:$I$500,3,FALSE)</f>
        <v>#N/A</v>
      </c>
      <c r="H323" s="34" t="e">
        <f>VLOOKUP($B323,三大法人買賣超!$A$4:$I$500,5,FALSE)</f>
        <v>#N/A</v>
      </c>
      <c r="I323" s="27" t="e">
        <f>VLOOKUP($B323,三大法人買賣超!$A$4:$I$500,7,FALSE)</f>
        <v>#N/A</v>
      </c>
      <c r="J323" s="27" t="e">
        <f>VLOOKUP($B323,三大法人買賣超!$A$4:$I$500,9,FALSE)</f>
        <v>#N/A</v>
      </c>
      <c r="K323" s="37">
        <f>新台幣匯率美元指數!B324</f>
        <v>0</v>
      </c>
      <c r="L323" s="38">
        <f>新台幣匯率美元指數!C324</f>
        <v>0</v>
      </c>
      <c r="M323" s="39">
        <f>新台幣匯率美元指數!D324</f>
        <v>0</v>
      </c>
      <c r="N323" s="27" t="e">
        <f>VLOOKUP($B323,期貨未平倉口數!$A$4:$M$499,4,FALSE)</f>
        <v>#N/A</v>
      </c>
      <c r="O323" s="27" t="e">
        <f>VLOOKUP($B323,期貨未平倉口數!$A$4:$M$499,9,FALSE)</f>
        <v>#N/A</v>
      </c>
      <c r="P323" s="27" t="e">
        <f>VLOOKUP($B323,期貨未平倉口數!$A$4:$M$499,10,FALSE)</f>
        <v>#N/A</v>
      </c>
      <c r="Q323" s="27" t="e">
        <f>VLOOKUP($B323,期貨未平倉口數!$A$4:$M$499,11,FALSE)</f>
        <v>#N/A</v>
      </c>
      <c r="R323" s="64" t="e">
        <f>VLOOKUP($B323,選擇權未平倉餘額!$A$4:$I$500,6,FALSE)</f>
        <v>#N/A</v>
      </c>
      <c r="S323" s="64" t="e">
        <f>VLOOKUP($B323,選擇權未平倉餘額!$A$4:$I$500,7,FALSE)</f>
        <v>#N/A</v>
      </c>
      <c r="T323" s="64" t="e">
        <f>VLOOKUP($B323,選擇權未平倉餘額!$A$4:$I$500,8,FALSE)</f>
        <v>#N/A</v>
      </c>
      <c r="U323" s="64" t="e">
        <f>VLOOKUP($B323,選擇權未平倉餘額!$A$4:$I$500,9,FALSE)</f>
        <v>#N/A</v>
      </c>
      <c r="V323" s="39" t="e">
        <f>VLOOKUP($B323,臺指選擇權P_C_Ratios!$A$4:$C$500,3,FALSE)</f>
        <v>#N/A</v>
      </c>
      <c r="W323" s="41" t="e">
        <f>VLOOKUP($B323,散戶多空比!$A$6:$L$500,12,FALSE)</f>
        <v>#N/A</v>
      </c>
      <c r="X323" s="40" t="e">
        <f>VLOOKUP($B323,期貨大額交易人未沖銷部位!$A$4:$O$499,4,FALSE)</f>
        <v>#N/A</v>
      </c>
      <c r="Y323" s="40" t="e">
        <f>VLOOKUP($B323,期貨大額交易人未沖銷部位!$A$4:$O$499,7,FALSE)</f>
        <v>#N/A</v>
      </c>
      <c r="Z323" s="40" t="e">
        <f>VLOOKUP($B323,期貨大額交易人未沖銷部位!$A$4:$O$499,10,FALSE)</f>
        <v>#N/A</v>
      </c>
      <c r="AA323" s="40" t="e">
        <f>VLOOKUP($B323,期貨大額交易人未沖銷部位!$A$4:$O$499,13,FALSE)</f>
        <v>#N/A</v>
      </c>
      <c r="AB323" s="40" t="e">
        <f>VLOOKUP($B323,期貨大額交易人未沖銷部位!$A$4:$O$499,14,FALSE)</f>
        <v>#N/A</v>
      </c>
      <c r="AC323" s="40" t="e">
        <f>VLOOKUP($B323,期貨大額交易人未沖銷部位!$A$4:$O$499,15,FALSE)</f>
        <v>#N/A</v>
      </c>
      <c r="AD323" s="33" t="e">
        <f>VLOOKUP($B323,三大美股走勢!$A$4:$J$495,4,FALSE)</f>
        <v>#N/A</v>
      </c>
      <c r="AE323" s="33" t="e">
        <f>VLOOKUP($B323,三大美股走勢!$A$4:$J$495,7,FALSE)</f>
        <v>#N/A</v>
      </c>
      <c r="AF323" s="33" t="e">
        <f>VLOOKUP($B323,三大美股走勢!$A$4:$J$495,10,FALSE)</f>
        <v>#N/A</v>
      </c>
    </row>
    <row r="324" spans="2:32">
      <c r="B324" s="32">
        <v>43103</v>
      </c>
      <c r="C324" s="33" t="e">
        <f>VLOOKUP($B324,大盤與近月台指!$A$4:$I$499,2,FALSE)</f>
        <v>#N/A</v>
      </c>
      <c r="D324" s="34" t="e">
        <f>VLOOKUP($B324,大盤與近月台指!$A$4:$I$499,3,FALSE)</f>
        <v>#N/A</v>
      </c>
      <c r="E324" s="35" t="e">
        <f>VLOOKUP($B324,大盤與近月台指!$A$4:$I$499,4,FALSE)</f>
        <v>#N/A</v>
      </c>
      <c r="F324" s="33" t="e">
        <f>VLOOKUP($B324,大盤與近月台指!$A$4:$I$499,5,FALSE)</f>
        <v>#N/A</v>
      </c>
      <c r="G324" s="49" t="e">
        <f>VLOOKUP($B324,三大法人買賣超!$A$4:$I$500,3,FALSE)</f>
        <v>#N/A</v>
      </c>
      <c r="H324" s="34" t="e">
        <f>VLOOKUP($B324,三大法人買賣超!$A$4:$I$500,5,FALSE)</f>
        <v>#N/A</v>
      </c>
      <c r="I324" s="27" t="e">
        <f>VLOOKUP($B324,三大法人買賣超!$A$4:$I$500,7,FALSE)</f>
        <v>#N/A</v>
      </c>
      <c r="J324" s="27" t="e">
        <f>VLOOKUP($B324,三大法人買賣超!$A$4:$I$500,9,FALSE)</f>
        <v>#N/A</v>
      </c>
      <c r="K324" s="37">
        <f>新台幣匯率美元指數!B325</f>
        <v>0</v>
      </c>
      <c r="L324" s="38">
        <f>新台幣匯率美元指數!C325</f>
        <v>0</v>
      </c>
      <c r="M324" s="39">
        <f>新台幣匯率美元指數!D325</f>
        <v>0</v>
      </c>
      <c r="N324" s="27" t="e">
        <f>VLOOKUP($B324,期貨未平倉口數!$A$4:$M$499,4,FALSE)</f>
        <v>#N/A</v>
      </c>
      <c r="O324" s="27" t="e">
        <f>VLOOKUP($B324,期貨未平倉口數!$A$4:$M$499,9,FALSE)</f>
        <v>#N/A</v>
      </c>
      <c r="P324" s="27" t="e">
        <f>VLOOKUP($B324,期貨未平倉口數!$A$4:$M$499,10,FALSE)</f>
        <v>#N/A</v>
      </c>
      <c r="Q324" s="27" t="e">
        <f>VLOOKUP($B324,期貨未平倉口數!$A$4:$M$499,11,FALSE)</f>
        <v>#N/A</v>
      </c>
      <c r="R324" s="64" t="e">
        <f>VLOOKUP($B324,選擇權未平倉餘額!$A$4:$I$500,6,FALSE)</f>
        <v>#N/A</v>
      </c>
      <c r="S324" s="64" t="e">
        <f>VLOOKUP($B324,選擇權未平倉餘額!$A$4:$I$500,7,FALSE)</f>
        <v>#N/A</v>
      </c>
      <c r="T324" s="64" t="e">
        <f>VLOOKUP($B324,選擇權未平倉餘額!$A$4:$I$500,8,FALSE)</f>
        <v>#N/A</v>
      </c>
      <c r="U324" s="64" t="e">
        <f>VLOOKUP($B324,選擇權未平倉餘額!$A$4:$I$500,9,FALSE)</f>
        <v>#N/A</v>
      </c>
      <c r="V324" s="39" t="e">
        <f>VLOOKUP($B324,臺指選擇權P_C_Ratios!$A$4:$C$500,3,FALSE)</f>
        <v>#N/A</v>
      </c>
      <c r="W324" s="41" t="e">
        <f>VLOOKUP($B324,散戶多空比!$A$6:$L$500,12,FALSE)</f>
        <v>#N/A</v>
      </c>
      <c r="X324" s="40" t="e">
        <f>VLOOKUP($B324,期貨大額交易人未沖銷部位!$A$4:$O$499,4,FALSE)</f>
        <v>#N/A</v>
      </c>
      <c r="Y324" s="40" t="e">
        <f>VLOOKUP($B324,期貨大額交易人未沖銷部位!$A$4:$O$499,7,FALSE)</f>
        <v>#N/A</v>
      </c>
      <c r="Z324" s="40" t="e">
        <f>VLOOKUP($B324,期貨大額交易人未沖銷部位!$A$4:$O$499,10,FALSE)</f>
        <v>#N/A</v>
      </c>
      <c r="AA324" s="40" t="e">
        <f>VLOOKUP($B324,期貨大額交易人未沖銷部位!$A$4:$O$499,13,FALSE)</f>
        <v>#N/A</v>
      </c>
      <c r="AB324" s="40" t="e">
        <f>VLOOKUP($B324,期貨大額交易人未沖銷部位!$A$4:$O$499,14,FALSE)</f>
        <v>#N/A</v>
      </c>
      <c r="AC324" s="40" t="e">
        <f>VLOOKUP($B324,期貨大額交易人未沖銷部位!$A$4:$O$499,15,FALSE)</f>
        <v>#N/A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 t="e">
        <f>VLOOKUP($B325,大盤與近月台指!$A$4:$I$499,2,FALSE)</f>
        <v>#N/A</v>
      </c>
      <c r="D325" s="34" t="e">
        <f>VLOOKUP($B325,大盤與近月台指!$A$4:$I$499,3,FALSE)</f>
        <v>#N/A</v>
      </c>
      <c r="E325" s="35" t="e">
        <f>VLOOKUP($B325,大盤與近月台指!$A$4:$I$499,4,FALSE)</f>
        <v>#N/A</v>
      </c>
      <c r="F325" s="33" t="e">
        <f>VLOOKUP($B325,大盤與近月台指!$A$4:$I$499,5,FALSE)</f>
        <v>#N/A</v>
      </c>
      <c r="G325" s="49" t="e">
        <f>VLOOKUP($B325,三大法人買賣超!$A$4:$I$500,3,FALSE)</f>
        <v>#N/A</v>
      </c>
      <c r="H325" s="34" t="e">
        <f>VLOOKUP($B325,三大法人買賣超!$A$4:$I$500,5,FALSE)</f>
        <v>#N/A</v>
      </c>
      <c r="I325" s="27" t="e">
        <f>VLOOKUP($B325,三大法人買賣超!$A$4:$I$500,7,FALSE)</f>
        <v>#N/A</v>
      </c>
      <c r="J325" s="27" t="e">
        <f>VLOOKUP($B325,三大法人買賣超!$A$4:$I$500,9,FALSE)</f>
        <v>#N/A</v>
      </c>
      <c r="K325" s="37">
        <f>新台幣匯率美元指數!B326</f>
        <v>0</v>
      </c>
      <c r="L325" s="38">
        <f>新台幣匯率美元指數!C326</f>
        <v>0</v>
      </c>
      <c r="M325" s="39">
        <f>新台幣匯率美元指數!D326</f>
        <v>0</v>
      </c>
      <c r="N325" s="27" t="e">
        <f>VLOOKUP($B325,期貨未平倉口數!$A$4:$M$499,4,FALSE)</f>
        <v>#N/A</v>
      </c>
      <c r="O325" s="27" t="e">
        <f>VLOOKUP($B325,期貨未平倉口數!$A$4:$M$499,9,FALSE)</f>
        <v>#N/A</v>
      </c>
      <c r="P325" s="27" t="e">
        <f>VLOOKUP($B325,期貨未平倉口數!$A$4:$M$499,10,FALSE)</f>
        <v>#N/A</v>
      </c>
      <c r="Q325" s="27" t="e">
        <f>VLOOKUP($B325,期貨未平倉口數!$A$4:$M$499,11,FALSE)</f>
        <v>#N/A</v>
      </c>
      <c r="R325" s="64" t="e">
        <f>VLOOKUP($B325,選擇權未平倉餘額!$A$4:$I$500,6,FALSE)</f>
        <v>#N/A</v>
      </c>
      <c r="S325" s="64" t="e">
        <f>VLOOKUP($B325,選擇權未平倉餘額!$A$4:$I$500,7,FALSE)</f>
        <v>#N/A</v>
      </c>
      <c r="T325" s="64" t="e">
        <f>VLOOKUP($B325,選擇權未平倉餘額!$A$4:$I$500,8,FALSE)</f>
        <v>#N/A</v>
      </c>
      <c r="U325" s="64" t="e">
        <f>VLOOKUP($B325,選擇權未平倉餘額!$A$4:$I$500,9,FALSE)</f>
        <v>#N/A</v>
      </c>
      <c r="V325" s="39" t="e">
        <f>VLOOKUP($B325,臺指選擇權P_C_Ratios!$A$4:$C$500,3,FALSE)</f>
        <v>#N/A</v>
      </c>
      <c r="W325" s="41" t="e">
        <f>VLOOKUP($B325,散戶多空比!$A$6:$L$500,12,FALSE)</f>
        <v>#N/A</v>
      </c>
      <c r="X325" s="40" t="e">
        <f>VLOOKUP($B325,期貨大額交易人未沖銷部位!$A$4:$O$499,4,FALSE)</f>
        <v>#N/A</v>
      </c>
      <c r="Y325" s="40" t="e">
        <f>VLOOKUP($B325,期貨大額交易人未沖銷部位!$A$4:$O$499,7,FALSE)</f>
        <v>#N/A</v>
      </c>
      <c r="Z325" s="40" t="e">
        <f>VLOOKUP($B325,期貨大額交易人未沖銷部位!$A$4:$O$499,10,FALSE)</f>
        <v>#N/A</v>
      </c>
      <c r="AA325" s="40" t="e">
        <f>VLOOKUP($B325,期貨大額交易人未沖銷部位!$A$4:$O$499,13,FALSE)</f>
        <v>#N/A</v>
      </c>
      <c r="AB325" s="40" t="e">
        <f>VLOOKUP($B325,期貨大額交易人未沖銷部位!$A$4:$O$499,14,FALSE)</f>
        <v>#N/A</v>
      </c>
      <c r="AC325" s="40" t="e">
        <f>VLOOKUP($B325,期貨大額交易人未沖銷部位!$A$4:$O$499,15,FALSE)</f>
        <v>#N/A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18"/>
  <sheetViews>
    <sheetView workbookViewId="0">
      <pane ySplit="3" topLeftCell="A312" activePane="bottomLeft" state="frozen"/>
      <selection pane="bottomLeft" activeCell="I324" sqref="I324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8</v>
      </c>
      <c r="I2" s="129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  <row r="314" spans="1:9">
      <c r="A314" s="92">
        <v>43092</v>
      </c>
      <c r="B314" s="97"/>
      <c r="C314" s="99"/>
      <c r="D314" s="98"/>
      <c r="E314" s="96"/>
      <c r="F314" s="97"/>
      <c r="G314" s="99"/>
      <c r="H314" s="97"/>
      <c r="I314" s="99"/>
    </row>
    <row r="315" spans="1:9">
      <c r="A315" s="92">
        <v>43093</v>
      </c>
      <c r="B315" s="97"/>
      <c r="C315" s="99"/>
      <c r="D315" s="98"/>
      <c r="E315" s="96"/>
      <c r="F315" s="97"/>
      <c r="G315" s="99"/>
      <c r="H315" s="97"/>
      <c r="I315" s="99"/>
    </row>
    <row r="316" spans="1:9">
      <c r="A316" s="92">
        <v>43094</v>
      </c>
      <c r="B316" s="97">
        <v>-171833946</v>
      </c>
      <c r="C316" s="99">
        <f t="shared" ref="C316:C317" si="184">B316/100000000</f>
        <v>-1.7183394599999999</v>
      </c>
      <c r="D316" s="98">
        <v>-537152714</v>
      </c>
      <c r="E316" s="96">
        <f t="shared" ref="E316:E317" si="185">D316/100000000</f>
        <v>-5.3715271400000004</v>
      </c>
      <c r="F316" s="97">
        <v>-113645473</v>
      </c>
      <c r="G316" s="99">
        <f t="shared" ref="G316:G317" si="186">F316/100000000</f>
        <v>-1.1364547300000001</v>
      </c>
      <c r="H316" s="97">
        <v>661542573</v>
      </c>
      <c r="I316" s="99">
        <f t="shared" ref="I316:I317" si="187">H316/100000000</f>
        <v>6.6154257300000001</v>
      </c>
    </row>
    <row r="317" spans="1:9">
      <c r="A317" s="92">
        <v>43095</v>
      </c>
      <c r="B317" s="97">
        <v>-1025323848</v>
      </c>
      <c r="C317" s="99">
        <f t="shared" si="184"/>
        <v>-10.25323848</v>
      </c>
      <c r="D317" s="98">
        <v>-2219205162</v>
      </c>
      <c r="E317" s="96">
        <f t="shared" si="185"/>
        <v>-22.192051620000001</v>
      </c>
      <c r="F317" s="97">
        <v>-631996086</v>
      </c>
      <c r="G317" s="99">
        <f t="shared" si="186"/>
        <v>-6.3199608600000001</v>
      </c>
      <c r="H317" s="97">
        <v>-2518725396</v>
      </c>
      <c r="I317" s="99">
        <f t="shared" si="187"/>
        <v>-25.18725396</v>
      </c>
    </row>
    <row r="318" spans="1:9">
      <c r="A318" s="92">
        <v>43096</v>
      </c>
      <c r="B318" s="97">
        <v>166174533</v>
      </c>
      <c r="C318" s="99">
        <f t="shared" ref="C318" si="188">B318/100000000</f>
        <v>1.66174533</v>
      </c>
      <c r="D318" s="98">
        <v>184870175</v>
      </c>
      <c r="E318" s="96">
        <f t="shared" ref="E318" si="189">D318/100000000</f>
        <v>1.84870175</v>
      </c>
      <c r="F318" s="97">
        <v>-17188199</v>
      </c>
      <c r="G318" s="99">
        <f t="shared" ref="G318" si="190">F318/100000000</f>
        <v>-0.17188199000000001</v>
      </c>
      <c r="H318" s="97">
        <v>2575842749</v>
      </c>
      <c r="I318" s="99">
        <f t="shared" ref="I318" si="191">H318/100000000</f>
        <v>25.758427489999999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19"/>
  <sheetViews>
    <sheetView zoomScale="85" zoomScaleNormal="85" workbookViewId="0">
      <pane ySplit="3" topLeftCell="A312" activePane="bottomLeft" state="frozen"/>
      <selection pane="bottomLeft" activeCell="I327" sqref="I32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7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8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7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8"/>
        <v>43292</v>
      </c>
      <c r="J318" s="10">
        <f t="shared" ref="J318" si="149">I318-$I$312</f>
        <v>-2753.25</v>
      </c>
      <c r="K318" s="10">
        <f t="shared" ref="K318" si="150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51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52">G319+H319/4</f>
        <v>49251</v>
      </c>
      <c r="J319" s="10">
        <f t="shared" ref="J319" si="153">I319-$I$312</f>
        <v>3205.75</v>
      </c>
      <c r="K319" s="10">
        <f t="shared" ref="K319" si="154">I319-I318</f>
        <v>5959</v>
      </c>
      <c r="L319" s="10">
        <v>86</v>
      </c>
      <c r="M319" s="10">
        <v>-2516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18"/>
  <sheetViews>
    <sheetView workbookViewId="0">
      <pane ySplit="3" topLeftCell="A315" activePane="bottomLeft" state="frozen"/>
      <selection pane="bottomLeft" activeCell="G326" sqref="G326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208</v>
      </c>
      <c r="F311" s="72">
        <v>10521</v>
      </c>
      <c r="G311" s="21">
        <v>13</v>
      </c>
      <c r="H311" s="44">
        <v>1.1999999999999999E-3</v>
      </c>
      <c r="I311" s="42" t="s">
        <v>209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210</v>
      </c>
      <c r="F312" s="72">
        <v>10497</v>
      </c>
      <c r="G312" s="21">
        <v>2</v>
      </c>
      <c r="H312" s="44">
        <v>2.0000000000000001E-4</v>
      </c>
      <c r="I312" s="42" t="s">
        <v>211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212</v>
      </c>
      <c r="F313" s="72">
        <v>10528</v>
      </c>
      <c r="G313" s="21">
        <v>-5</v>
      </c>
      <c r="H313" s="44">
        <v>-5.0000000000000001E-4</v>
      </c>
      <c r="I313" s="42" t="s">
        <v>213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214</v>
      </c>
      <c r="F317" s="72">
        <v>10401</v>
      </c>
      <c r="G317" s="21">
        <v>-16</v>
      </c>
      <c r="H317" s="44">
        <v>-1.5E-3</v>
      </c>
      <c r="I317" s="42" t="s">
        <v>215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216</v>
      </c>
      <c r="F318" s="72">
        <v>10484</v>
      </c>
      <c r="G318" s="21">
        <v>10</v>
      </c>
      <c r="H318" s="44">
        <v>1E-3</v>
      </c>
      <c r="I318" s="42" t="s">
        <v>217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18"/>
  <sheetViews>
    <sheetView workbookViewId="0">
      <pane ySplit="3" topLeftCell="A307" activePane="bottomLeft" state="frozen"/>
      <selection pane="bottomLeft" activeCell="C324" sqref="C324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18"/>
  <sheetViews>
    <sheetView zoomScale="85" zoomScaleNormal="85" workbookViewId="0">
      <pane ySplit="3" topLeftCell="A312" activePane="bottomLeft" state="frozen"/>
      <selection pane="bottomLeft" activeCell="H327" sqref="H327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20"/>
  <sheetViews>
    <sheetView zoomScale="85" zoomScaleNormal="85" workbookViewId="0">
      <pane xSplit="1" ySplit="4" topLeftCell="B306" activePane="bottomRight" state="frozen"/>
      <selection pane="topRight" activeCell="B1" sqref="B1"/>
      <selection pane="bottomLeft" activeCell="A5" sqref="A5"/>
      <selection pane="bottomRight" activeCell="J321" sqref="J321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18"/>
  <sheetViews>
    <sheetView zoomScale="85" zoomScaleNormal="85" workbookViewId="0">
      <pane xSplit="1" ySplit="3" topLeftCell="B314" activePane="bottomRight" state="frozen"/>
      <selection pane="topRight" activeCell="B1" sqref="B1"/>
      <selection pane="bottomLeft" activeCell="A4" sqref="A4"/>
      <selection pane="bottomRight" activeCell="B318" sqref="B318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>
      <c r="A314" s="9">
        <v>43092</v>
      </c>
      <c r="B314" s="10"/>
      <c r="C314" s="23"/>
    </row>
    <row r="315" spans="1:3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2017-12-27T12:13:20Z</dcterms:modified>
</cp:coreProperties>
</file>