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9" i="18" l="1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<sst xmlns="http://schemas.openxmlformats.org/spreadsheetml/2006/main" count="252" uniqueCount="173">
  <si>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</si>
  <si>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</si>
  <si>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</si>
  <si>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</si>
  <si>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</si>
  <si>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</si>
  <si>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</si>
  <si>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</si>
  <si>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</si>
  <si>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</si>
  <si>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</si>
  <si>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</si>
  <si>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</si>
  <si>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</si>
  <si>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</si>
  <si>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</si>
  <si>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</si>
  <si>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</si>
  <si>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</si>
  <si>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</si>
  <si>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</si>
  <si>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</si>
  <si>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</si>
  <si>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</si>
  <si>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</si>
  <si>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</si>
  <si>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</si>
  <si>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</si>
  <si>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</si>
  <si>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</si>
  <si>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</si>
  <si>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</si>
  <si>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</si>
  <si>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</si>
  <si>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</si>
  <si>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</si>
  <si>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</si>
  <si>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</si>
  <si>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</si>
  <si>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</si>
  <si>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</si>
  <si>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</si>
  <si>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</si>
  <si>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</si>
  <si>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</si>
  <si>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</si>
  <si>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</si>
  <si>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</si>
  <si>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</si>
  <si>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</si>
  <si>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</si>
  <si>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</si>
  <si>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</si>
  <si>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</si>
  <si>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</si>
  <si>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</si>
  <si>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</si>
  <si>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</si>
  <si>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</si>
  <si>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</si>
  <si>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</si>
  <si>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</si>
  <si>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</si>
  <si>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</si>
  <si>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</si>
  <si>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</si>
  <si>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</si>
  <si>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</si>
  <si>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</si>
  <si>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</si>
  <si>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</si>
  <si>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</si>
  <si>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</si>
  <si>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</si>
  <si>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</si>
  <si>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</si>
  <si>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</si>
  <si>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</si>
  <si>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</si>
  <si>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</si>
  <si>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</si>
  <si>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</si>
  <si>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</si>
  <si>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</si>
  <si>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</si>
  <si>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</si>
  <si>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</si>
  <si>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</si>
  <si>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</si>
  <si>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</si>
  <si>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</si>
  <si>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</si>
  <si>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</si>
  <si>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</si>
  <si>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</si>
  <si>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</si>
  <si>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</si>
  <si>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</si>
  <si>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</si>
  <si>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</si>
  <si>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</si>
  <si>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</si>
  <si>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</si>
  <si>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</si>
  <si>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</si>
  <si>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</si>
  <si>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</si>
  <si>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</si>
  <si>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</si>
  <si>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</si>
  <si>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</si>
  <si>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</si>
  <si>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</si>
  <si>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</si>
  <si>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</si>
  <si>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</si>
  <si>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</si>
  <si>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</si>
  <si>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</si>
  <si>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</si>
  <si>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</si>
  <si>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</si>
  <si>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</si>
  <si>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</si>
  <si>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</si>
  <si>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</si>
  <si>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</si>
  <si>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</si>
  <si>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</si>
  <si>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</si>
  <si>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</si>
  <si>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</si>
  <si>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</si>
  <si>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</si>
  <si>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</si>
  <si>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</si>
  <si>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</si>
  <si>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</si>
  <si>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</si>
  <si>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</si>
  <si>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</si>
  <si>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</si>
  <si>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</si>
  <si>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</si>
  <si>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</si>
  <si>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</si>
  <si>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</si>
  <si>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</si>
  <si>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</si>
  <si>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</si>
  <si>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</si>
  <si>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</si>
  <si>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</si>
  <si>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</si>
  <si>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</si>
  <si>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</si>
  <si>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</si>
  <si>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</si>
  <si>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</si>
  <si>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</si>
  <si>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</si>
  <si>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</si>
  <si>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</si>
  <si>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</si>
  <si>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</si>
  <si>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</si>
  <si>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</si>
  <si>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</si>
  <si>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</si>
  <si>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</si>
  <si>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</si>
  <si>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</si>
  <si>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http://www.taifex.com.tw/chinese/3/7_8.asp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</si>
</sst>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2"/>
  <ax:ocxPr ax:name="_ExtentY" ax:value="212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279642113"/>
  <ax:ocxPr ax:name="CurrentDate" ax:value="43063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topLeftCell="B1" zoomScale="110" zoomScaleNormal="110" workbookViewId="0">
      <selection activeCell="E17" sqref="E17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43063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10854.09</v>
      </c>
      <c r="D7" s="37">
        <f>VLOOKUP($B$6,資料整合一覽!$B$3:$AF$500,3,FALSE)</f>
        <v>-0.48</v>
      </c>
      <c r="E7" s="38">
        <f>VLOOKUP($B$6,資料整合一覽!$B$3:$AF$500,4,FALSE)</f>
        <v>0</v>
      </c>
      <c r="F7" s="36" t="str">
        <f>VLOOKUP($B$6,資料整合一覽!$B$3:$AF$500,5,FALSE)</f>
        <v>1251.65億</v>
      </c>
      <c r="G7" s="39">
        <f>VLOOKUP($B$6,資料整合一覽!$B$3:$AF$500,6,FALSE)</f>
        <v>-1.7898050999999999</v>
      </c>
      <c r="H7" s="37">
        <f>VLOOKUP($B$6,資料整合一覽!$B$3:$AF$500,7,FALSE)</f>
        <v>-7.4737114599999996</v>
      </c>
      <c r="I7" s="37">
        <f>VLOOKUP($B$6,資料整合一覽!$B$3:$AF$500,8,FALSE)</f>
        <v>-2.1035349999999999</v>
      </c>
      <c r="J7" s="37">
        <f>VLOOKUP($B$6,資料整合一覽!$B$3:$AF$500,9,FALSE)</f>
        <v>-30.595918449999999</v>
      </c>
      <c r="K7" s="40">
        <f>VLOOKUP($B$6,資料整合一覽!$B$3:$AF$500,10,FALSE)</f>
        <v>30.01</v>
      </c>
      <c r="L7" s="41">
        <f>VLOOKUP($B$6,資料整合一覽!$B$3:$AF$500,11,FALSE)</f>
        <v>3.0000000000000001E-3</v>
      </c>
      <c r="M7" s="42">
        <f>VLOOKUP($B$6,資料整合一覽!$B$3:$AF$500,12,FALSE)</f>
        <v>92.781999999999996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2367.75</v>
      </c>
      <c r="D11" s="29">
        <f>VLOOKUP($B$6,資料整合一覽!$B$3:$AF$500,14,FALSE)</f>
        <v>48151</v>
      </c>
      <c r="E11" s="67">
        <f>VLOOKUP($B$6,資料整合一覽!$B$3:$AF$500,17,FALSE)</f>
        <v>-17.216899999999999</v>
      </c>
      <c r="F11" s="67">
        <f>VLOOKUP($B$6,資料整合一覽!$B$3:$AF$500,18,FALSE)</f>
        <v>0.27360000000000001</v>
      </c>
      <c r="G11" s="67">
        <f>VLOOKUP($B$6,資料整合一覽!$B$3:$AF$500,19,FALSE)</f>
        <v>70.3887</v>
      </c>
      <c r="H11" s="67">
        <f>VLOOKUP($B$6,資料整合一覽!$B$3:$AF$500,20,FALSE)</f>
        <v>17.2852</v>
      </c>
      <c r="I11" s="42">
        <f>VLOOKUP($B$6,資料整合一覽!$B$3:$AF$500,21,FALSE)</f>
        <v>1.6412</v>
      </c>
      <c r="J11" s="44">
        <f>VLOOKUP($B$6,資料整合一覽!$B$3:$AF$500,22,FALSE)</f>
        <v>-0.14725792630676948</v>
      </c>
      <c r="K11" s="38">
        <f>VLOOKUP($B$6,資料整合一覽!$B$3:$AF$500,29,FALSE)</f>
        <v>1.4E-3</v>
      </c>
      <c r="L11" s="38">
        <f>VLOOKUP($B$6,資料整合一覽!$B$3:$AF$500,30,FALSE)</f>
        <v>3.2000000000000002E-3</v>
      </c>
      <c r="M11" s="38" t="str">
        <f>VLOOKUP($B$6,資料整合一覽!$B$3:$AF$500,31,FALSE)</f>
        <v xml:space="preserve">0.95%	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89"/>
  <sheetViews>
    <sheetView zoomScale="80" zoomScaleNormal="80" workbookViewId="0">
      <pane ySplit="3" topLeftCell="A276" activePane="bottomLeft" state="frozen"/>
      <selection pane="bottomLeft" activeCell="L301" sqref="L30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172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88"/>
  <sheetViews>
    <sheetView zoomScaleNormal="100" workbookViewId="0">
      <pane ySplit="3" topLeftCell="A270" activePane="bottomLeft" state="frozen"/>
      <selection pane="bottomLeft" activeCell="H288" sqref="H288:J288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0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 t="e">
        <f>VLOOKUP($B288,三大美股走勢!$A$4:$J$495,4,FALSE)</f>
        <v>#N/A</v>
      </c>
      <c r="AE288" s="36" t="e">
        <f>VLOOKUP($B288,三大美股走勢!$A$4:$J$495,7,FALSE)</f>
        <v>#N/A</v>
      </c>
      <c r="AF288" s="36" t="e">
        <f>VLOOKUP($B288,三大美股走勢!$A$4:$J$495,10,FALSE)</f>
        <v>#N/A</v>
      </c>
    </row>
    <row r="289" spans="2:32">
      <c r="B289" s="35">
        <v>43068</v>
      </c>
      <c r="C289" s="36" t="e">
        <f>VLOOKUP($B289,大盤與近月台指!$A$4:$I$499,2,FALSE)</f>
        <v>#N/A</v>
      </c>
      <c r="D289" s="37" t="e">
        <f>VLOOKUP($B289,大盤與近月台指!$A$4:$I$499,3,FALSE)</f>
        <v>#N/A</v>
      </c>
      <c r="E289" s="38" t="e">
        <f>VLOOKUP($B289,大盤與近月台指!$A$4:$I$499,4,FALSE)</f>
        <v>#N/A</v>
      </c>
      <c r="F289" s="36" t="e">
        <f>VLOOKUP($B289,大盤與近月台指!$A$4:$I$499,5,FALSE)</f>
        <v>#N/A</v>
      </c>
      <c r="G289" s="52" t="e">
        <f>VLOOKUP($B289,三大法人買賣超!$A$4:$I$500,3,FALSE)</f>
        <v>#N/A</v>
      </c>
      <c r="H289" s="37" t="e">
        <f>VLOOKUP($B289,三大法人買賣超!$A$4:$I$500,5,FALSE)</f>
        <v>#N/A</v>
      </c>
      <c r="I289" s="29" t="e">
        <f>VLOOKUP($B289,三大法人買賣超!$A$4:$I$500,7,FALSE)</f>
        <v>#N/A</v>
      </c>
      <c r="J289" s="29" t="e">
        <f>VLOOKUP($B289,三大法人買賣超!$A$4:$I$500,9,FALSE)</f>
        <v>#N/A</v>
      </c>
      <c r="K289" s="40">
        <f>新台幣匯率美元指數!B290</f>
        <v>0</v>
      </c>
      <c r="L289" s="41">
        <f>新台幣匯率美元指數!C290</f>
        <v>0</v>
      </c>
      <c r="M289" s="42">
        <f>新台幣匯率美元指數!D290</f>
        <v>0</v>
      </c>
      <c r="N289" s="29" t="e">
        <f>VLOOKUP($B289,期貨未平倉口數!$A$4:$M$499,4,FALSE)</f>
        <v>#N/A</v>
      </c>
      <c r="O289" s="29" t="e">
        <f>VLOOKUP($B289,期貨未平倉口數!$A$4:$M$499,9,FALSE)</f>
        <v>#N/A</v>
      </c>
      <c r="P289" s="29" t="e">
        <f>VLOOKUP($B289,期貨未平倉口數!$A$4:$M$499,10,FALSE)</f>
        <v>#N/A</v>
      </c>
      <c r="Q289" s="29" t="e">
        <f>VLOOKUP($B289,期貨未平倉口數!$A$4:$M$499,11,FALSE)</f>
        <v>#N/A</v>
      </c>
      <c r="R289" s="67" t="e">
        <f>VLOOKUP($B289,選擇權未平倉餘額!$A$4:$I$500,6,FALSE)</f>
        <v>#N/A</v>
      </c>
      <c r="S289" s="67" t="e">
        <f>VLOOKUP($B289,選擇權未平倉餘額!$A$4:$I$500,7,FALSE)</f>
        <v>#N/A</v>
      </c>
      <c r="T289" s="67" t="e">
        <f>VLOOKUP($B289,選擇權未平倉餘額!$A$4:$I$500,8,FALSE)</f>
        <v>#N/A</v>
      </c>
      <c r="U289" s="67" t="e">
        <f>VLOOKUP($B289,選擇權未平倉餘額!$A$4:$I$500,9,FALSE)</f>
        <v>#N/A</v>
      </c>
      <c r="V289" s="42" t="e">
        <f>VLOOKUP($B289,臺指選擇權P_C_Ratios!$A$4:$C$500,3,FALSE)</f>
        <v>#N/A</v>
      </c>
      <c r="W289" s="44" t="e">
        <f>VLOOKUP($B289,散戶多空比!$A$6:$L$500,12,FALSE)</f>
        <v>#N/A</v>
      </c>
      <c r="X289" s="43" t="e">
        <f>VLOOKUP($B289,期貨大額交易人未沖銷部位!$A$4:$O$499,4,FALSE)</f>
        <v>#N/A</v>
      </c>
      <c r="Y289" s="43" t="e">
        <f>VLOOKUP($B289,期貨大額交易人未沖銷部位!$A$4:$O$499,7,FALSE)</f>
        <v>#N/A</v>
      </c>
      <c r="Z289" s="43" t="e">
        <f>VLOOKUP($B289,期貨大額交易人未沖銷部位!$A$4:$O$499,10,FALSE)</f>
        <v>#N/A</v>
      </c>
      <c r="AA289" s="43" t="e">
        <f>VLOOKUP($B289,期貨大額交易人未沖銷部位!$A$4:$O$499,13,FALSE)</f>
        <v>#N/A</v>
      </c>
      <c r="AB289" s="43" t="e">
        <f>VLOOKUP($B289,期貨大額交易人未沖銷部位!$A$4:$O$499,14,FALSE)</f>
        <v>#N/A</v>
      </c>
      <c r="AC289" s="43" t="e">
        <f>VLOOKUP($B289,期貨大額交易人未沖銷部位!$A$4:$O$499,15,FALSE)</f>
        <v>#N/A</v>
      </c>
      <c r="AD289" s="36" t="e">
        <f>VLOOKUP($B289,三大美股走勢!$A$4:$J$495,4,FALSE)</f>
        <v>#N/A</v>
      </c>
      <c r="AE289" s="36" t="e">
        <f>VLOOKUP($B289,三大美股走勢!$A$4:$J$495,7,FALSE)</f>
        <v>#N/A</v>
      </c>
      <c r="AF289" s="36" t="e">
        <f>VLOOKUP($B289,三大美股走勢!$A$4:$J$495,10,FALSE)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VLOOKUP($B290,三大美股走勢!$A$4:$J$495,4,FALSE)</f>
        <v>#N/A</v>
      </c>
      <c r="AE290" s="36" t="e">
        <f>VLOOKUP($B290,三大美股走勢!$A$4:$J$495,7,FALSE)</f>
        <v>#N/A</v>
      </c>
      <c r="AF290" s="36" t="e">
        <f>VLOOKUP($B290,三大美股走勢!$A$4:$J$495,10,FALSE)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VLOOKUP($B291,三大美股走勢!$A$4:$J$495,4,FALSE)</f>
        <v>#N/A</v>
      </c>
      <c r="AE291" s="36" t="e">
        <f>VLOOKUP($B291,三大美股走勢!$A$4:$J$495,7,FALSE)</f>
        <v>#N/A</v>
      </c>
      <c r="AF291" s="36" t="e">
        <f>VLOOKUP($B291,三大美股走勢!$A$4:$J$495,10,FALSE)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VLOOKUP($B292,三大美股走勢!$A$4:$J$495,4,FALSE)</f>
        <v>#N/A</v>
      </c>
      <c r="AE292" s="36" t="e">
        <f>VLOOKUP($B292,三大美股走勢!$A$4:$J$495,7,FALSE)</f>
        <v>#N/A</v>
      </c>
      <c r="AF292" s="36" t="e">
        <f>VLOOKUP($B292,三大美股走勢!$A$4:$J$495,10,FALSE)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VLOOKUP($B293,三大美股走勢!$A$4:$J$495,4,FALSE)</f>
        <v>#N/A</v>
      </c>
      <c r="AE293" s="36" t="e">
        <f>VLOOKUP($B293,三大美股走勢!$A$4:$J$495,7,FALSE)</f>
        <v>#N/A</v>
      </c>
      <c r="AF293" s="36" t="e">
        <f>VLOOKUP($B293,三大美股走勢!$A$4:$J$495,10,FALSE)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VLOOKUP($B294,三大美股走勢!$A$4:$J$495,4,FALSE)</f>
        <v>#N/A</v>
      </c>
      <c r="AE294" s="36" t="e">
        <f>VLOOKUP($B294,三大美股走勢!$A$4:$J$495,7,FALSE)</f>
        <v>#N/A</v>
      </c>
      <c r="AF294" s="36" t="e">
        <f>VLOOKUP($B294,三大美股走勢!$A$4:$J$495,10,FALSE)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VLOOKUP($B295,三大美股走勢!$A$4:$J$495,4,FALSE)</f>
        <v>#N/A</v>
      </c>
      <c r="AE295" s="36" t="e">
        <f>VLOOKUP($B295,三大美股走勢!$A$4:$J$495,7,FALSE)</f>
        <v>#N/A</v>
      </c>
      <c r="AF295" s="36" t="e">
        <f>VLOOKUP($B295,三大美股走勢!$A$4:$J$495,10,FALSE)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VLOOKUP($B296,三大美股走勢!$A$4:$J$495,4,FALSE)</f>
        <v>#N/A</v>
      </c>
      <c r="AE296" s="36" t="e">
        <f>VLOOKUP($B296,三大美股走勢!$A$4:$J$495,7,FALSE)</f>
        <v>#N/A</v>
      </c>
      <c r="AF296" s="36" t="e">
        <f>VLOOKUP($B296,三大美股走勢!$A$4:$J$495,10,FALSE)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VLOOKUP($B297,三大美股走勢!$A$4:$J$495,4,FALSE)</f>
        <v>#N/A</v>
      </c>
      <c r="AE297" s="36" t="e">
        <f>VLOOKUP($B297,三大美股走勢!$A$4:$J$495,7,FALSE)</f>
        <v>#N/A</v>
      </c>
      <c r="AF297" s="36" t="e">
        <f>VLOOKUP($B297,三大美股走勢!$A$4:$J$495,10,FALSE)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VLOOKUP($B298,三大美股走勢!$A$4:$J$495,4,FALSE)</f>
        <v>#N/A</v>
      </c>
      <c r="AE298" s="36" t="e">
        <f>VLOOKUP($B298,三大美股走勢!$A$4:$J$495,7,FALSE)</f>
        <v>#N/A</v>
      </c>
      <c r="AF298" s="36" t="e">
        <f>VLOOKUP($B298,三大美股走勢!$A$4:$J$495,10,FALSE)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VLOOKUP($B299,三大美股走勢!$A$4:$J$495,4,FALSE)</f>
        <v>#N/A</v>
      </c>
      <c r="AE299" s="36" t="e">
        <f>VLOOKUP($B299,三大美股走勢!$A$4:$J$495,7,FALSE)</f>
        <v>#N/A</v>
      </c>
      <c r="AF299" s="36" t="e">
        <f>VLOOKUP($B299,三大美股走勢!$A$4:$J$495,10,FALSE)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VLOOKUP($B300,三大美股走勢!$A$4:$J$495,4,FALSE)</f>
        <v>#N/A</v>
      </c>
      <c r="AE300" s="36" t="e">
        <f>VLOOKUP($B300,三大美股走勢!$A$4:$J$495,7,FALSE)</f>
        <v>#N/A</v>
      </c>
      <c r="AF300" s="36" t="e">
        <f>VLOOKUP($B300,三大美股走勢!$A$4:$J$495,10,FALSE)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VLOOKUP($B301,三大美股走勢!$A$4:$J$495,4,FALSE)</f>
        <v>#N/A</v>
      </c>
      <c r="AE301" s="36" t="e">
        <f>VLOOKUP($B301,三大美股走勢!$A$4:$J$495,7,FALSE)</f>
        <v>#N/A</v>
      </c>
      <c r="AF301" s="36" t="e">
        <f>VLOOKUP($B301,三大美股走勢!$A$4:$J$495,10,FALSE)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89"/>
  <sheetViews>
    <sheetView workbookViewId="0">
      <pane ySplit="3" topLeftCell="A275" activePane="bottomLeft" state="frozen"/>
      <selection pane="bottomLeft" activeCell="K286" sqref="K286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89"/>
  <sheetViews>
    <sheetView workbookViewId="0">
      <pane ySplit="3" topLeftCell="A284" activePane="bottomLeft" state="frozen"/>
      <selection pane="bottomLeft" activeCell="H289" sqref="H289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89"/>
  <sheetViews>
    <sheetView workbookViewId="0">
      <pane ySplit="3" topLeftCell="A279" activePane="bottomLeft" state="frozen"/>
      <selection pane="bottomLeft" activeCell="D287" sqref="D28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90"/>
  <sheetViews>
    <sheetView zoomScale="85" zoomScaleNormal="85" workbookViewId="0">
      <pane ySplit="3" topLeftCell="A275" activePane="bottomLeft" state="frozen"/>
      <selection pane="bottomLeft" activeCell="J295" sqref="J29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89"/>
  <sheetViews>
    <sheetView zoomScale="85" zoomScaleNormal="85" workbookViewId="0">
      <pane ySplit="3" topLeftCell="A280" activePane="bottomLeft" state="frozen"/>
      <selection pane="bottomLeft" activeCell="E289" sqref="E289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91"/>
  <sheetViews>
    <sheetView zoomScale="85" zoomScaleNormal="85" workbookViewId="0">
      <pane xSplit="1" ySplit="4" topLeftCell="B278" activePane="bottomRight" state="frozen"/>
      <selection pane="topRight" activeCell="B1" sqref="B1"/>
      <selection pane="bottomLeft" activeCell="A5" sqref="A5"/>
      <selection pane="bottomRight" activeCell="J292" sqref="J292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89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B289" sqref="B289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2017-11-28T14:43:27Z</dcterms:modified>
</cp:coreProperties>
</file>