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8" i="15" l="1"/>
  <c r="K388" i="15"/>
  <c r="C386" i="17"/>
  <c r="F386" i="16"/>
  <c r="G386" i="16"/>
  <c r="H386" i="16"/>
  <c r="I386" i="16"/>
  <c r="D386" i="18"/>
  <c r="G386" i="18"/>
  <c r="J386" i="18"/>
  <c r="M386" i="18"/>
  <c r="K387" i="14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<sst xmlns="http://schemas.openxmlformats.org/spreadsheetml/2006/main" count="455" uniqueCount="364">
  <si>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</si>
  <si>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</si>
  <si>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</si>
  <si>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</si>
  <si>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</si>
  <si>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</si>
  <si>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</si>
  <si>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</si>
  <si>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</si>
  <si>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</si>
  <si>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</si>
  <si>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</si>
  <si>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</si>
  <si>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</si>
  <si>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</si>
  <si>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</si>
  <si>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</si>
  <si>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</si>
  <si>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</si>
  <si>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</si>
  <si>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</si>
  <si>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</si>
  <si>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</si>
  <si>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</si>
  <si>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</si>
  <si>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</si>
  <si>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</si>
  <si>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</si>
  <si>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</si>
  <si>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</si>
  <si>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</si>
  <si>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</si>
  <si>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</si>
  <si>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</si>
  <si>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</si>
  <si>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</si>
  <si>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</si>
  <si>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</si>
  <si>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</si>
  <si>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</si>
  <si>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</si>
  <si>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</si>
  <si>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</si>
  <si>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</si>
  <si>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</si>
  <si>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</si>
  <si>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</si>
  <si>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</si>
  <si>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</si>
  <si>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</si>
  <si>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</si>
  <si>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</si>
  <si>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</si>
  <si>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</si>
  <si>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</si>
  <si>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</si>
  <si>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</si>
  <si>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</si>
  <si>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</si>
  <si>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</si>
  <si>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</si>
  <si>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</si>
  <si>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</si>
  <si>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</si>
  <si>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</si>
  <si>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</si>
  <si>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</si>
  <si>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</si>
  <si>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</si>
  <si>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</si>
  <si>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</si>
  <si>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</si>
  <si>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</si>
  <si>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</si>
  <si>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</si>
  <si>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</si>
  <si>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</si>
  <si>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</si>
  <si>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</si>
  <si>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</si>
  <si>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</si>
  <si>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</si>
  <si>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</si>
  <si>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</si>
  <si>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</si>
  <si>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</si>
  <si>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</si>
  <si>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</si>
  <si>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</si>
  <si>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</si>
  <si>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</si>
  <si>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</si>
  <si>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</si>
  <si>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</si>
  <si>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</si>
  <si>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</si>
  <si>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</si>
  <si>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</si>
  <si>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</si>
  <si>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</si>
  <si>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</si>
  <si>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</si>
  <si>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</si>
  <si>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</si>
  <si>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</si>
  <si>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</si>
  <si>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</si>
  <si>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</si>
  <si>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</si>
  <si>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</si>
  <si>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</si>
  <si>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</si>
  <si>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</si>
  <si>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</si>
  <si>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</si>
  <si>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</si>
  <si>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</si>
  <si>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</si>
  <si>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</si>
  <si>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</si>
  <si>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</si>
  <si>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</si>
  <si>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</si>
  <si>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</si>
  <si>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</si>
  <si>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</si>
  <si>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</si>
  <si>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</si>
  <si>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</si>
  <si>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</si>
  <si>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</si>
  <si>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</si>
  <si>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</si>
  <si>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</si>
  <si>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</si>
  <si>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</si>
  <si>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</si>
  <si>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</si>
  <si>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</si>
  <si>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</si>
  <si>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</si>
  <si>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</si>
  <si>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</si>
  <si>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</si>
  <si>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</si>
  <si>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</si>
  <si>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</si>
  <si>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</si>
  <si>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</si>
  <si>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</si>
  <si>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</si>
  <si>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</si>
  <si>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</si>
  <si>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</si>
  <si>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</si>
  <si>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</si>
  <si>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</si>
  <si>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</si>
  <si>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</si>
  <si>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</si>
  <si>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</si>
  <si>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</si>
  <si>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</si>
  <si>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</si>
  <si>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</si>
  <si>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</si>
  <si>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</si>
  <si>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</si>
  <si>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</si>
  <si>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</si>
  <si>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</si>
  <si>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</si>
  <si>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</si>
  <si>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</si>
  <si>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</si>
  <si>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</si>
  <si>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</si>
  <si>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</si>
  <si>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</si>
  <si>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</si>
  <si>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</si>
  <si>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</si>
  <si>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</si>
  <si>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</si>
  <si>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</si>
  <si>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</si>
  <si>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</si>
  <si>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</si>
  <si>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</si>
  <si>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</si>
  <si>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</si>
  <si>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</si>
  <si>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</si>
  <si>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</si>
  <si>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</si>
  <si>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</si>
  <si>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</si>
  <si>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</si>
  <si>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</si>
  <si>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</si>
  <si>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</si>
  <si>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</si>
  <si>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</si>
  <si>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</si>
  <si>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</si>
  <si>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</si>
  <si>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</si>
  <si>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</si>
  <si>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</si>
  <si>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</si>
  <si>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</si>
  <si>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</si>
  <si>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</si>
  <si>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</si>
  <si>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</si>
  <si>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</si>
  <si>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</si>
  <si>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</si>
  <si>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</si>
  <si>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</si>
  <si>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</si>
  <si>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</si>
  <si>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</si>
  <si>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</si>
  <si>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</si>
  <si>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</si>
  <si>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</si>
  <si>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</si>
  <si>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</si>
  <si>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</si>
  <si>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</si>
  <si>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</si>
  <si>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</si>
  <si>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</si>
  <si>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</si>
  <si>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</si>
  <si>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</si>
  <si>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</si>
  <si>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</si>
  <si>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</si>
  <si>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</si>
  <si>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</si>
  <si>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</si>
  <si>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</si>
  <si>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</si>
  <si>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</si>
  <si>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</si>
  <si>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</si>
  <si>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</si>
  <si>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</si>
  <si>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</si>
  <si>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</si>
  <si>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</si>
  <si>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</si>
  <si>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</si>
  <si>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</si>
  <si>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</si>
  <si>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</si>
  <si>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</si>
  <si>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</si>
  <si>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</si>
  <si>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</si>
  <si>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</si>
  <si>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</si>
  <si>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</si>
  <si>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</si>
  <si>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</si>
  <si>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</si>
  <si>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</si>
  <si>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</si>
  <si>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</si>
  <si>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</si>
  <si>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</si>
  <si>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</si>
  <si>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</si>
  <si>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</si>
  <si>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</si>
  <si>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</si>
  <si>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</si>
  <si>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</si>
  <si>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</si>
  <si>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</si>
  <si>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</si>
  <si>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</si>
  <si>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</si>
  <si>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</si>
  <si>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</si>
  <si>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</si>
  <si>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</si>
  <si>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</si>
  <si>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</si>
  <si>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</si>
  <si>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</si>
  <si>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</si>
  <si>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</si>
  <si>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</si>
  <si>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</si>
  <si>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</si>
  <si>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</si>
  <si>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</si>
  <si>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</si>
  <si>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</si>
  <si>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</si>
  <si>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</si>
  <si>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</si>
  <si>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</si>
  <si>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</si>
  <si>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</si>
  <si>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</si>
  <si>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</si>
  <si>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</si>
  <si>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</si>
  <si>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</si>
  <si>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</si>
  <si>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</si>
  <si>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</si>
  <si>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</si>
  <si>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</si>
  <si>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</si>
  <si>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</si>
  <si>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</si>
  <si>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</si>
  <si>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</si>
  <si>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</si>
  <si>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</si>
  <si>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</si>
  <si>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</si>
  <si>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</si>
  <si>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</si>
  <si>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</si>
  <si>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</si>
  <si>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</si>
  <si>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</si>
  <si>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</si>
  <si>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</si>
  <si>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</si>
  <si>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</si>
  <si>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</si>
  <si>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</si>
  <si>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</si>
  <si>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</si>
  <si>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</si>
  <si>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</si>
  <si>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</si>
  <si>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</si>
  <si>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</si>
  <si>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</si>
  <si>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</si>
  <si>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</si>
  <si>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</si>
  <si>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</si>
  <si>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http://www.taifex.com.tw/chinese/3/7_8.asp</t>
    <phoneticPr fontId="3" type="noConversion"/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</si>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</sst>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37911553"/>
  <ax:ocxPr ax:name="CurrentDate" ax:value="43164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F17" sqref="F17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43164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10642.9</v>
      </c>
      <c r="D7" s="34">
        <f>VLOOKUP($B$6,資料整合一覽!$B$3:$AF$500,3,FALSE)</f>
        <v>-55.27</v>
      </c>
      <c r="E7" s="35">
        <f>VLOOKUP($B$6,資料整合一覽!$B$3:$AF$500,4,FALSE)</f>
        <v>-5.1999999999999998E-3</v>
      </c>
      <c r="F7" s="33" t="str">
        <f>VLOOKUP($B$6,資料整合一覽!$B$3:$AF$500,5,FALSE)</f>
        <v>1122.94億</v>
      </c>
      <c r="G7" s="36">
        <f>VLOOKUP($B$6,資料整合一覽!$B$3:$AF$500,6,FALSE)</f>
        <v>-2.8917441199999998</v>
      </c>
      <c r="H7" s="34">
        <f>VLOOKUP($B$6,資料整合一覽!$B$3:$AF$500,7,FALSE)</f>
        <v>-18.162578580000002</v>
      </c>
      <c r="I7" s="34">
        <f>VLOOKUP($B$6,資料整合一覽!$B$3:$AF$500,8,FALSE)</f>
        <v>-1.94815655</v>
      </c>
      <c r="J7" s="34">
        <f>VLOOKUP($B$6,資料整合一覽!$B$3:$AF$500,9,FALSE)</f>
        <v>-102.13111395</v>
      </c>
      <c r="K7" s="37">
        <f>VLOOKUP($B$6,資料整合一覽!$B$3:$AF$500,10,FALSE)</f>
        <v>29.292000000000002</v>
      </c>
      <c r="L7" s="38">
        <f>VLOOKUP($B$6,資料整合一覽!$B$3:$AF$500,11,FALSE)</f>
        <v>2E-3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-5267.75</v>
      </c>
      <c r="D11" s="27">
        <f>VLOOKUP($B$6,資料整合一覽!$B$3:$AF$500,14,FALSE)</f>
        <v>44457.25</v>
      </c>
      <c r="E11" s="64">
        <f>VLOOKUP($B$6,資料整合一覽!$B$3:$AF$500,17,FALSE)</f>
        <v>1.0201</v>
      </c>
      <c r="F11" s="64">
        <f>VLOOKUP($B$6,資料整合一覽!$B$3:$AF$500,18,FALSE)</f>
        <v>-48.953299999999999</v>
      </c>
      <c r="G11" s="64">
        <f>VLOOKUP($B$6,資料整合一覽!$B$3:$AF$500,19,FALSE)</f>
        <v>4.8856999999999999</v>
      </c>
      <c r="H11" s="64">
        <f>VLOOKUP($B$6,資料整合一覽!$B$3:$AF$500,20,FALSE)</f>
        <v>49.449800000000003</v>
      </c>
      <c r="I11" s="39">
        <f>VLOOKUP($B$6,資料整合一覽!$B$3:$AF$500,21,FALSE)</f>
        <v>1.2763</v>
      </c>
      <c r="J11" s="41">
        <f>VLOOKUP($B$6,資料整合一覽!$B$3:$AF$500,22,FALSE)</f>
        <v>0.11924739978964591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-3827.5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0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0</v>
      </c>
      <c r="AE385" s="33">
        <f>VLOOKUP($B385,三大美股走勢!$A$4:$J$495,7,FALSE)</f>
        <v>0</v>
      </c>
      <c r="AF385" s="33">
        <f>VLOOKUP($B385,三大美股走勢!$A$4:$J$495,10,FALSE)</f>
        <v>0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86"/>
  <sheetViews>
    <sheetView zoomScaleNormal="100" workbookViewId="0">
      <pane ySplit="3" topLeftCell="A371" activePane="bottomLeft" state="frozen"/>
      <selection pane="bottomLeft" activeCell="K384" sqref="K384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352</v>
      </c>
      <c r="F376" s="72">
        <v>10793</v>
      </c>
      <c r="G376" s="21">
        <v>11</v>
      </c>
      <c r="H376" s="44">
        <v>1E-3</v>
      </c>
      <c r="I376" s="42" t="s">
        <v>353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354</v>
      </c>
      <c r="F379" s="72">
        <v>10829</v>
      </c>
      <c r="G379" s="21">
        <v>9</v>
      </c>
      <c r="H379" s="44">
        <v>8.0000000000000004E-4</v>
      </c>
      <c r="I379" s="42" t="s">
        <v>355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356</v>
      </c>
      <c r="F380" s="72">
        <v>10770</v>
      </c>
      <c r="G380" s="21">
        <v>-19</v>
      </c>
      <c r="H380" s="44">
        <v>-1.8E-3</v>
      </c>
      <c r="I380" s="42" t="s">
        <v>357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358</v>
      </c>
      <c r="F382" s="72">
        <v>10753</v>
      </c>
      <c r="G382" s="21">
        <v>19</v>
      </c>
      <c r="H382" s="44">
        <v>1.8E-3</v>
      </c>
      <c r="I382" s="42" t="s">
        <v>359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360</v>
      </c>
      <c r="F383" s="72">
        <v>10629</v>
      </c>
      <c r="G383" s="21">
        <v>-49</v>
      </c>
      <c r="H383" s="44">
        <v>-4.5999999999999999E-3</v>
      </c>
      <c r="I383" s="42" t="s">
        <v>361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362</v>
      </c>
      <c r="F386" s="72">
        <v>10639</v>
      </c>
      <c r="G386" s="21">
        <v>7</v>
      </c>
      <c r="H386" s="44">
        <v>6.9999999999999999E-4</v>
      </c>
      <c r="I386" s="42" t="s">
        <v>363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86"/>
  <sheetViews>
    <sheetView workbookViewId="0">
      <pane ySplit="3" topLeftCell="A376" activePane="bottomLeft" state="frozen"/>
      <selection pane="bottomLeft" activeCell="K389" sqref="K389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4:C386" si="276">B386/100000000</f>
        <v>-2.8917441199999998</v>
      </c>
      <c r="D386" s="102">
        <v>-1816257858</v>
      </c>
      <c r="E386" s="95">
        <f t="shared" ref="E384:E386" si="277">D386/100000000</f>
        <v>-18.162578580000002</v>
      </c>
      <c r="F386" s="102">
        <v>-194815655</v>
      </c>
      <c r="G386" s="98">
        <f t="shared" ref="G384:G386" si="278">F386/100000000</f>
        <v>-1.94815655</v>
      </c>
      <c r="H386" s="102">
        <v>-10213111395</v>
      </c>
      <c r="I386" s="98">
        <f t="shared" ref="I384:I386" si="279">H386/100000000</f>
        <v>-102.13111395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87"/>
  <sheetViews>
    <sheetView zoomScale="85" zoomScaleNormal="85" workbookViewId="0">
      <pane ySplit="3" topLeftCell="A379" activePane="bottomLeft" state="frozen"/>
      <selection pane="bottomLeft" activeCell="M387" sqref="M387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5: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5:I387" si="251">G387+H387/4</f>
        <v>44457.25</v>
      </c>
      <c r="J387" s="10">
        <f t="shared" ref="J385:J387" si="252">I387-$I$375</f>
        <v>-3827.5</v>
      </c>
      <c r="K387" s="10">
        <f>I387-I384</f>
        <v>-1118.25</v>
      </c>
      <c r="L387" s="10">
        <v>30</v>
      </c>
      <c r="M387" s="10">
        <v>-1909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86"/>
  <sheetViews>
    <sheetView zoomScale="80" zoomScaleNormal="80" workbookViewId="0">
      <pane ySplit="3" topLeftCell="A380" activePane="bottomLeft" state="frozen"/>
      <selection pane="bottomLeft" activeCell="L386" sqref="L386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351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86"/>
  <sheetViews>
    <sheetView zoomScale="85" zoomScaleNormal="85" workbookViewId="0">
      <pane ySplit="3" topLeftCell="A372" activePane="bottomLeft" state="frozen"/>
      <selection pane="bottomLeft" activeCell="E386" sqref="E386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4:F386" si="339">B386/10000</f>
        <v>1.0201</v>
      </c>
      <c r="G386" s="22">
        <f t="shared" ref="G384:G386" si="340">C386/10000</f>
        <v>-48.953299999999999</v>
      </c>
      <c r="H386" s="22">
        <f t="shared" ref="H384:H386" si="341">D386/10000</f>
        <v>4.8856999999999999</v>
      </c>
      <c r="I386" s="22">
        <f t="shared" ref="I384:I386" si="342">E386/10000</f>
        <v>49.449800000000003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86"/>
  <sheetViews>
    <sheetView zoomScaleNormal="100" workbookViewId="0">
      <pane xSplit="1" ySplit="3" topLeftCell="B381" activePane="bottomRight" state="frozen"/>
      <selection pane="topRight" activeCell="B1" sqref="B1"/>
      <selection pane="bottomLeft" activeCell="A4" sqref="A4"/>
      <selection pane="bottomRight" activeCell="E392" sqref="E392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4:C386" si="81">B386/100</f>
        <v>1.2763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86"/>
  <sheetViews>
    <sheetView workbookViewId="0">
      <pane ySplit="3" topLeftCell="A376" activePane="bottomLeft" state="frozen"/>
      <selection pane="bottomLeft" activeCell="G390" sqref="G390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88"/>
  <sheetViews>
    <sheetView zoomScale="85" zoomScaleNormal="85" workbookViewId="0">
      <pane xSplit="1" ySplit="4" topLeftCell="B382" activePane="bottomRight" state="frozen"/>
      <selection pane="topRight" activeCell="B1" sqref="B1"/>
      <selection pane="bottomLeft" activeCell="A5" sqref="A5"/>
      <selection pane="bottomRight" activeCell="J389" sqref="J389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6: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6:K388" si="241">B388-SUM(H388:J388)</f>
        <v>25092</v>
      </c>
      <c r="L388" s="20">
        <f t="shared" ref="L386:L388" si="242">(F388-K388)/B388</f>
        <v>0.11924739978964591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86"/>
  <sheetViews>
    <sheetView zoomScaleNormal="100" workbookViewId="0">
      <pane ySplit="3" topLeftCell="A380" activePane="bottomLeft" state="frozen"/>
      <selection pane="bottomLeft" activeCell="K388" sqref="K388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/>
      <c r="C386" s="27"/>
      <c r="D386" s="91"/>
      <c r="E386" s="89"/>
      <c r="F386" s="27"/>
      <c r="G386" s="91"/>
      <c r="H386" s="89"/>
      <c r="I386" s="27"/>
      <c r="J386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2018-03-05T12:29:50Z</dcterms:modified>
</cp:coreProperties>
</file>