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4"/>
  </bookViews>
  <sheets>
    <sheet name="盤後整理" sheetId="11" r:id="rId1"/>
    <sheet name="資料整合一覽" sheetId="1" r:id="rId2"/>
    <sheet name="大盤與近月台指" sheetId="2" r:id="rId3"/>
    <sheet name="三大法人買賣超" sheetId="12" r:id="rId4"/>
    <sheet name="外資期貨未平倉口數" sheetId="14" r:id="rId5"/>
    <sheet name="期貨大額交易人未沖銷部位" sheetId="18" r:id="rId6"/>
    <sheet name="選擇權未平倉餘額" sheetId="16" r:id="rId7"/>
    <sheet name="臺指選擇權P_C_Ratios" sheetId="17" r:id="rId8"/>
    <sheet name="新台幣匯率美元指數" sheetId="13" r:id="rId9"/>
    <sheet name="散戶多空比" sheetId="15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7" i="15" l="1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D13" i="11" s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C7" i="11" l="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<sst xmlns="http://schemas.openxmlformats.org/spreadsheetml/2006/main" count="357" uniqueCount="266">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</sst>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2568577"/>
  <ax:ocxPr ax:name="CurrentDate" ax:value="4312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zoomScale="105" zoomScaleNormal="105" workbookViewId="0">
      <selection activeCell="F15" sqref="F15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43123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11253.11</v>
      </c>
      <c r="D7" s="34">
        <f>VLOOKUP($B$6,資料整合一覽!$B$3:$AF$500,3,FALSE)</f>
        <v>21.65</v>
      </c>
      <c r="E7" s="35">
        <f>VLOOKUP($B$6,資料整合一覽!$B$3:$AF$500,4,FALSE)</f>
        <v>1.9E-3</v>
      </c>
      <c r="F7" s="33" t="str">
        <f>VLOOKUP($B$6,資料整合一覽!$B$3:$AF$500,5,FALSE)</f>
        <v>1579.08億</v>
      </c>
      <c r="G7" s="36">
        <f>VLOOKUP($B$6,資料整合一覽!$B$3:$AF$500,6,FALSE)</f>
        <v>-4.9262370000000004</v>
      </c>
      <c r="H7" s="34">
        <f>VLOOKUP($B$6,資料整合一覽!$B$3:$AF$500,7,FALSE)</f>
        <v>8.5831194100000001</v>
      </c>
      <c r="I7" s="34">
        <f>VLOOKUP($B$6,資料整合一覽!$B$3:$AF$500,8,FALSE)</f>
        <v>-3.43119387</v>
      </c>
      <c r="J7" s="34">
        <f>VLOOKUP($B$6,資料整合一覽!$B$3:$AF$500,9,FALSE)</f>
        <v>51.62810185</v>
      </c>
      <c r="K7" s="37">
        <f>VLOOKUP($B$6,資料整合一覽!$B$3:$AF$500,10,FALSE)</f>
        <v>29.402000000000001</v>
      </c>
      <c r="L7" s="38">
        <f>VLOOKUP($B$6,資料整合一覽!$B$3:$AF$500,11,FALSE)</f>
        <v>-0.03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5107.25</v>
      </c>
      <c r="D11" s="27">
        <f>VLOOKUP($B$6,資料整合一覽!$B$3:$AF$500,14,FALSE)</f>
        <v>38606.75</v>
      </c>
      <c r="E11" s="64">
        <f>VLOOKUP($B$6,資料整合一覽!$B$3:$AF$500,17,FALSE)</f>
        <v>-0.26910000000000001</v>
      </c>
      <c r="F11" s="64">
        <f>VLOOKUP($B$6,資料整合一覽!$B$3:$AF$500,18,FALSE)</f>
        <v>5.5362</v>
      </c>
      <c r="G11" s="64">
        <f>VLOOKUP($B$6,資料整合一覽!$B$3:$AF$500,19,FALSE)</f>
        <v>76.297200000000004</v>
      </c>
      <c r="H11" s="64">
        <f>VLOOKUP($B$6,資料整合一覽!$B$3:$AF$500,20,FALSE)</f>
        <v>15.795</v>
      </c>
      <c r="I11" s="39">
        <f>VLOOKUP($B$6,資料整合一覽!$B$3:$AF$500,21,FALSE)</f>
        <v>1.7031000000000001</v>
      </c>
      <c r="J11" s="41">
        <f>VLOOKUP($B$6,資料整合一覽!$B$3:$AF$500,22,FALSE)</f>
        <v>-0.19073065247224186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-14741.75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0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0</v>
      </c>
      <c r="AE344" s="33">
        <f>VLOOKUP($B344,三大美股走勢!$A$4:$J$495,7,FALSE)</f>
        <v>0</v>
      </c>
      <c r="AF344" s="33">
        <f>VLOOKUP($B344,三大美股走勢!$A$4:$J$495,10,FALSE)</f>
        <v>0</v>
      </c>
    </row>
    <row r="345" spans="2:32">
      <c r="B345" s="32">
        <v>43124</v>
      </c>
      <c r="C345" s="33" t="e">
        <f>VLOOKUP($B345,大盤與近月台指!$A$4:$I$499,2,FALSE)</f>
        <v>#N/A</v>
      </c>
      <c r="D345" s="34" t="e">
        <f>VLOOKUP($B345,大盤與近月台指!$A$4:$I$499,3,FALSE)</f>
        <v>#N/A</v>
      </c>
      <c r="E345" s="35" t="e">
        <f>VLOOKUP($B345,大盤與近月台指!$A$4:$I$499,4,FALSE)</f>
        <v>#N/A</v>
      </c>
      <c r="F345" s="33" t="e">
        <f>VLOOKUP($B345,大盤與近月台指!$A$4:$I$499,5,FALSE)</f>
        <v>#N/A</v>
      </c>
      <c r="G345" s="49">
        <f>VLOOKUP($B345,三大法人買賣超!$A$4:$I$500,3,FALSE)</f>
        <v>0</v>
      </c>
      <c r="H345" s="34">
        <f>VLOOKUP($B345,三大法人買賣超!$A$4:$I$500,5,FALSE)</f>
        <v>0</v>
      </c>
      <c r="I345" s="27">
        <f>VLOOKUP($B345,三大法人買賣超!$A$4:$I$500,7,FALSE)</f>
        <v>0</v>
      </c>
      <c r="J345" s="27">
        <f>VLOOKUP($B345,三大法人買賣超!$A$4:$I$500,9,FALSE)</f>
        <v>0</v>
      </c>
      <c r="K345" s="37">
        <f>新台幣匯率美元指數!B346</f>
        <v>0</v>
      </c>
      <c r="L345" s="38">
        <f>新台幣匯率美元指數!C346</f>
        <v>0</v>
      </c>
      <c r="M345" s="39">
        <f>新台幣匯率美元指數!D346</f>
        <v>0</v>
      </c>
      <c r="N345" s="27" t="e">
        <f>VLOOKUP($B345,外資期貨未平倉口數!$A$4:$M$499,4,FALSE)</f>
        <v>#N/A</v>
      </c>
      <c r="O345" s="27" t="e">
        <f>VLOOKUP($B345,外資期貨未平倉口數!$A$4:$M$499,9,FALSE)</f>
        <v>#N/A</v>
      </c>
      <c r="P345" s="27" t="e">
        <f>VLOOKUP($B345,外資期貨未平倉口數!$A$4:$M$499,10,FALSE)</f>
        <v>#N/A</v>
      </c>
      <c r="Q345" s="27" t="e">
        <f>VLOOKUP($B345,外資期貨未平倉口數!$A$4:$M$499,11,FALSE)</f>
        <v>#N/A</v>
      </c>
      <c r="R345" s="64" t="e">
        <f>VLOOKUP($B345,選擇權未平倉餘額!$A$4:$I$500,6,FALSE)</f>
        <v>#N/A</v>
      </c>
      <c r="S345" s="64" t="e">
        <f>VLOOKUP($B345,選擇權未平倉餘額!$A$4:$I$500,7,FALSE)</f>
        <v>#N/A</v>
      </c>
      <c r="T345" s="64" t="e">
        <f>VLOOKUP($B345,選擇權未平倉餘額!$A$4:$I$500,8,FALSE)</f>
        <v>#N/A</v>
      </c>
      <c r="U345" s="64" t="e">
        <f>VLOOKUP($B345,選擇權未平倉餘額!$A$4:$I$500,9,FALSE)</f>
        <v>#N/A</v>
      </c>
      <c r="V345" s="39" t="e">
        <f>VLOOKUP($B345,臺指選擇權P_C_Ratios!$A$4:$C$500,3,FALSE)</f>
        <v>#N/A</v>
      </c>
      <c r="W345" s="41" t="e">
        <f>VLOOKUP($B345,散戶多空比!$A$6:$L$500,12,FALSE)</f>
        <v>#N/A</v>
      </c>
      <c r="X345" s="40" t="e">
        <f>VLOOKUP($B345,期貨大額交易人未沖銷部位!$A$4:$O$499,4,FALSE)</f>
        <v>#N/A</v>
      </c>
      <c r="Y345" s="40" t="e">
        <f>VLOOKUP($B345,期貨大額交易人未沖銷部位!$A$4:$O$499,7,FALSE)</f>
        <v>#N/A</v>
      </c>
      <c r="Z345" s="40" t="e">
        <f>VLOOKUP($B345,期貨大額交易人未沖銷部位!$A$4:$O$499,10,FALSE)</f>
        <v>#N/A</v>
      </c>
      <c r="AA345" s="40" t="e">
        <f>VLOOKUP($B345,期貨大額交易人未沖銷部位!$A$4:$O$499,13,FALSE)</f>
        <v>#N/A</v>
      </c>
      <c r="AB345" s="40" t="e">
        <f>VLOOKUP($B345,期貨大額交易人未沖銷部位!$A$4:$O$499,14,FALSE)</f>
        <v>#N/A</v>
      </c>
      <c r="AC345" s="40" t="e">
        <f>VLOOKUP($B345,期貨大額交易人未沖銷部位!$A$4:$O$499,15,FALSE)</f>
        <v>#N/A</v>
      </c>
      <c r="AD345" s="33">
        <f>VLOOKUP($B345,三大美股走勢!$A$4:$J$495,4,FALSE)</f>
        <v>0</v>
      </c>
      <c r="AE345" s="33">
        <f>VLOOKUP($B345,三大美股走勢!$A$4:$J$495,7,FALSE)</f>
        <v>0</v>
      </c>
      <c r="AF345" s="33">
        <f>VLOOKUP($B345,三大美股走勢!$A$4:$J$495,10,FALSE)</f>
        <v>0</v>
      </c>
    </row>
    <row r="346" spans="2:32">
      <c r="B346" s="32">
        <v>43125</v>
      </c>
      <c r="C346" s="33" t="e">
        <f>VLOOKUP($B346,大盤與近月台指!$A$4:$I$499,2,FALSE)</f>
        <v>#N/A</v>
      </c>
      <c r="D346" s="34" t="e">
        <f>VLOOKUP($B346,大盤與近月台指!$A$4:$I$499,3,FALSE)</f>
        <v>#N/A</v>
      </c>
      <c r="E346" s="35" t="e">
        <f>VLOOKUP($B346,大盤與近月台指!$A$4:$I$499,4,FALSE)</f>
        <v>#N/A</v>
      </c>
      <c r="F346" s="33" t="e">
        <f>VLOOKUP($B346,大盤與近月台指!$A$4:$I$499,5,FALSE)</f>
        <v>#N/A</v>
      </c>
      <c r="G346" s="49">
        <f>VLOOKUP($B346,三大法人買賣超!$A$4:$I$500,3,FALSE)</f>
        <v>0</v>
      </c>
      <c r="H346" s="34">
        <f>VLOOKUP($B346,三大法人買賣超!$A$4:$I$500,5,FALSE)</f>
        <v>0</v>
      </c>
      <c r="I346" s="27">
        <f>VLOOKUP($B346,三大法人買賣超!$A$4:$I$500,7,FALSE)</f>
        <v>0</v>
      </c>
      <c r="J346" s="27">
        <f>VLOOKUP($B346,三大法人買賣超!$A$4:$I$500,9,FALSE)</f>
        <v>0</v>
      </c>
      <c r="K346" s="37">
        <f>新台幣匯率美元指數!B347</f>
        <v>0</v>
      </c>
      <c r="L346" s="38">
        <f>新台幣匯率美元指數!C347</f>
        <v>0</v>
      </c>
      <c r="M346" s="39">
        <f>新台幣匯率美元指數!D347</f>
        <v>0</v>
      </c>
      <c r="N346" s="27" t="e">
        <f>VLOOKUP($B346,外資期貨未平倉口數!$A$4:$M$499,4,FALSE)</f>
        <v>#N/A</v>
      </c>
      <c r="O346" s="27" t="e">
        <f>VLOOKUP($B346,外資期貨未平倉口數!$A$4:$M$499,9,FALSE)</f>
        <v>#N/A</v>
      </c>
      <c r="P346" s="27" t="e">
        <f>VLOOKUP($B346,外資期貨未平倉口數!$A$4:$M$499,10,FALSE)</f>
        <v>#N/A</v>
      </c>
      <c r="Q346" s="27" t="e">
        <f>VLOOKUP($B346,外資期貨未平倉口數!$A$4:$M$499,11,FALSE)</f>
        <v>#N/A</v>
      </c>
      <c r="R346" s="64" t="e">
        <f>VLOOKUP($B346,選擇權未平倉餘額!$A$4:$I$500,6,FALSE)</f>
        <v>#N/A</v>
      </c>
      <c r="S346" s="64" t="e">
        <f>VLOOKUP($B346,選擇權未平倉餘額!$A$4:$I$500,7,FALSE)</f>
        <v>#N/A</v>
      </c>
      <c r="T346" s="64" t="e">
        <f>VLOOKUP($B346,選擇權未平倉餘額!$A$4:$I$500,8,FALSE)</f>
        <v>#N/A</v>
      </c>
      <c r="U346" s="64" t="e">
        <f>VLOOKUP($B346,選擇權未平倉餘額!$A$4:$I$500,9,FALSE)</f>
        <v>#N/A</v>
      </c>
      <c r="V346" s="39" t="e">
        <f>VLOOKUP($B346,臺指選擇權P_C_Ratios!$A$4:$C$500,3,FALSE)</f>
        <v>#N/A</v>
      </c>
      <c r="W346" s="41" t="e">
        <f>VLOOKUP($B346,散戶多空比!$A$6:$L$500,12,FALSE)</f>
        <v>#N/A</v>
      </c>
      <c r="X346" s="40" t="e">
        <f>VLOOKUP($B346,期貨大額交易人未沖銷部位!$A$4:$O$499,4,FALSE)</f>
        <v>#N/A</v>
      </c>
      <c r="Y346" s="40" t="e">
        <f>VLOOKUP($B346,期貨大額交易人未沖銷部位!$A$4:$O$499,7,FALSE)</f>
        <v>#N/A</v>
      </c>
      <c r="Z346" s="40" t="e">
        <f>VLOOKUP($B346,期貨大額交易人未沖銷部位!$A$4:$O$499,10,FALSE)</f>
        <v>#N/A</v>
      </c>
      <c r="AA346" s="40" t="e">
        <f>VLOOKUP($B346,期貨大額交易人未沖銷部位!$A$4:$O$499,13,FALSE)</f>
        <v>#N/A</v>
      </c>
      <c r="AB346" s="40" t="e">
        <f>VLOOKUP($B346,期貨大額交易人未沖銷部位!$A$4:$O$499,14,FALSE)</f>
        <v>#N/A</v>
      </c>
      <c r="AC346" s="40" t="e">
        <f>VLOOKUP($B346,期貨大額交易人未沖銷部位!$A$4:$O$499,15,FALSE)</f>
        <v>#N/A</v>
      </c>
      <c r="AD346" s="33" t="e">
        <f>VLOOKUP($B346,三大美股走勢!$A$4:$J$495,4,FALSE)</f>
        <v>#N/A</v>
      </c>
      <c r="AE346" s="33" t="e">
        <f>VLOOKUP($B346,三大美股走勢!$A$4:$J$495,7,FALSE)</f>
        <v>#N/A</v>
      </c>
      <c r="AF346" s="33" t="e">
        <f>VLOOKUP($B346,三大美股走勢!$A$4:$J$495,10,FALSE)</f>
        <v>#N/A</v>
      </c>
    </row>
    <row r="347" spans="2:32">
      <c r="B347" s="32">
        <v>43126</v>
      </c>
      <c r="C347" s="33" t="e">
        <f>VLOOKUP($B347,大盤與近月台指!$A$4:$I$499,2,FALSE)</f>
        <v>#N/A</v>
      </c>
      <c r="D347" s="34" t="e">
        <f>VLOOKUP($B347,大盤與近月台指!$A$4:$I$499,3,FALSE)</f>
        <v>#N/A</v>
      </c>
      <c r="E347" s="35" t="e">
        <f>VLOOKUP($B347,大盤與近月台指!$A$4:$I$499,4,FALSE)</f>
        <v>#N/A</v>
      </c>
      <c r="F347" s="33" t="e">
        <f>VLOOKUP($B347,大盤與近月台指!$A$4:$I$499,5,FALSE)</f>
        <v>#N/A</v>
      </c>
      <c r="G347" s="49" t="e">
        <f>VLOOKUP($B347,三大法人買賣超!$A$4:$I$500,3,FALSE)</f>
        <v>#N/A</v>
      </c>
      <c r="H347" s="34" t="e">
        <f>VLOOKUP($B347,三大法人買賣超!$A$4:$I$500,5,FALSE)</f>
        <v>#N/A</v>
      </c>
      <c r="I347" s="27" t="e">
        <f>VLOOKUP($B347,三大法人買賣超!$A$4:$I$500,7,FALSE)</f>
        <v>#N/A</v>
      </c>
      <c r="J347" s="27" t="e">
        <f>VLOOKUP($B347,三大法人買賣超!$A$4:$I$500,9,FALSE)</f>
        <v>#N/A</v>
      </c>
      <c r="K347" s="37">
        <f>新台幣匯率美元指數!B348</f>
        <v>0</v>
      </c>
      <c r="L347" s="38">
        <f>新台幣匯率美元指數!C348</f>
        <v>0</v>
      </c>
      <c r="M347" s="39">
        <f>新台幣匯率美元指數!D348</f>
        <v>0</v>
      </c>
      <c r="N347" s="27" t="e">
        <f>VLOOKUP($B347,外資期貨未平倉口數!$A$4:$M$499,4,FALSE)</f>
        <v>#N/A</v>
      </c>
      <c r="O347" s="27" t="e">
        <f>VLOOKUP($B347,外資期貨未平倉口數!$A$4:$M$499,9,FALSE)</f>
        <v>#N/A</v>
      </c>
      <c r="P347" s="27" t="e">
        <f>VLOOKUP($B347,外資期貨未平倉口數!$A$4:$M$499,10,FALSE)</f>
        <v>#N/A</v>
      </c>
      <c r="Q347" s="27" t="e">
        <f>VLOOKUP($B347,外資期貨未平倉口數!$A$4:$M$499,11,FALSE)</f>
        <v>#N/A</v>
      </c>
      <c r="R347" s="64" t="e">
        <f>VLOOKUP($B347,選擇權未平倉餘額!$A$4:$I$500,6,FALSE)</f>
        <v>#N/A</v>
      </c>
      <c r="S347" s="64" t="e">
        <f>VLOOKUP($B347,選擇權未平倉餘額!$A$4:$I$500,7,FALSE)</f>
        <v>#N/A</v>
      </c>
      <c r="T347" s="64" t="e">
        <f>VLOOKUP($B347,選擇權未平倉餘額!$A$4:$I$500,8,FALSE)</f>
        <v>#N/A</v>
      </c>
      <c r="U347" s="64" t="e">
        <f>VLOOKUP($B347,選擇權未平倉餘額!$A$4:$I$500,9,FALSE)</f>
        <v>#N/A</v>
      </c>
      <c r="V347" s="39" t="e">
        <f>VLOOKUP($B347,臺指選擇權P_C_Ratios!$A$4:$C$500,3,FALSE)</f>
        <v>#N/A</v>
      </c>
      <c r="W347" s="41" t="e">
        <f>VLOOKUP($B347,散戶多空比!$A$6:$L$500,12,FALSE)</f>
        <v>#N/A</v>
      </c>
      <c r="X347" s="40" t="e">
        <f>VLOOKUP($B347,期貨大額交易人未沖銷部位!$A$4:$O$499,4,FALSE)</f>
        <v>#N/A</v>
      </c>
      <c r="Y347" s="40" t="e">
        <f>VLOOKUP($B347,期貨大額交易人未沖銷部位!$A$4:$O$499,7,FALSE)</f>
        <v>#N/A</v>
      </c>
      <c r="Z347" s="40" t="e">
        <f>VLOOKUP($B347,期貨大額交易人未沖銷部位!$A$4:$O$499,10,FALSE)</f>
        <v>#N/A</v>
      </c>
      <c r="AA347" s="40" t="e">
        <f>VLOOKUP($B347,期貨大額交易人未沖銷部位!$A$4:$O$499,13,FALSE)</f>
        <v>#N/A</v>
      </c>
      <c r="AB347" s="40" t="e">
        <f>VLOOKUP($B347,期貨大額交易人未沖銷部位!$A$4:$O$499,14,FALSE)</f>
        <v>#N/A</v>
      </c>
      <c r="AC347" s="40" t="e">
        <f>VLOOKUP($B347,期貨大額交易人未沖銷部位!$A$4:$O$499,15,FALSE)</f>
        <v>#N/A</v>
      </c>
      <c r="AD347" s="33" t="e">
        <f>VLOOKUP($B347,三大美股走勢!$A$4:$J$495,4,FALSE)</f>
        <v>#N/A</v>
      </c>
      <c r="AE347" s="33" t="e">
        <f>VLOOKUP($B347,三大美股走勢!$A$4:$J$495,7,FALSE)</f>
        <v>#N/A</v>
      </c>
      <c r="AF347" s="33" t="e">
        <f>VLOOKUP($B347,三大美股走勢!$A$4:$J$495,10,FALSE)</f>
        <v>#N/A</v>
      </c>
    </row>
    <row r="348" spans="2:32">
      <c r="B348" s="32">
        <v>43127</v>
      </c>
      <c r="C348" s="33" t="e">
        <f>VLOOKUP($B348,大盤與近月台指!$A$4:$I$499,2,FALSE)</f>
        <v>#N/A</v>
      </c>
      <c r="D348" s="34" t="e">
        <f>VLOOKUP($B348,大盤與近月台指!$A$4:$I$499,3,FALSE)</f>
        <v>#N/A</v>
      </c>
      <c r="E348" s="35" t="e">
        <f>VLOOKUP($B348,大盤與近月台指!$A$4:$I$499,4,FALSE)</f>
        <v>#N/A</v>
      </c>
      <c r="F348" s="33" t="e">
        <f>VLOOKUP($B348,大盤與近月台指!$A$4:$I$499,5,FALSE)</f>
        <v>#N/A</v>
      </c>
      <c r="G348" s="49" t="e">
        <f>VLOOKUP($B348,三大法人買賣超!$A$4:$I$500,3,FALSE)</f>
        <v>#N/A</v>
      </c>
      <c r="H348" s="34" t="e">
        <f>VLOOKUP($B348,三大法人買賣超!$A$4:$I$500,5,FALSE)</f>
        <v>#N/A</v>
      </c>
      <c r="I348" s="27" t="e">
        <f>VLOOKUP($B348,三大法人買賣超!$A$4:$I$500,7,FALSE)</f>
        <v>#N/A</v>
      </c>
      <c r="J348" s="27" t="e">
        <f>VLOOKUP($B348,三大法人買賣超!$A$4:$I$500,9,FALSE)</f>
        <v>#N/A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 t="e">
        <f>VLOOKUP($B348,外資期貨未平倉口數!$A$4:$M$499,4,FALSE)</f>
        <v>#N/A</v>
      </c>
      <c r="O348" s="27" t="e">
        <f>VLOOKUP($B348,外資期貨未平倉口數!$A$4:$M$499,9,FALSE)</f>
        <v>#N/A</v>
      </c>
      <c r="P348" s="27" t="e">
        <f>VLOOKUP($B348,外資期貨未平倉口數!$A$4:$M$499,10,FALSE)</f>
        <v>#N/A</v>
      </c>
      <c r="Q348" s="27" t="e">
        <f>VLOOKUP($B348,外資期貨未平倉口數!$A$4:$M$499,11,FALSE)</f>
        <v>#N/A</v>
      </c>
      <c r="R348" s="64" t="e">
        <f>VLOOKUP($B348,選擇權未平倉餘額!$A$4:$I$500,6,FALSE)</f>
        <v>#N/A</v>
      </c>
      <c r="S348" s="64" t="e">
        <f>VLOOKUP($B348,選擇權未平倉餘額!$A$4:$I$500,7,FALSE)</f>
        <v>#N/A</v>
      </c>
      <c r="T348" s="64" t="e">
        <f>VLOOKUP($B348,選擇權未平倉餘額!$A$4:$I$500,8,FALSE)</f>
        <v>#N/A</v>
      </c>
      <c r="U348" s="64" t="e">
        <f>VLOOKUP($B348,選擇權未平倉餘額!$A$4:$I$500,9,FALSE)</f>
        <v>#N/A</v>
      </c>
      <c r="V348" s="39" t="e">
        <f>VLOOKUP($B348,臺指選擇權P_C_Ratios!$A$4:$C$500,3,FALSE)</f>
        <v>#N/A</v>
      </c>
      <c r="W348" s="41" t="e">
        <f>VLOOKUP($B348,散戶多空比!$A$6:$L$500,12,FALSE)</f>
        <v>#N/A</v>
      </c>
      <c r="X348" s="40" t="e">
        <f>VLOOKUP($B348,期貨大額交易人未沖銷部位!$A$4:$O$499,4,FALSE)</f>
        <v>#N/A</v>
      </c>
      <c r="Y348" s="40" t="e">
        <f>VLOOKUP($B348,期貨大額交易人未沖銷部位!$A$4:$O$499,7,FALSE)</f>
        <v>#N/A</v>
      </c>
      <c r="Z348" s="40" t="e">
        <f>VLOOKUP($B348,期貨大額交易人未沖銷部位!$A$4:$O$499,10,FALSE)</f>
        <v>#N/A</v>
      </c>
      <c r="AA348" s="40" t="e">
        <f>VLOOKUP($B348,期貨大額交易人未沖銷部位!$A$4:$O$499,13,FALSE)</f>
        <v>#N/A</v>
      </c>
      <c r="AB348" s="40" t="e">
        <f>VLOOKUP($B348,期貨大額交易人未沖銷部位!$A$4:$O$499,14,FALSE)</f>
        <v>#N/A</v>
      </c>
      <c r="AC348" s="40" t="e">
        <f>VLOOKUP($B348,期貨大額交易人未沖銷部位!$A$4:$O$499,15,FALSE)</f>
        <v>#N/A</v>
      </c>
      <c r="AD348" s="33" t="e">
        <f>VLOOKUP($B348,三大美股走勢!$A$4:$J$495,4,FALSE)</f>
        <v>#N/A</v>
      </c>
      <c r="AE348" s="33" t="e">
        <f>VLOOKUP($B348,三大美股走勢!$A$4:$J$495,7,FALSE)</f>
        <v>#N/A</v>
      </c>
      <c r="AF348" s="33" t="e">
        <f>VLOOKUP($B348,三大美股走勢!$A$4:$J$495,10,FALSE)</f>
        <v>#N/A</v>
      </c>
    </row>
    <row r="349" spans="2:32">
      <c r="B349" s="32">
        <v>43128</v>
      </c>
      <c r="C349" s="33" t="e">
        <f>VLOOKUP($B349,大盤與近月台指!$A$4:$I$499,2,FALSE)</f>
        <v>#N/A</v>
      </c>
      <c r="D349" s="34" t="e">
        <f>VLOOKUP($B349,大盤與近月台指!$A$4:$I$499,3,FALSE)</f>
        <v>#N/A</v>
      </c>
      <c r="E349" s="35" t="e">
        <f>VLOOKUP($B349,大盤與近月台指!$A$4:$I$499,4,FALSE)</f>
        <v>#N/A</v>
      </c>
      <c r="F349" s="33" t="e">
        <f>VLOOKUP($B349,大盤與近月台指!$A$4:$I$499,5,FALSE)</f>
        <v>#N/A</v>
      </c>
      <c r="G349" s="49" t="e">
        <f>VLOOKUP($B349,三大法人買賣超!$A$4:$I$500,3,FALSE)</f>
        <v>#N/A</v>
      </c>
      <c r="H349" s="34" t="e">
        <f>VLOOKUP($B349,三大法人買賣超!$A$4:$I$500,5,FALSE)</f>
        <v>#N/A</v>
      </c>
      <c r="I349" s="27" t="e">
        <f>VLOOKUP($B349,三大法人買賣超!$A$4:$I$500,7,FALSE)</f>
        <v>#N/A</v>
      </c>
      <c r="J349" s="27" t="e">
        <f>VLOOKUP($B349,三大法人買賣超!$A$4:$I$500,9,FALSE)</f>
        <v>#N/A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 t="e">
        <f>VLOOKUP($B349,外資期貨未平倉口數!$A$4:$M$499,4,FALSE)</f>
        <v>#N/A</v>
      </c>
      <c r="O349" s="27" t="e">
        <f>VLOOKUP($B349,外資期貨未平倉口數!$A$4:$M$499,9,FALSE)</f>
        <v>#N/A</v>
      </c>
      <c r="P349" s="27" t="e">
        <f>VLOOKUP($B349,外資期貨未平倉口數!$A$4:$M$499,10,FALSE)</f>
        <v>#N/A</v>
      </c>
      <c r="Q349" s="27" t="e">
        <f>VLOOKUP($B349,外資期貨未平倉口數!$A$4:$M$499,11,FALSE)</f>
        <v>#N/A</v>
      </c>
      <c r="R349" s="64" t="e">
        <f>VLOOKUP($B349,選擇權未平倉餘額!$A$4:$I$500,6,FALSE)</f>
        <v>#N/A</v>
      </c>
      <c r="S349" s="64" t="e">
        <f>VLOOKUP($B349,選擇權未平倉餘額!$A$4:$I$500,7,FALSE)</f>
        <v>#N/A</v>
      </c>
      <c r="T349" s="64" t="e">
        <f>VLOOKUP($B349,選擇權未平倉餘額!$A$4:$I$500,8,FALSE)</f>
        <v>#N/A</v>
      </c>
      <c r="U349" s="64" t="e">
        <f>VLOOKUP($B349,選擇權未平倉餘額!$A$4:$I$500,9,FALSE)</f>
        <v>#N/A</v>
      </c>
      <c r="V349" s="39" t="e">
        <f>VLOOKUP($B349,臺指選擇權P_C_Ratios!$A$4:$C$500,3,FALSE)</f>
        <v>#N/A</v>
      </c>
      <c r="W349" s="41" t="e">
        <f>VLOOKUP($B349,散戶多空比!$A$6:$L$500,12,FALSE)</f>
        <v>#N/A</v>
      </c>
      <c r="X349" s="40" t="e">
        <f>VLOOKUP($B349,期貨大額交易人未沖銷部位!$A$4:$O$499,4,FALSE)</f>
        <v>#N/A</v>
      </c>
      <c r="Y349" s="40" t="e">
        <f>VLOOKUP($B349,期貨大額交易人未沖銷部位!$A$4:$O$499,7,FALSE)</f>
        <v>#N/A</v>
      </c>
      <c r="Z349" s="40" t="e">
        <f>VLOOKUP($B349,期貨大額交易人未沖銷部位!$A$4:$O$499,10,FALSE)</f>
        <v>#N/A</v>
      </c>
      <c r="AA349" s="40" t="e">
        <f>VLOOKUP($B349,期貨大額交易人未沖銷部位!$A$4:$O$499,13,FALSE)</f>
        <v>#N/A</v>
      </c>
      <c r="AB349" s="40" t="e">
        <f>VLOOKUP($B349,期貨大額交易人未沖銷部位!$A$4:$O$499,14,FALSE)</f>
        <v>#N/A</v>
      </c>
      <c r="AC349" s="40" t="e">
        <f>VLOOKUP($B349,期貨大額交易人未沖銷部位!$A$4:$O$499,15,FALSE)</f>
        <v>#N/A</v>
      </c>
      <c r="AD349" s="33" t="e">
        <f>VLOOKUP($B349,三大美股走勢!$A$4:$J$495,4,FALSE)</f>
        <v>#N/A</v>
      </c>
      <c r="AE349" s="33" t="e">
        <f>VLOOKUP($B349,三大美股走勢!$A$4:$J$495,7,FALSE)</f>
        <v>#N/A</v>
      </c>
      <c r="AF349" s="33" t="e">
        <f>VLOOKUP($B349,三大美股走勢!$A$4:$J$495,10,FALSE)</f>
        <v>#N/A</v>
      </c>
    </row>
    <row r="350" spans="2:32">
      <c r="B350" s="32">
        <v>43129</v>
      </c>
      <c r="C350" s="33" t="e">
        <f>VLOOKUP($B350,大盤與近月台指!$A$4:$I$499,2,FALSE)</f>
        <v>#N/A</v>
      </c>
      <c r="D350" s="34" t="e">
        <f>VLOOKUP($B350,大盤與近月台指!$A$4:$I$499,3,FALSE)</f>
        <v>#N/A</v>
      </c>
      <c r="E350" s="35" t="e">
        <f>VLOOKUP($B350,大盤與近月台指!$A$4:$I$499,4,FALSE)</f>
        <v>#N/A</v>
      </c>
      <c r="F350" s="33" t="e">
        <f>VLOOKUP($B350,大盤與近月台指!$A$4:$I$499,5,FALSE)</f>
        <v>#N/A</v>
      </c>
      <c r="G350" s="49" t="e">
        <f>VLOOKUP($B350,三大法人買賣超!$A$4:$I$500,3,FALSE)</f>
        <v>#N/A</v>
      </c>
      <c r="H350" s="34" t="e">
        <f>VLOOKUP($B350,三大法人買賣超!$A$4:$I$500,5,FALSE)</f>
        <v>#N/A</v>
      </c>
      <c r="I350" s="27" t="e">
        <f>VLOOKUP($B350,三大法人買賣超!$A$4:$I$500,7,FALSE)</f>
        <v>#N/A</v>
      </c>
      <c r="J350" s="27" t="e">
        <f>VLOOKUP($B350,三大法人買賣超!$A$4:$I$500,9,FALSE)</f>
        <v>#N/A</v>
      </c>
      <c r="K350" s="37">
        <f>新台幣匯率美元指數!B351</f>
        <v>0</v>
      </c>
      <c r="L350" s="38">
        <f>新台幣匯率美元指數!C351</f>
        <v>0</v>
      </c>
      <c r="M350" s="39">
        <f>新台幣匯率美元指數!D351</f>
        <v>0</v>
      </c>
      <c r="N350" s="27" t="e">
        <f>VLOOKUP($B350,外資期貨未平倉口數!$A$4:$M$499,4,FALSE)</f>
        <v>#N/A</v>
      </c>
      <c r="O350" s="27" t="e">
        <f>VLOOKUP($B350,外資期貨未平倉口數!$A$4:$M$499,9,FALSE)</f>
        <v>#N/A</v>
      </c>
      <c r="P350" s="27" t="e">
        <f>VLOOKUP($B350,外資期貨未平倉口數!$A$4:$M$499,10,FALSE)</f>
        <v>#N/A</v>
      </c>
      <c r="Q350" s="27" t="e">
        <f>VLOOKUP($B350,外資期貨未平倉口數!$A$4:$M$499,11,FALSE)</f>
        <v>#N/A</v>
      </c>
      <c r="R350" s="64" t="e">
        <f>VLOOKUP($B350,選擇權未平倉餘額!$A$4:$I$500,6,FALSE)</f>
        <v>#N/A</v>
      </c>
      <c r="S350" s="64" t="e">
        <f>VLOOKUP($B350,選擇權未平倉餘額!$A$4:$I$500,7,FALSE)</f>
        <v>#N/A</v>
      </c>
      <c r="T350" s="64" t="e">
        <f>VLOOKUP($B350,選擇權未平倉餘額!$A$4:$I$500,8,FALSE)</f>
        <v>#N/A</v>
      </c>
      <c r="U350" s="64" t="e">
        <f>VLOOKUP($B350,選擇權未平倉餘額!$A$4:$I$500,9,FALSE)</f>
        <v>#N/A</v>
      </c>
      <c r="V350" s="39" t="e">
        <f>VLOOKUP($B350,臺指選擇權P_C_Ratios!$A$4:$C$500,3,FALSE)</f>
        <v>#N/A</v>
      </c>
      <c r="W350" s="41" t="e">
        <f>VLOOKUP($B350,散戶多空比!$A$6:$L$500,12,FALSE)</f>
        <v>#N/A</v>
      </c>
      <c r="X350" s="40" t="e">
        <f>VLOOKUP($B350,期貨大額交易人未沖銷部位!$A$4:$O$499,4,FALSE)</f>
        <v>#N/A</v>
      </c>
      <c r="Y350" s="40" t="e">
        <f>VLOOKUP($B350,期貨大額交易人未沖銷部位!$A$4:$O$499,7,FALSE)</f>
        <v>#N/A</v>
      </c>
      <c r="Z350" s="40" t="e">
        <f>VLOOKUP($B350,期貨大額交易人未沖銷部位!$A$4:$O$499,10,FALSE)</f>
        <v>#N/A</v>
      </c>
      <c r="AA350" s="40" t="e">
        <f>VLOOKUP($B350,期貨大額交易人未沖銷部位!$A$4:$O$499,13,FALSE)</f>
        <v>#N/A</v>
      </c>
      <c r="AB350" s="40" t="e">
        <f>VLOOKUP($B350,期貨大額交易人未沖銷部位!$A$4:$O$499,14,FALSE)</f>
        <v>#N/A</v>
      </c>
      <c r="AC350" s="40" t="e">
        <f>VLOOKUP($B350,期貨大額交易人未沖銷部位!$A$4:$O$499,15,FALSE)</f>
        <v>#N/A</v>
      </c>
      <c r="AD350" s="33" t="e">
        <f>VLOOKUP($B350,三大美股走勢!$A$4:$J$495,4,FALSE)</f>
        <v>#N/A</v>
      </c>
      <c r="AE350" s="33" t="e">
        <f>VLOOKUP($B350,三大美股走勢!$A$4:$J$495,7,FALSE)</f>
        <v>#N/A</v>
      </c>
      <c r="AF350" s="33" t="e">
        <f>VLOOKUP($B350,三大美股走勢!$A$4:$J$495,10,FALSE)</f>
        <v>#N/A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VLOOKUP($B351,外資期貨未平倉口數!$A$4:$M$499,4,FALSE)</f>
        <v>#N/A</v>
      </c>
      <c r="O351" s="27" t="e">
        <f>VLOOKUP($B351,外資期貨未平倉口數!$A$4:$M$499,9,FALSE)</f>
        <v>#N/A</v>
      </c>
      <c r="P351" s="27" t="e">
        <f>VLOOKUP($B351,外資期貨未平倉口數!$A$4:$M$499,10,FALSE)</f>
        <v>#N/A</v>
      </c>
      <c r="Q351" s="27" t="e">
        <f>VLOOKUP($B351,外資期貨未平倉口數!$A$4:$M$499,11,FALSE)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 t="e">
        <f>VLOOKUP($B351,三大美股走勢!$A$4:$J$495,4,FALSE)</f>
        <v>#N/A</v>
      </c>
      <c r="AE351" s="33" t="e">
        <f>VLOOKUP($B351,三大美股走勢!$A$4:$J$495,7,FALSE)</f>
        <v>#N/A</v>
      </c>
      <c r="AF351" s="33" t="e">
        <f>VLOOKUP($B351,三大美股走勢!$A$4:$J$495,10,FALSE)</f>
        <v>#N/A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VLOOKUP($B352,外資期貨未平倉口數!$A$4:$M$499,4,FALSE)</f>
        <v>#N/A</v>
      </c>
      <c r="O352" s="27" t="e">
        <f>VLOOKUP($B352,外資期貨未平倉口數!$A$4:$M$499,9,FALSE)</f>
        <v>#N/A</v>
      </c>
      <c r="P352" s="27" t="e">
        <f>VLOOKUP($B352,外資期貨未平倉口數!$A$4:$M$499,10,FALSE)</f>
        <v>#N/A</v>
      </c>
      <c r="Q352" s="27" t="e">
        <f>VLOOKUP($B352,外資期貨未平倉口數!$A$4:$M$499,11,FALSE)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VLOOKUP($B353,外資期貨未平倉口數!$A$4:$M$499,4,FALSE)</f>
        <v>#N/A</v>
      </c>
      <c r="O353" s="27" t="e">
        <f>VLOOKUP($B353,外資期貨未平倉口數!$A$4:$M$499,9,FALSE)</f>
        <v>#N/A</v>
      </c>
      <c r="P353" s="27" t="e">
        <f>VLOOKUP($B353,外資期貨未平倉口數!$A$4:$M$499,10,FALSE)</f>
        <v>#N/A</v>
      </c>
      <c r="Q353" s="27" t="e">
        <f>VLOOKUP($B353,外資期貨未平倉口數!$A$4:$M$499,11,FALSE)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45"/>
  <sheetViews>
    <sheetView zoomScaleNormal="100" workbookViewId="0">
      <pane ySplit="3" topLeftCell="A343" activePane="bottomLeft" state="frozen"/>
      <selection pane="bottomLeft" activeCell="D356" sqref="D356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47"/>
  <sheetViews>
    <sheetView workbookViewId="0">
      <pane ySplit="3" topLeftCell="A336" activePane="bottomLeft" state="frozen"/>
      <selection pane="bottomLeft" activeCell="G350" sqref="G350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>
        <v>-492623700</v>
      </c>
      <c r="C345" s="98">
        <f t="shared" si="228"/>
        <v>-4.9262370000000004</v>
      </c>
      <c r="D345" s="97">
        <v>858311941</v>
      </c>
      <c r="E345" s="95">
        <f t="shared" si="229"/>
        <v>8.5831194100000001</v>
      </c>
      <c r="F345" s="96">
        <v>-343119387</v>
      </c>
      <c r="G345" s="98">
        <f t="shared" si="230"/>
        <v>-3.43119387</v>
      </c>
      <c r="H345" s="96">
        <v>5162810185</v>
      </c>
      <c r="I345" s="98">
        <f t="shared" si="231"/>
        <v>51.62810185</v>
      </c>
    </row>
    <row r="346" spans="1:9">
      <c r="A346" s="92">
        <v>43124</v>
      </c>
      <c r="B346" s="96"/>
      <c r="C346" s="98">
        <f t="shared" si="228"/>
        <v>0</v>
      </c>
      <c r="D346" s="97"/>
      <c r="E346" s="95">
        <f t="shared" si="229"/>
        <v>0</v>
      </c>
      <c r="F346" s="96"/>
      <c r="G346" s="98">
        <f t="shared" si="230"/>
        <v>0</v>
      </c>
      <c r="H346" s="96"/>
      <c r="I346" s="98">
        <f t="shared" si="231"/>
        <v>0</v>
      </c>
    </row>
    <row r="347" spans="1:9">
      <c r="A347" s="92">
        <v>43125</v>
      </c>
      <c r="B347" s="96"/>
      <c r="C347" s="98">
        <f t="shared" si="228"/>
        <v>0</v>
      </c>
      <c r="D347" s="97"/>
      <c r="E347" s="95">
        <f t="shared" si="229"/>
        <v>0</v>
      </c>
      <c r="F347" s="96"/>
      <c r="G347" s="98">
        <f t="shared" si="230"/>
        <v>0</v>
      </c>
      <c r="H347" s="96"/>
      <c r="I347" s="98">
        <f t="shared" si="231"/>
        <v>0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46"/>
  <sheetViews>
    <sheetView tabSelected="1" zoomScale="85" zoomScaleNormal="85" workbookViewId="0">
      <pane ySplit="3" topLeftCell="A332" activePane="bottomLeft" state="frozen"/>
      <selection pane="bottomLeft" activeCell="M346" sqref="M346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45"/>
  <sheetViews>
    <sheetView zoomScale="80" zoomScaleNormal="80" workbookViewId="0">
      <pane ySplit="3" topLeftCell="A340" activePane="bottomLeft" state="frozen"/>
      <selection pane="bottomLeft" activeCell="K350" sqref="K350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45"/>
  <sheetViews>
    <sheetView zoomScale="85" zoomScaleNormal="85" workbookViewId="0">
      <pane ySplit="3" topLeftCell="A332" activePane="bottomLeft" state="frozen"/>
      <selection pane="bottomLeft" activeCell="E345" sqref="E345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45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F351" sqref="F351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45"/>
  <sheetViews>
    <sheetView workbookViewId="0">
      <pane ySplit="3" topLeftCell="A336" activePane="bottomLeft" state="frozen"/>
      <selection pane="bottomLeft" activeCell="F345" sqref="F345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47"/>
  <sheetViews>
    <sheetView zoomScale="85" zoomScaleNormal="85" workbookViewId="0">
      <pane xSplit="1" ySplit="4" topLeftCell="B338" activePane="bottomRight" state="frozen"/>
      <selection pane="topRight" activeCell="B1" sqref="B1"/>
      <selection pane="bottomLeft" activeCell="A5" sqref="A5"/>
      <selection pane="bottomRight" activeCell="J348" sqref="J348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46"/>
  <sheetViews>
    <sheetView zoomScaleNormal="100" workbookViewId="0">
      <pane ySplit="3" topLeftCell="A334" activePane="bottomLeft" state="frozen"/>
      <selection pane="bottomLeft" activeCell="H351" sqref="H351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/>
      <c r="C345" s="27"/>
      <c r="D345" s="91"/>
      <c r="E345" s="89"/>
      <c r="F345" s="27"/>
      <c r="G345" s="91"/>
      <c r="H345" s="89"/>
      <c r="I345" s="27"/>
      <c r="J345" s="91"/>
    </row>
    <row r="346" spans="1:10">
      <c r="A346" s="92">
        <v>43124</v>
      </c>
      <c r="B346" s="89"/>
      <c r="C346" s="27"/>
      <c r="D346" s="91"/>
      <c r="E346" s="89"/>
      <c r="F346" s="27"/>
      <c r="G346" s="91"/>
      <c r="H346" s="89"/>
      <c r="I346" s="27"/>
      <c r="J346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2018-01-23T16:03:33Z</dcterms:modified>
</cp:coreProperties>
</file>