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1" i="18" l="1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<sst xmlns="http://schemas.openxmlformats.org/spreadsheetml/2006/main" count="292" uniqueCount="210">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</sst>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3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187564033"/>
  <ax:ocxPr ax:name="CurrentDate" ax:value="43089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F15" sqref="F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7" t="s">
        <v>2</v>
      </c>
      <c r="D5" s="107"/>
      <c r="E5" s="107"/>
      <c r="F5" s="107"/>
      <c r="G5" s="108" t="s">
        <v>34</v>
      </c>
      <c r="H5" s="109"/>
      <c r="I5" s="109"/>
      <c r="J5" s="109"/>
      <c r="K5" s="110" t="s">
        <v>9</v>
      </c>
      <c r="L5" s="111"/>
      <c r="M5" s="111"/>
    </row>
    <row r="6" spans="2:13" ht="31.2">
      <c r="B6" s="106">
        <v>43089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3"/>
      <c r="C7" s="33">
        <f>VLOOKUP($B$6,資料整合一覽!$B$3:$AF$500,2,FALSE)</f>
        <v>10504.52</v>
      </c>
      <c r="D7" s="34">
        <f>VLOOKUP($B$6,資料整合一覽!$B$3:$AF$500,3,FALSE)</f>
        <v>37.18</v>
      </c>
      <c r="E7" s="35">
        <f>VLOOKUP($B$6,資料整合一覽!$B$3:$AF$500,4,FALSE)</f>
        <v>3.5999999999999999E-3</v>
      </c>
      <c r="F7" s="33" t="str">
        <f>VLOOKUP($B$6,資料整合一覽!$B$3:$AF$500,5,FALSE)</f>
        <v>1013.08億</v>
      </c>
      <c r="G7" s="36">
        <f>VLOOKUP($B$6,資料整合一覽!$B$3:$AF$500,6,FALSE)</f>
        <v>0.74035673999999996</v>
      </c>
      <c r="H7" s="34">
        <f>VLOOKUP($B$6,資料整合一覽!$B$3:$AF$500,7,FALSE)</f>
        <v>3.53357594</v>
      </c>
      <c r="I7" s="34">
        <f>VLOOKUP($B$6,資料整合一覽!$B$3:$AF$500,8,FALSE)</f>
        <v>0.69393252000000005</v>
      </c>
      <c r="J7" s="34">
        <f>VLOOKUP($B$6,資料整合一覽!$B$3:$AF$500,9,FALSE)</f>
        <v>-0.74499826999999996</v>
      </c>
      <c r="K7" s="37">
        <f>VLOOKUP($B$6,資料整合一覽!$B$3:$AF$500,10,FALSE)</f>
        <v>29.99</v>
      </c>
      <c r="L7" s="38">
        <f>VLOOKUP($B$6,資料整合一覽!$B$3:$AF$500,11,FALSE)</f>
        <v>0</v>
      </c>
      <c r="M7" s="39">
        <f>VLOOKUP($B$6,資料整合一覽!$B$3:$AF$500,12,FALSE)</f>
        <v>0</v>
      </c>
    </row>
    <row r="8" spans="2:13" ht="3" customHeight="1">
      <c r="B8" s="103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3"/>
      <c r="C9" s="104" t="s">
        <v>35</v>
      </c>
      <c r="D9" s="105"/>
      <c r="E9" s="112" t="s">
        <v>42</v>
      </c>
      <c r="F9" s="113"/>
      <c r="G9" s="113"/>
      <c r="H9" s="113"/>
      <c r="I9" s="5" t="s">
        <v>20</v>
      </c>
      <c r="J9" s="102" t="s">
        <v>22</v>
      </c>
      <c r="K9" s="100" t="s">
        <v>33</v>
      </c>
      <c r="L9" s="101"/>
      <c r="M9" s="101"/>
    </row>
    <row r="10" spans="2:13" ht="31.2">
      <c r="B10" s="103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3"/>
      <c r="K10" s="7" t="s">
        <v>104</v>
      </c>
      <c r="L10" s="7" t="s">
        <v>31</v>
      </c>
      <c r="M10" s="7" t="s">
        <v>32</v>
      </c>
    </row>
    <row r="11" spans="2:13" ht="32.4" customHeight="1">
      <c r="B11" s="103"/>
      <c r="C11" s="27">
        <f>VLOOKUP($B$6,資料整合一覽!$B$3:$AF$500,13,FALSE)</f>
        <v>-4875</v>
      </c>
      <c r="D11" s="27">
        <f>VLOOKUP($B$6,資料整合一覽!$B$3:$AF$500,14,FALSE)</f>
        <v>46045.25</v>
      </c>
      <c r="E11" s="64">
        <f>VLOOKUP($B$6,資料整合一覽!$B$3:$AF$500,17,FALSE)</f>
        <v>7.9329999999999998</v>
      </c>
      <c r="F11" s="64">
        <f>VLOOKUP($B$6,資料整合一覽!$B$3:$AF$500,18,FALSE)</f>
        <v>-21.834399999999999</v>
      </c>
      <c r="G11" s="64">
        <f>VLOOKUP($B$6,資料整合一覽!$B$3:$AF$500,19,FALSE)</f>
        <v>6.5049000000000001</v>
      </c>
      <c r="H11" s="64">
        <f>VLOOKUP($B$6,資料整合一覽!$B$3:$AF$500,20,FALSE)</f>
        <v>44.691899999999997</v>
      </c>
      <c r="I11" s="39">
        <f>VLOOKUP($B$6,資料整合一覽!$B$3:$AF$500,21,FALSE)</f>
        <v>1.57</v>
      </c>
      <c r="J11" s="41">
        <f>VLOOKUP($B$6,資料整合一覽!$B$3:$AF$500,22,FALSE)</f>
        <v>0.18850459405850301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11"/>
  <sheetViews>
    <sheetView zoomScale="80" zoomScaleNormal="80" workbookViewId="0">
      <pane ySplit="3" topLeftCell="A296" activePane="bottomLeft" state="frozen"/>
      <selection pane="bottomLeft" activeCell="M317" sqref="M31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6" t="s">
        <v>75</v>
      </c>
      <c r="C1" s="107"/>
      <c r="D1" s="107"/>
      <c r="E1" s="157" t="s">
        <v>79</v>
      </c>
      <c r="F1" s="158"/>
      <c r="G1" s="158"/>
      <c r="H1" s="156" t="s">
        <v>80</v>
      </c>
      <c r="I1" s="107"/>
      <c r="J1" s="107"/>
      <c r="K1" s="157" t="s">
        <v>81</v>
      </c>
      <c r="L1" s="158"/>
      <c r="M1" s="158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59" t="s">
        <v>174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5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10"/>
  <sheetViews>
    <sheetView zoomScaleNormal="100" workbookViewId="0">
      <pane ySplit="3" topLeftCell="A302" activePane="bottomLeft" state="frozen"/>
      <selection pane="bottomLeft" activeCell="I315" sqref="I315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1" t="s">
        <v>86</v>
      </c>
      <c r="C1" s="162"/>
      <c r="D1" s="163"/>
      <c r="E1" s="161" t="s">
        <v>87</v>
      </c>
      <c r="F1" s="162"/>
      <c r="G1" s="163"/>
      <c r="H1" s="161" t="s">
        <v>88</v>
      </c>
      <c r="I1" s="162"/>
      <c r="J1" s="163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4" t="s">
        <v>146</v>
      </c>
      <c r="C3" s="165"/>
      <c r="D3" s="165"/>
      <c r="E3" s="165"/>
      <c r="F3" s="165"/>
      <c r="G3" s="165"/>
      <c r="H3" s="165"/>
      <c r="I3" s="165"/>
      <c r="J3" s="165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4" t="s">
        <v>0</v>
      </c>
      <c r="B1" s="15"/>
      <c r="C1" s="107" t="s">
        <v>2</v>
      </c>
      <c r="D1" s="107"/>
      <c r="E1" s="107"/>
      <c r="F1" s="107"/>
      <c r="G1" s="108" t="s">
        <v>34</v>
      </c>
      <c r="H1" s="109"/>
      <c r="I1" s="109"/>
      <c r="J1" s="109"/>
      <c r="K1" s="110" t="s">
        <v>9</v>
      </c>
      <c r="L1" s="111"/>
      <c r="M1" s="111"/>
      <c r="N1" s="104" t="s">
        <v>35</v>
      </c>
      <c r="O1" s="115"/>
      <c r="P1" s="115"/>
      <c r="Q1" s="115"/>
      <c r="R1" s="112" t="s">
        <v>42</v>
      </c>
      <c r="S1" s="113"/>
      <c r="T1" s="113"/>
      <c r="U1" s="113"/>
      <c r="V1" s="5" t="s">
        <v>20</v>
      </c>
      <c r="W1" s="102" t="s">
        <v>22</v>
      </c>
      <c r="X1" s="117" t="s">
        <v>29</v>
      </c>
      <c r="Y1" s="118"/>
      <c r="Z1" s="118"/>
      <c r="AA1" s="118"/>
      <c r="AB1" s="118"/>
      <c r="AC1" s="118"/>
      <c r="AD1" s="100" t="s">
        <v>33</v>
      </c>
      <c r="AE1" s="101"/>
      <c r="AF1" s="101"/>
    </row>
    <row r="2" spans="1:32" ht="31.2">
      <c r="A2" s="114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6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0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 t="e">
        <f>VLOOKUP($B310,三大美股走勢!$A$4:$J$495,4,FALSE)</f>
        <v>#N/A</v>
      </c>
      <c r="AE310" s="33" t="e">
        <f>VLOOKUP($B310,三大美股走勢!$A$4:$J$495,7,FALSE)</f>
        <v>#N/A</v>
      </c>
      <c r="AF310" s="33" t="e">
        <f>VLOOKUP($B310,三大美股走勢!$A$4:$J$495,10,FALSE)</f>
        <v>#N/A</v>
      </c>
    </row>
    <row r="311" spans="2:32">
      <c r="B311" s="32">
        <v>43090</v>
      </c>
      <c r="C311" s="33" t="e">
        <f>VLOOKUP($B311,大盤與近月台指!$A$4:$I$499,2,FALSE)</f>
        <v>#N/A</v>
      </c>
      <c r="D311" s="34" t="e">
        <f>VLOOKUP($B311,大盤與近月台指!$A$4:$I$499,3,FALSE)</f>
        <v>#N/A</v>
      </c>
      <c r="E311" s="35" t="e">
        <f>VLOOKUP($B311,大盤與近月台指!$A$4:$I$499,4,FALSE)</f>
        <v>#N/A</v>
      </c>
      <c r="F311" s="33" t="e">
        <f>VLOOKUP($B311,大盤與近月台指!$A$4:$I$499,5,FALSE)</f>
        <v>#N/A</v>
      </c>
      <c r="G311" s="49" t="e">
        <f>VLOOKUP($B311,三大法人買賣超!$A$4:$I$500,3,FALSE)</f>
        <v>#N/A</v>
      </c>
      <c r="H311" s="34" t="e">
        <f>VLOOKUP($B311,三大法人買賣超!$A$4:$I$500,5,FALSE)</f>
        <v>#N/A</v>
      </c>
      <c r="I311" s="27" t="e">
        <f>VLOOKUP($B311,三大法人買賣超!$A$4:$I$500,7,FALSE)</f>
        <v>#N/A</v>
      </c>
      <c r="J311" s="27" t="e">
        <f>VLOOKUP($B311,三大法人買賣超!$A$4:$I$500,9,FALSE)</f>
        <v>#N/A</v>
      </c>
      <c r="K311" s="37">
        <f>新台幣匯率美元指數!B312</f>
        <v>0</v>
      </c>
      <c r="L311" s="38">
        <f>新台幣匯率美元指數!C312</f>
        <v>0</v>
      </c>
      <c r="M311" s="39">
        <f>新台幣匯率美元指數!D312</f>
        <v>0</v>
      </c>
      <c r="N311" s="27" t="e">
        <f>VLOOKUP($B311,期貨未平倉口數!$A$4:$M$499,4,FALSE)</f>
        <v>#N/A</v>
      </c>
      <c r="O311" s="27" t="e">
        <f>VLOOKUP($B311,期貨未平倉口數!$A$4:$M$499,9,FALSE)</f>
        <v>#N/A</v>
      </c>
      <c r="P311" s="27" t="e">
        <f>VLOOKUP($B311,期貨未平倉口數!$A$4:$M$499,10,FALSE)</f>
        <v>#N/A</v>
      </c>
      <c r="Q311" s="27" t="e">
        <f>VLOOKUP($B311,期貨未平倉口數!$A$4:$M$499,11,FALSE)</f>
        <v>#N/A</v>
      </c>
      <c r="R311" s="64" t="e">
        <f>VLOOKUP($B311,選擇權未平倉餘額!$A$4:$I$500,6,FALSE)</f>
        <v>#N/A</v>
      </c>
      <c r="S311" s="64" t="e">
        <f>VLOOKUP($B311,選擇權未平倉餘額!$A$4:$I$500,7,FALSE)</f>
        <v>#N/A</v>
      </c>
      <c r="T311" s="64" t="e">
        <f>VLOOKUP($B311,選擇權未平倉餘額!$A$4:$I$500,8,FALSE)</f>
        <v>#N/A</v>
      </c>
      <c r="U311" s="64" t="e">
        <f>VLOOKUP($B311,選擇權未平倉餘額!$A$4:$I$500,9,FALSE)</f>
        <v>#N/A</v>
      </c>
      <c r="V311" s="39" t="e">
        <f>VLOOKUP($B311,臺指選擇權P_C_Ratios!$A$4:$C$500,3,FALSE)</f>
        <v>#N/A</v>
      </c>
      <c r="W311" s="41" t="e">
        <f>VLOOKUP($B311,散戶多空比!$A$6:$L$500,12,FALSE)</f>
        <v>#N/A</v>
      </c>
      <c r="X311" s="40" t="e">
        <f>VLOOKUP($B311,期貨大額交易人未沖銷部位!$A$4:$O$499,4,FALSE)</f>
        <v>#N/A</v>
      </c>
      <c r="Y311" s="40" t="e">
        <f>VLOOKUP($B311,期貨大額交易人未沖銷部位!$A$4:$O$499,7,FALSE)</f>
        <v>#N/A</v>
      </c>
      <c r="Z311" s="40" t="e">
        <f>VLOOKUP($B311,期貨大額交易人未沖銷部位!$A$4:$O$499,10,FALSE)</f>
        <v>#N/A</v>
      </c>
      <c r="AA311" s="40" t="e">
        <f>VLOOKUP($B311,期貨大額交易人未沖銷部位!$A$4:$O$499,13,FALSE)</f>
        <v>#N/A</v>
      </c>
      <c r="AB311" s="40" t="e">
        <f>VLOOKUP($B311,期貨大額交易人未沖銷部位!$A$4:$O$499,14,FALSE)</f>
        <v>#N/A</v>
      </c>
      <c r="AC311" s="40" t="e">
        <f>VLOOKUP($B311,期貨大額交易人未沖銷部位!$A$4:$O$499,15,FALSE)</f>
        <v>#N/A</v>
      </c>
      <c r="AD311" s="33" t="e">
        <f>VLOOKUP($B311,三大美股走勢!$A$4:$J$495,4,FALSE)</f>
        <v>#N/A</v>
      </c>
      <c r="AE311" s="33" t="e">
        <f>VLOOKUP($B311,三大美股走勢!$A$4:$J$495,7,FALSE)</f>
        <v>#N/A</v>
      </c>
      <c r="AF311" s="33" t="e">
        <f>VLOOKUP($B311,三大美股走勢!$A$4:$J$495,10,FALSE)</f>
        <v>#N/A</v>
      </c>
    </row>
    <row r="312" spans="2:32">
      <c r="B312" s="32">
        <v>43091</v>
      </c>
      <c r="C312" s="33" t="e">
        <f>VLOOKUP($B312,大盤與近月台指!$A$4:$I$499,2,FALSE)</f>
        <v>#N/A</v>
      </c>
      <c r="D312" s="34" t="e">
        <f>VLOOKUP($B312,大盤與近月台指!$A$4:$I$499,3,FALSE)</f>
        <v>#N/A</v>
      </c>
      <c r="E312" s="35" t="e">
        <f>VLOOKUP($B312,大盤與近月台指!$A$4:$I$499,4,FALSE)</f>
        <v>#N/A</v>
      </c>
      <c r="F312" s="33" t="e">
        <f>VLOOKUP($B312,大盤與近月台指!$A$4:$I$499,5,FALSE)</f>
        <v>#N/A</v>
      </c>
      <c r="G312" s="49" t="e">
        <f>VLOOKUP($B312,三大法人買賣超!$A$4:$I$500,3,FALSE)</f>
        <v>#N/A</v>
      </c>
      <c r="H312" s="34" t="e">
        <f>VLOOKUP($B312,三大法人買賣超!$A$4:$I$500,5,FALSE)</f>
        <v>#N/A</v>
      </c>
      <c r="I312" s="27" t="e">
        <f>VLOOKUP($B312,三大法人買賣超!$A$4:$I$500,7,FALSE)</f>
        <v>#N/A</v>
      </c>
      <c r="J312" s="27" t="e">
        <f>VLOOKUP($B312,三大法人買賣超!$A$4:$I$500,9,FALSE)</f>
        <v>#N/A</v>
      </c>
      <c r="K312" s="37">
        <f>新台幣匯率美元指數!B313</f>
        <v>0</v>
      </c>
      <c r="L312" s="38">
        <f>新台幣匯率美元指數!C313</f>
        <v>0</v>
      </c>
      <c r="M312" s="39">
        <f>新台幣匯率美元指數!D313</f>
        <v>0</v>
      </c>
      <c r="N312" s="27" t="e">
        <f>VLOOKUP($B312,期貨未平倉口數!$A$4:$M$499,4,FALSE)</f>
        <v>#N/A</v>
      </c>
      <c r="O312" s="27" t="e">
        <f>VLOOKUP($B312,期貨未平倉口數!$A$4:$M$499,9,FALSE)</f>
        <v>#N/A</v>
      </c>
      <c r="P312" s="27" t="e">
        <f>VLOOKUP($B312,期貨未平倉口數!$A$4:$M$499,10,FALSE)</f>
        <v>#N/A</v>
      </c>
      <c r="Q312" s="27" t="e">
        <f>VLOOKUP($B312,期貨未平倉口數!$A$4:$M$499,11,FALSE)</f>
        <v>#N/A</v>
      </c>
      <c r="R312" s="64" t="e">
        <f>VLOOKUP($B312,選擇權未平倉餘額!$A$4:$I$500,6,FALSE)</f>
        <v>#N/A</v>
      </c>
      <c r="S312" s="64" t="e">
        <f>VLOOKUP($B312,選擇權未平倉餘額!$A$4:$I$500,7,FALSE)</f>
        <v>#N/A</v>
      </c>
      <c r="T312" s="64" t="e">
        <f>VLOOKUP($B312,選擇權未平倉餘額!$A$4:$I$500,8,FALSE)</f>
        <v>#N/A</v>
      </c>
      <c r="U312" s="64" t="e">
        <f>VLOOKUP($B312,選擇權未平倉餘額!$A$4:$I$500,9,FALSE)</f>
        <v>#N/A</v>
      </c>
      <c r="V312" s="39" t="e">
        <f>VLOOKUP($B312,臺指選擇權P_C_Ratios!$A$4:$C$500,3,FALSE)</f>
        <v>#N/A</v>
      </c>
      <c r="W312" s="41" t="e">
        <f>VLOOKUP($B312,散戶多空比!$A$6:$L$500,12,FALSE)</f>
        <v>#N/A</v>
      </c>
      <c r="X312" s="40" t="e">
        <f>VLOOKUP($B312,期貨大額交易人未沖銷部位!$A$4:$O$499,4,FALSE)</f>
        <v>#N/A</v>
      </c>
      <c r="Y312" s="40" t="e">
        <f>VLOOKUP($B312,期貨大額交易人未沖銷部位!$A$4:$O$499,7,FALSE)</f>
        <v>#N/A</v>
      </c>
      <c r="Z312" s="40" t="e">
        <f>VLOOKUP($B312,期貨大額交易人未沖銷部位!$A$4:$O$499,10,FALSE)</f>
        <v>#N/A</v>
      </c>
      <c r="AA312" s="40" t="e">
        <f>VLOOKUP($B312,期貨大額交易人未沖銷部位!$A$4:$O$499,13,FALSE)</f>
        <v>#N/A</v>
      </c>
      <c r="AB312" s="40" t="e">
        <f>VLOOKUP($B312,期貨大額交易人未沖銷部位!$A$4:$O$499,14,FALSE)</f>
        <v>#N/A</v>
      </c>
      <c r="AC312" s="40" t="e">
        <f>VLOOKUP($B312,期貨大額交易人未沖銷部位!$A$4:$O$499,15,FALSE)</f>
        <v>#N/A</v>
      </c>
      <c r="AD312" s="33" t="e">
        <f>VLOOKUP($B312,三大美股走勢!$A$4:$J$495,4,FALSE)</f>
        <v>#N/A</v>
      </c>
      <c r="AE312" s="33" t="e">
        <f>VLOOKUP($B312,三大美股走勢!$A$4:$J$495,7,FALSE)</f>
        <v>#N/A</v>
      </c>
      <c r="AF312" s="33" t="e">
        <f>VLOOKUP($B312,三大美股走勢!$A$4:$J$495,10,FALSE)</f>
        <v>#N/A</v>
      </c>
    </row>
    <row r="313" spans="2:32">
      <c r="B313" s="32">
        <v>43092</v>
      </c>
      <c r="C313" s="33" t="e">
        <f>VLOOKUP($B313,大盤與近月台指!$A$4:$I$499,2,FALSE)</f>
        <v>#N/A</v>
      </c>
      <c r="D313" s="34" t="e">
        <f>VLOOKUP($B313,大盤與近月台指!$A$4:$I$499,3,FALSE)</f>
        <v>#N/A</v>
      </c>
      <c r="E313" s="35" t="e">
        <f>VLOOKUP($B313,大盤與近月台指!$A$4:$I$499,4,FALSE)</f>
        <v>#N/A</v>
      </c>
      <c r="F313" s="33" t="e">
        <f>VLOOKUP($B313,大盤與近月台指!$A$4:$I$499,5,FALSE)</f>
        <v>#N/A</v>
      </c>
      <c r="G313" s="49" t="e">
        <f>VLOOKUP($B313,三大法人買賣超!$A$4:$I$500,3,FALSE)</f>
        <v>#N/A</v>
      </c>
      <c r="H313" s="34" t="e">
        <f>VLOOKUP($B313,三大法人買賣超!$A$4:$I$500,5,FALSE)</f>
        <v>#N/A</v>
      </c>
      <c r="I313" s="27" t="e">
        <f>VLOOKUP($B313,三大法人買賣超!$A$4:$I$500,7,FALSE)</f>
        <v>#N/A</v>
      </c>
      <c r="J313" s="27" t="e">
        <f>VLOOKUP($B313,三大法人買賣超!$A$4:$I$500,9,FALSE)</f>
        <v>#N/A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 t="e">
        <f>VLOOKUP($B313,期貨未平倉口數!$A$4:$M$499,4,FALSE)</f>
        <v>#N/A</v>
      </c>
      <c r="O313" s="27" t="e">
        <f>VLOOKUP($B313,期貨未平倉口數!$A$4:$M$499,9,FALSE)</f>
        <v>#N/A</v>
      </c>
      <c r="P313" s="27" t="e">
        <f>VLOOKUP($B313,期貨未平倉口數!$A$4:$M$499,10,FALSE)</f>
        <v>#N/A</v>
      </c>
      <c r="Q313" s="27" t="e">
        <f>VLOOKUP($B313,期貨未平倉口數!$A$4:$M$499,11,FALSE)</f>
        <v>#N/A</v>
      </c>
      <c r="R313" s="64" t="e">
        <f>VLOOKUP($B313,選擇權未平倉餘額!$A$4:$I$500,6,FALSE)</f>
        <v>#N/A</v>
      </c>
      <c r="S313" s="64" t="e">
        <f>VLOOKUP($B313,選擇權未平倉餘額!$A$4:$I$500,7,FALSE)</f>
        <v>#N/A</v>
      </c>
      <c r="T313" s="64" t="e">
        <f>VLOOKUP($B313,選擇權未平倉餘額!$A$4:$I$500,8,FALSE)</f>
        <v>#N/A</v>
      </c>
      <c r="U313" s="64" t="e">
        <f>VLOOKUP($B313,選擇權未平倉餘額!$A$4:$I$500,9,FALSE)</f>
        <v>#N/A</v>
      </c>
      <c r="V313" s="39" t="e">
        <f>VLOOKUP($B313,臺指選擇權P_C_Ratios!$A$4:$C$500,3,FALSE)</f>
        <v>#N/A</v>
      </c>
      <c r="W313" s="41" t="e">
        <f>VLOOKUP($B313,散戶多空比!$A$6:$L$500,12,FALSE)</f>
        <v>#N/A</v>
      </c>
      <c r="X313" s="40" t="e">
        <f>VLOOKUP($B313,期貨大額交易人未沖銷部位!$A$4:$O$499,4,FALSE)</f>
        <v>#N/A</v>
      </c>
      <c r="Y313" s="40" t="e">
        <f>VLOOKUP($B313,期貨大額交易人未沖銷部位!$A$4:$O$499,7,FALSE)</f>
        <v>#N/A</v>
      </c>
      <c r="Z313" s="40" t="e">
        <f>VLOOKUP($B313,期貨大額交易人未沖銷部位!$A$4:$O$499,10,FALSE)</f>
        <v>#N/A</v>
      </c>
      <c r="AA313" s="40" t="e">
        <f>VLOOKUP($B313,期貨大額交易人未沖銷部位!$A$4:$O$499,13,FALSE)</f>
        <v>#N/A</v>
      </c>
      <c r="AB313" s="40" t="e">
        <f>VLOOKUP($B313,期貨大額交易人未沖銷部位!$A$4:$O$499,14,FALSE)</f>
        <v>#N/A</v>
      </c>
      <c r="AC313" s="40" t="e">
        <f>VLOOKUP($B313,期貨大額交易人未沖銷部位!$A$4:$O$499,15,FALSE)</f>
        <v>#N/A</v>
      </c>
      <c r="AD313" s="33" t="e">
        <f>VLOOKUP($B313,三大美股走勢!$A$4:$J$495,4,FALSE)</f>
        <v>#N/A</v>
      </c>
      <c r="AE313" s="33" t="e">
        <f>VLOOKUP($B313,三大美股走勢!$A$4:$J$495,7,FALSE)</f>
        <v>#N/A</v>
      </c>
      <c r="AF313" s="33" t="e">
        <f>VLOOKUP($B313,三大美股走勢!$A$4:$J$495,10,FALSE)</f>
        <v>#N/A</v>
      </c>
    </row>
    <row r="314" spans="2:32">
      <c r="B314" s="32">
        <v>43093</v>
      </c>
      <c r="C314" s="33" t="e">
        <f>VLOOKUP($B314,大盤與近月台指!$A$4:$I$499,2,FALSE)</f>
        <v>#N/A</v>
      </c>
      <c r="D314" s="34" t="e">
        <f>VLOOKUP($B314,大盤與近月台指!$A$4:$I$499,3,FALSE)</f>
        <v>#N/A</v>
      </c>
      <c r="E314" s="35" t="e">
        <f>VLOOKUP($B314,大盤與近月台指!$A$4:$I$499,4,FALSE)</f>
        <v>#N/A</v>
      </c>
      <c r="F314" s="33" t="e">
        <f>VLOOKUP($B314,大盤與近月台指!$A$4:$I$499,5,FALSE)</f>
        <v>#N/A</v>
      </c>
      <c r="G314" s="49" t="e">
        <f>VLOOKUP($B314,三大法人買賣超!$A$4:$I$500,3,FALSE)</f>
        <v>#N/A</v>
      </c>
      <c r="H314" s="34" t="e">
        <f>VLOOKUP($B314,三大法人買賣超!$A$4:$I$500,5,FALSE)</f>
        <v>#N/A</v>
      </c>
      <c r="I314" s="27" t="e">
        <f>VLOOKUP($B314,三大法人買賣超!$A$4:$I$500,7,FALSE)</f>
        <v>#N/A</v>
      </c>
      <c r="J314" s="27" t="e">
        <f>VLOOKUP($B314,三大法人買賣超!$A$4:$I$500,9,FALSE)</f>
        <v>#N/A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 t="e">
        <f>VLOOKUP($B314,期貨未平倉口數!$A$4:$M$499,4,FALSE)</f>
        <v>#N/A</v>
      </c>
      <c r="O314" s="27" t="e">
        <f>VLOOKUP($B314,期貨未平倉口數!$A$4:$M$499,9,FALSE)</f>
        <v>#N/A</v>
      </c>
      <c r="P314" s="27" t="e">
        <f>VLOOKUP($B314,期貨未平倉口數!$A$4:$M$499,10,FALSE)</f>
        <v>#N/A</v>
      </c>
      <c r="Q314" s="27" t="e">
        <f>VLOOKUP($B314,期貨未平倉口數!$A$4:$M$499,11,FALSE)</f>
        <v>#N/A</v>
      </c>
      <c r="R314" s="64" t="e">
        <f>VLOOKUP($B314,選擇權未平倉餘額!$A$4:$I$500,6,FALSE)</f>
        <v>#N/A</v>
      </c>
      <c r="S314" s="64" t="e">
        <f>VLOOKUP($B314,選擇權未平倉餘額!$A$4:$I$500,7,FALSE)</f>
        <v>#N/A</v>
      </c>
      <c r="T314" s="64" t="e">
        <f>VLOOKUP($B314,選擇權未平倉餘額!$A$4:$I$500,8,FALSE)</f>
        <v>#N/A</v>
      </c>
      <c r="U314" s="64" t="e">
        <f>VLOOKUP($B314,選擇權未平倉餘額!$A$4:$I$500,9,FALSE)</f>
        <v>#N/A</v>
      </c>
      <c r="V314" s="39" t="e">
        <f>VLOOKUP($B314,臺指選擇權P_C_Ratios!$A$4:$C$500,3,FALSE)</f>
        <v>#N/A</v>
      </c>
      <c r="W314" s="41" t="e">
        <f>VLOOKUP($B314,散戶多空比!$A$6:$L$500,12,FALSE)</f>
        <v>#N/A</v>
      </c>
      <c r="X314" s="40" t="e">
        <f>VLOOKUP($B314,期貨大額交易人未沖銷部位!$A$4:$O$499,4,FALSE)</f>
        <v>#N/A</v>
      </c>
      <c r="Y314" s="40" t="e">
        <f>VLOOKUP($B314,期貨大額交易人未沖銷部位!$A$4:$O$499,7,FALSE)</f>
        <v>#N/A</v>
      </c>
      <c r="Z314" s="40" t="e">
        <f>VLOOKUP($B314,期貨大額交易人未沖銷部位!$A$4:$O$499,10,FALSE)</f>
        <v>#N/A</v>
      </c>
      <c r="AA314" s="40" t="e">
        <f>VLOOKUP($B314,期貨大額交易人未沖銷部位!$A$4:$O$499,13,FALSE)</f>
        <v>#N/A</v>
      </c>
      <c r="AB314" s="40" t="e">
        <f>VLOOKUP($B314,期貨大額交易人未沖銷部位!$A$4:$O$499,14,FALSE)</f>
        <v>#N/A</v>
      </c>
      <c r="AC314" s="40" t="e">
        <f>VLOOKUP($B314,期貨大額交易人未沖銷部位!$A$4:$O$499,15,FALSE)</f>
        <v>#N/A</v>
      </c>
      <c r="AD314" s="33" t="e">
        <f>VLOOKUP($B314,三大美股走勢!$A$4:$J$495,4,FALSE)</f>
        <v>#N/A</v>
      </c>
      <c r="AE314" s="33" t="e">
        <f>VLOOKUP($B314,三大美股走勢!$A$4:$J$495,7,FALSE)</f>
        <v>#N/A</v>
      </c>
      <c r="AF314" s="33" t="e">
        <f>VLOOKUP($B314,三大美股走勢!$A$4:$J$495,10,FALSE)</f>
        <v>#N/A</v>
      </c>
    </row>
    <row r="315" spans="2:32">
      <c r="B315" s="32">
        <v>43094</v>
      </c>
      <c r="C315" s="33" t="e">
        <f>VLOOKUP($B315,大盤與近月台指!$A$4:$I$499,2,FALSE)</f>
        <v>#N/A</v>
      </c>
      <c r="D315" s="34" t="e">
        <f>VLOOKUP($B315,大盤與近月台指!$A$4:$I$499,3,FALSE)</f>
        <v>#N/A</v>
      </c>
      <c r="E315" s="35" t="e">
        <f>VLOOKUP($B315,大盤與近月台指!$A$4:$I$499,4,FALSE)</f>
        <v>#N/A</v>
      </c>
      <c r="F315" s="33" t="e">
        <f>VLOOKUP($B315,大盤與近月台指!$A$4:$I$499,5,FALSE)</f>
        <v>#N/A</v>
      </c>
      <c r="G315" s="49" t="e">
        <f>VLOOKUP($B315,三大法人買賣超!$A$4:$I$500,3,FALSE)</f>
        <v>#N/A</v>
      </c>
      <c r="H315" s="34" t="e">
        <f>VLOOKUP($B315,三大法人買賣超!$A$4:$I$500,5,FALSE)</f>
        <v>#N/A</v>
      </c>
      <c r="I315" s="27" t="e">
        <f>VLOOKUP($B315,三大法人買賣超!$A$4:$I$500,7,FALSE)</f>
        <v>#N/A</v>
      </c>
      <c r="J315" s="27" t="e">
        <f>VLOOKUP($B315,三大法人買賣超!$A$4:$I$500,9,FALSE)</f>
        <v>#N/A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0</v>
      </c>
      <c r="N315" s="27" t="e">
        <f>VLOOKUP($B315,期貨未平倉口數!$A$4:$M$499,4,FALSE)</f>
        <v>#N/A</v>
      </c>
      <c r="O315" s="27" t="e">
        <f>VLOOKUP($B315,期貨未平倉口數!$A$4:$M$499,9,FALSE)</f>
        <v>#N/A</v>
      </c>
      <c r="P315" s="27" t="e">
        <f>VLOOKUP($B315,期貨未平倉口數!$A$4:$M$499,10,FALSE)</f>
        <v>#N/A</v>
      </c>
      <c r="Q315" s="27" t="e">
        <f>VLOOKUP($B315,期貨未平倉口數!$A$4:$M$499,11,FALSE)</f>
        <v>#N/A</v>
      </c>
      <c r="R315" s="64" t="e">
        <f>VLOOKUP($B315,選擇權未平倉餘額!$A$4:$I$500,6,FALSE)</f>
        <v>#N/A</v>
      </c>
      <c r="S315" s="64" t="e">
        <f>VLOOKUP($B315,選擇權未平倉餘額!$A$4:$I$500,7,FALSE)</f>
        <v>#N/A</v>
      </c>
      <c r="T315" s="64" t="e">
        <f>VLOOKUP($B315,選擇權未平倉餘額!$A$4:$I$500,8,FALSE)</f>
        <v>#N/A</v>
      </c>
      <c r="U315" s="64" t="e">
        <f>VLOOKUP($B315,選擇權未平倉餘額!$A$4:$I$500,9,FALSE)</f>
        <v>#N/A</v>
      </c>
      <c r="V315" s="39" t="e">
        <f>VLOOKUP($B315,臺指選擇權P_C_Ratios!$A$4:$C$500,3,FALSE)</f>
        <v>#N/A</v>
      </c>
      <c r="W315" s="41" t="e">
        <f>VLOOKUP($B315,散戶多空比!$A$6:$L$500,12,FALSE)</f>
        <v>#N/A</v>
      </c>
      <c r="X315" s="40" t="e">
        <f>VLOOKUP($B315,期貨大額交易人未沖銷部位!$A$4:$O$499,4,FALSE)</f>
        <v>#N/A</v>
      </c>
      <c r="Y315" s="40" t="e">
        <f>VLOOKUP($B315,期貨大額交易人未沖銷部位!$A$4:$O$499,7,FALSE)</f>
        <v>#N/A</v>
      </c>
      <c r="Z315" s="40" t="e">
        <f>VLOOKUP($B315,期貨大額交易人未沖銷部位!$A$4:$O$499,10,FALSE)</f>
        <v>#N/A</v>
      </c>
      <c r="AA315" s="40" t="e">
        <f>VLOOKUP($B315,期貨大額交易人未沖銷部位!$A$4:$O$499,13,FALSE)</f>
        <v>#N/A</v>
      </c>
      <c r="AB315" s="40" t="e">
        <f>VLOOKUP($B315,期貨大額交易人未沖銷部位!$A$4:$O$499,14,FALSE)</f>
        <v>#N/A</v>
      </c>
      <c r="AC315" s="40" t="e">
        <f>VLOOKUP($B315,期貨大額交易人未沖銷部位!$A$4:$O$499,15,FALSE)</f>
        <v>#N/A</v>
      </c>
      <c r="AD315" s="33" t="e">
        <f>VLOOKUP($B315,三大美股走勢!$A$4:$J$495,4,FALSE)</f>
        <v>#N/A</v>
      </c>
      <c r="AE315" s="33" t="e">
        <f>VLOOKUP($B315,三大美股走勢!$A$4:$J$495,7,FALSE)</f>
        <v>#N/A</v>
      </c>
      <c r="AF315" s="33" t="e">
        <f>VLOOKUP($B315,三大美股走勢!$A$4:$J$495,10,FALSE)</f>
        <v>#N/A</v>
      </c>
    </row>
    <row r="316" spans="2:32">
      <c r="B316" s="32">
        <v>43095</v>
      </c>
      <c r="C316" s="33" t="e">
        <f>VLOOKUP($B316,大盤與近月台指!$A$4:$I$499,2,FALSE)</f>
        <v>#N/A</v>
      </c>
      <c r="D316" s="34" t="e">
        <f>VLOOKUP($B316,大盤與近月台指!$A$4:$I$499,3,FALSE)</f>
        <v>#N/A</v>
      </c>
      <c r="E316" s="35" t="e">
        <f>VLOOKUP($B316,大盤與近月台指!$A$4:$I$499,4,FALSE)</f>
        <v>#N/A</v>
      </c>
      <c r="F316" s="33" t="e">
        <f>VLOOKUP($B316,大盤與近月台指!$A$4:$I$499,5,FALSE)</f>
        <v>#N/A</v>
      </c>
      <c r="G316" s="49" t="e">
        <f>VLOOKUP($B316,三大法人買賣超!$A$4:$I$500,3,FALSE)</f>
        <v>#N/A</v>
      </c>
      <c r="H316" s="34" t="e">
        <f>VLOOKUP($B316,三大法人買賣超!$A$4:$I$500,5,FALSE)</f>
        <v>#N/A</v>
      </c>
      <c r="I316" s="27" t="e">
        <f>VLOOKUP($B316,三大法人買賣超!$A$4:$I$500,7,FALSE)</f>
        <v>#N/A</v>
      </c>
      <c r="J316" s="27" t="e">
        <f>VLOOKUP($B316,三大法人買賣超!$A$4:$I$500,9,FALSE)</f>
        <v>#N/A</v>
      </c>
      <c r="K316" s="37">
        <f>新台幣匯率美元指數!B317</f>
        <v>0</v>
      </c>
      <c r="L316" s="38">
        <f>新台幣匯率美元指數!C317</f>
        <v>0</v>
      </c>
      <c r="M316" s="39">
        <f>新台幣匯率美元指數!D317</f>
        <v>0</v>
      </c>
      <c r="N316" s="27" t="e">
        <f>VLOOKUP($B316,期貨未平倉口數!$A$4:$M$499,4,FALSE)</f>
        <v>#N/A</v>
      </c>
      <c r="O316" s="27" t="e">
        <f>VLOOKUP($B316,期貨未平倉口數!$A$4:$M$499,9,FALSE)</f>
        <v>#N/A</v>
      </c>
      <c r="P316" s="27" t="e">
        <f>VLOOKUP($B316,期貨未平倉口數!$A$4:$M$499,10,FALSE)</f>
        <v>#N/A</v>
      </c>
      <c r="Q316" s="27" t="e">
        <f>VLOOKUP($B316,期貨未平倉口數!$A$4:$M$499,11,FALSE)</f>
        <v>#N/A</v>
      </c>
      <c r="R316" s="64" t="e">
        <f>VLOOKUP($B316,選擇權未平倉餘額!$A$4:$I$500,6,FALSE)</f>
        <v>#N/A</v>
      </c>
      <c r="S316" s="64" t="e">
        <f>VLOOKUP($B316,選擇權未平倉餘額!$A$4:$I$500,7,FALSE)</f>
        <v>#N/A</v>
      </c>
      <c r="T316" s="64" t="e">
        <f>VLOOKUP($B316,選擇權未平倉餘額!$A$4:$I$500,8,FALSE)</f>
        <v>#N/A</v>
      </c>
      <c r="U316" s="64" t="e">
        <f>VLOOKUP($B316,選擇權未平倉餘額!$A$4:$I$500,9,FALSE)</f>
        <v>#N/A</v>
      </c>
      <c r="V316" s="39" t="e">
        <f>VLOOKUP($B316,臺指選擇權P_C_Ratios!$A$4:$C$500,3,FALSE)</f>
        <v>#N/A</v>
      </c>
      <c r="W316" s="41" t="e">
        <f>VLOOKUP($B316,散戶多空比!$A$6:$L$500,12,FALSE)</f>
        <v>#N/A</v>
      </c>
      <c r="X316" s="40" t="e">
        <f>VLOOKUP($B316,期貨大額交易人未沖銷部位!$A$4:$O$499,4,FALSE)</f>
        <v>#N/A</v>
      </c>
      <c r="Y316" s="40" t="e">
        <f>VLOOKUP($B316,期貨大額交易人未沖銷部位!$A$4:$O$499,7,FALSE)</f>
        <v>#N/A</v>
      </c>
      <c r="Z316" s="40" t="e">
        <f>VLOOKUP($B316,期貨大額交易人未沖銷部位!$A$4:$O$499,10,FALSE)</f>
        <v>#N/A</v>
      </c>
      <c r="AA316" s="40" t="e">
        <f>VLOOKUP($B316,期貨大額交易人未沖銷部位!$A$4:$O$499,13,FALSE)</f>
        <v>#N/A</v>
      </c>
      <c r="AB316" s="40" t="e">
        <f>VLOOKUP($B316,期貨大額交易人未沖銷部位!$A$4:$O$499,14,FALSE)</f>
        <v>#N/A</v>
      </c>
      <c r="AC316" s="40" t="e">
        <f>VLOOKUP($B316,期貨大額交易人未沖銷部位!$A$4:$O$499,15,FALSE)</f>
        <v>#N/A</v>
      </c>
      <c r="AD316" s="33" t="e">
        <f>VLOOKUP($B316,三大美股走勢!$A$4:$J$495,4,FALSE)</f>
        <v>#N/A</v>
      </c>
      <c r="AE316" s="33" t="e">
        <f>VLOOKUP($B316,三大美股走勢!$A$4:$J$495,7,FALSE)</f>
        <v>#N/A</v>
      </c>
      <c r="AF316" s="33" t="e">
        <f>VLOOKUP($B316,三大美股走勢!$A$4:$J$495,10,FALSE)</f>
        <v>#N/A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11"/>
  <sheetViews>
    <sheetView workbookViewId="0">
      <pane ySplit="3" topLeftCell="A308" activePane="bottomLeft" state="frozen"/>
      <selection pane="bottomLeft" activeCell="H311" sqref="H311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2" t="s">
        <v>99</v>
      </c>
      <c r="C1" s="123"/>
      <c r="D1" s="123"/>
      <c r="E1" s="123"/>
      <c r="F1" s="123"/>
      <c r="G1" s="123"/>
      <c r="H1" s="123"/>
      <c r="I1" s="124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2"/>
  <sheetViews>
    <sheetView zoomScale="85" zoomScaleNormal="85" workbookViewId="0">
      <pane ySplit="3" topLeftCell="A308" activePane="bottomLeft" state="frozen"/>
      <selection pane="bottomLeft" activeCell="K317" sqref="K31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29" t="s">
        <v>51</v>
      </c>
      <c r="C1" s="104"/>
      <c r="D1" s="104"/>
      <c r="E1" s="137" t="s">
        <v>49</v>
      </c>
      <c r="F1" s="137" t="s">
        <v>50</v>
      </c>
      <c r="G1" s="133" t="s">
        <v>52</v>
      </c>
      <c r="H1" s="134"/>
      <c r="I1" s="134"/>
      <c r="J1" s="135"/>
      <c r="K1" s="136"/>
      <c r="L1" s="137" t="s">
        <v>53</v>
      </c>
      <c r="M1" s="137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8"/>
      <c r="F2" s="138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8"/>
      <c r="M2" s="138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0" t="s">
        <v>57</v>
      </c>
      <c r="C3" s="131"/>
      <c r="D3" s="131"/>
      <c r="E3" s="131"/>
      <c r="F3" s="131"/>
      <c r="G3" s="131"/>
      <c r="H3" s="131"/>
      <c r="I3" s="131"/>
      <c r="J3" s="132"/>
      <c r="K3" s="132"/>
      <c r="L3" s="132"/>
      <c r="M3" s="132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11"/>
  <sheetViews>
    <sheetView workbookViewId="0">
      <pane ySplit="3" topLeftCell="A307" activePane="bottomLeft" state="frozen"/>
      <selection pane="bottomLeft" activeCell="I318" sqref="I318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1" t="s">
        <v>40</v>
      </c>
      <c r="B2" s="139" t="s">
        <v>44</v>
      </c>
      <c r="C2" s="140"/>
      <c r="D2" s="140"/>
      <c r="E2" s="140"/>
      <c r="F2" s="140"/>
      <c r="G2" s="140"/>
      <c r="H2" s="140"/>
      <c r="I2" s="140"/>
    </row>
    <row r="3" spans="1:9">
      <c r="A3" s="131"/>
      <c r="B3" s="130" t="s">
        <v>41</v>
      </c>
      <c r="C3" s="131"/>
      <c r="D3" s="131"/>
      <c r="E3" s="131"/>
      <c r="F3" s="131"/>
      <c r="G3" s="131"/>
      <c r="H3" s="131"/>
      <c r="I3" s="131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11"/>
  <sheetViews>
    <sheetView workbookViewId="0">
      <pane ySplit="3" topLeftCell="A307" activePane="bottomLeft" state="frozen"/>
      <selection pane="bottomLeft" activeCell="D320" sqref="D320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1" t="s">
        <v>40</v>
      </c>
      <c r="B2" s="141"/>
      <c r="C2" s="131"/>
      <c r="D2" s="131"/>
    </row>
    <row r="3" spans="1:4" ht="16.2">
      <c r="A3" s="131"/>
      <c r="B3" s="141" t="s">
        <v>151</v>
      </c>
      <c r="C3" s="131"/>
      <c r="D3" s="131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11"/>
  <sheetViews>
    <sheetView zoomScale="85" zoomScaleNormal="85" workbookViewId="0">
      <pane ySplit="3" topLeftCell="A308" activePane="bottomLeft" state="frozen"/>
      <selection pane="bottomLeft" activeCell="E311" sqref="E311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2" t="s">
        <v>66</v>
      </c>
      <c r="C1" s="112"/>
      <c r="D1" s="112"/>
      <c r="E1" s="112"/>
      <c r="F1" s="142" t="s">
        <v>91</v>
      </c>
      <c r="G1" s="143"/>
      <c r="H1" s="143"/>
      <c r="I1" s="143"/>
    </row>
    <row r="2" spans="1:9" s="1" customFormat="1" ht="31.2">
      <c r="A2" s="15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43"/>
      <c r="G2" s="143"/>
      <c r="H2" s="143"/>
      <c r="I2" s="143"/>
    </row>
    <row r="3" spans="1:9">
      <c r="A3" s="15" t="s">
        <v>40</v>
      </c>
      <c r="B3" s="130" t="s">
        <v>71</v>
      </c>
      <c r="C3" s="131"/>
      <c r="D3" s="131"/>
      <c r="E3" s="13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13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22" sqref="J32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7" t="s">
        <v>59</v>
      </c>
      <c r="C1" s="144" t="s">
        <v>60</v>
      </c>
      <c r="D1" s="108"/>
      <c r="E1" s="108"/>
      <c r="F1" s="77"/>
      <c r="G1" s="80"/>
      <c r="H1" s="145" t="s">
        <v>63</v>
      </c>
      <c r="I1" s="146"/>
      <c r="J1" s="146"/>
      <c r="K1" s="17"/>
      <c r="L1" s="149" t="s">
        <v>65</v>
      </c>
    </row>
    <row r="2" spans="1:12" s="1" customFormat="1">
      <c r="A2" s="15"/>
      <c r="B2" s="148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0"/>
    </row>
    <row r="3" spans="1:12">
      <c r="A3" s="15" t="s">
        <v>40</v>
      </c>
      <c r="B3" s="151" t="s">
        <v>101</v>
      </c>
      <c r="C3" s="152"/>
      <c r="D3" s="152"/>
      <c r="E3" s="152"/>
      <c r="F3" s="152"/>
      <c r="G3" s="152"/>
      <c r="H3" s="152"/>
      <c r="I3" s="152"/>
      <c r="J3" s="152"/>
      <c r="K3" s="152"/>
      <c r="L3" s="153"/>
    </row>
    <row r="4" spans="1:12">
      <c r="A4" s="15" t="s">
        <v>40</v>
      </c>
      <c r="B4" s="151" t="s">
        <v>57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11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B311" sqref="B311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4" t="s">
        <v>72</v>
      </c>
      <c r="C1" s="155"/>
    </row>
    <row r="2" spans="1:3" s="1" customFormat="1">
      <c r="A2" s="15" t="s">
        <v>1</v>
      </c>
      <c r="B2" s="154" t="s">
        <v>73</v>
      </c>
      <c r="C2" s="155"/>
    </row>
    <row r="3" spans="1:3">
      <c r="A3" s="15" t="s">
        <v>40</v>
      </c>
      <c r="B3" s="130" t="s">
        <v>74</v>
      </c>
      <c r="C3" s="131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2017-12-20T12:35:05Z</dcterms:modified>
</cp:coreProperties>
</file>