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0" i="18" l="1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<sst xmlns="http://schemas.openxmlformats.org/spreadsheetml/2006/main" count="290" uniqueCount="208">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</sst>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3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311230465"/>
  <ax:ocxPr ax:name="CurrentDate" ax:value="43088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4" sqref="D14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7" t="s">
        <v>2</v>
      </c>
      <c r="D5" s="107"/>
      <c r="E5" s="107"/>
      <c r="F5" s="107"/>
      <c r="G5" s="108" t="s">
        <v>34</v>
      </c>
      <c r="H5" s="109"/>
      <c r="I5" s="109"/>
      <c r="J5" s="109"/>
      <c r="K5" s="110" t="s">
        <v>9</v>
      </c>
      <c r="L5" s="111"/>
      <c r="M5" s="111"/>
    </row>
    <row r="6" spans="2:13" ht="31.2">
      <c r="B6" s="106">
        <v>43088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3"/>
      <c r="C7" s="33">
        <f>VLOOKUP($B$6,資料整合一覽!$B$3:$AF$500,2,FALSE)</f>
        <v>10467.34</v>
      </c>
      <c r="D7" s="34">
        <f>VLOOKUP($B$6,資料整合一覽!$B$3:$AF$500,3,FALSE)</f>
        <v>-39.18</v>
      </c>
      <c r="E7" s="35">
        <f>VLOOKUP($B$6,資料整合一覽!$B$3:$AF$500,4,FALSE)</f>
        <v>-3.7000000000000002E-3</v>
      </c>
      <c r="F7" s="33" t="str">
        <f>VLOOKUP($B$6,資料整合一覽!$B$3:$AF$500,5,FALSE)</f>
        <v>1117.46億</v>
      </c>
      <c r="G7" s="36">
        <f>VLOOKUP($B$6,資料整合一覽!$B$3:$AF$500,6,FALSE)</f>
        <v>2.4349859</v>
      </c>
      <c r="H7" s="34">
        <f>VLOOKUP($B$6,資料整合一覽!$B$3:$AF$500,7,FALSE)</f>
        <v>5.8702907</v>
      </c>
      <c r="I7" s="34">
        <f>VLOOKUP($B$6,資料整合一覽!$B$3:$AF$500,8,FALSE)</f>
        <v>7.7183322700000003</v>
      </c>
      <c r="J7" s="34">
        <f>VLOOKUP($B$6,資料整合一覽!$B$3:$AF$500,9,FALSE)</f>
        <v>-53.231579619999998</v>
      </c>
      <c r="K7" s="37">
        <f>VLOOKUP($B$6,資料整合一覽!$B$3:$AF$500,10,FALSE)</f>
        <v>29.99</v>
      </c>
      <c r="L7" s="38">
        <f>VLOOKUP($B$6,資料整合一覽!$B$3:$AF$500,11,FALSE)</f>
        <v>-1.6E-2</v>
      </c>
      <c r="M7" s="39">
        <f>VLOOKUP($B$6,資料整合一覽!$B$3:$AF$500,12,FALSE)</f>
        <v>0</v>
      </c>
    </row>
    <row r="8" spans="2:13" ht="3" customHeight="1">
      <c r="B8" s="103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3"/>
      <c r="C9" s="104" t="s">
        <v>35</v>
      </c>
      <c r="D9" s="105"/>
      <c r="E9" s="112" t="s">
        <v>42</v>
      </c>
      <c r="F9" s="113"/>
      <c r="G9" s="113"/>
      <c r="H9" s="113"/>
      <c r="I9" s="5" t="s">
        <v>20</v>
      </c>
      <c r="J9" s="102" t="s">
        <v>22</v>
      </c>
      <c r="K9" s="100" t="s">
        <v>33</v>
      </c>
      <c r="L9" s="101"/>
      <c r="M9" s="101"/>
    </row>
    <row r="10" spans="2:13" ht="31.2">
      <c r="B10" s="103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3"/>
      <c r="K10" s="7" t="s">
        <v>104</v>
      </c>
      <c r="L10" s="7" t="s">
        <v>31</v>
      </c>
      <c r="M10" s="7" t="s">
        <v>32</v>
      </c>
    </row>
    <row r="11" spans="2:13" ht="32.4" customHeight="1">
      <c r="B11" s="103"/>
      <c r="C11" s="27">
        <f>VLOOKUP($B$6,資料整合一覽!$B$3:$AF$500,13,FALSE)</f>
        <v>-6300.75</v>
      </c>
      <c r="D11" s="27">
        <f>VLOOKUP($B$6,資料整合一覽!$B$3:$AF$500,14,FALSE)</f>
        <v>42870.75</v>
      </c>
      <c r="E11" s="64">
        <f>VLOOKUP($B$6,資料整合一覽!$B$3:$AF$500,17,FALSE)</f>
        <v>-3.5188999999999999</v>
      </c>
      <c r="F11" s="64">
        <f>VLOOKUP($B$6,資料整合一覽!$B$3:$AF$500,18,FALSE)</f>
        <v>-32.2532</v>
      </c>
      <c r="G11" s="64">
        <f>VLOOKUP($B$6,資料整合一覽!$B$3:$AF$500,19,FALSE)</f>
        <v>17.359100000000002</v>
      </c>
      <c r="H11" s="64">
        <f>VLOOKUP($B$6,資料整合一覽!$B$3:$AF$500,20,FALSE)</f>
        <v>76.319900000000004</v>
      </c>
      <c r="I11" s="39">
        <f>VLOOKUP($B$6,資料整合一覽!$B$3:$AF$500,21,FALSE)</f>
        <v>1.3034000000000001</v>
      </c>
      <c r="J11" s="41">
        <f>VLOOKUP($B$6,資料整合一覽!$B$3:$AF$500,22,FALSE)</f>
        <v>0.22357993444255425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10"/>
  <sheetViews>
    <sheetView zoomScale="80" zoomScaleNormal="80" workbookViewId="0">
      <pane ySplit="3" topLeftCell="A296" activePane="bottomLeft" state="frozen"/>
      <selection pane="bottomLeft" activeCell="K315" sqref="K31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6" t="s">
        <v>75</v>
      </c>
      <c r="C1" s="107"/>
      <c r="D1" s="107"/>
      <c r="E1" s="157" t="s">
        <v>79</v>
      </c>
      <c r="F1" s="158"/>
      <c r="G1" s="158"/>
      <c r="H1" s="156" t="s">
        <v>80</v>
      </c>
      <c r="I1" s="107"/>
      <c r="J1" s="107"/>
      <c r="K1" s="157" t="s">
        <v>81</v>
      </c>
      <c r="L1" s="158"/>
      <c r="M1" s="158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59" t="s">
        <v>174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5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09"/>
  <sheetViews>
    <sheetView zoomScaleNormal="100" workbookViewId="0">
      <pane ySplit="3" topLeftCell="A302" activePane="bottomLeft" state="frozen"/>
      <selection pane="bottomLeft" activeCell="I313" sqref="I313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1" t="s">
        <v>86</v>
      </c>
      <c r="C1" s="162"/>
      <c r="D1" s="163"/>
      <c r="E1" s="161" t="s">
        <v>87</v>
      </c>
      <c r="F1" s="162"/>
      <c r="G1" s="163"/>
      <c r="H1" s="161" t="s">
        <v>88</v>
      </c>
      <c r="I1" s="162"/>
      <c r="J1" s="163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4" t="s">
        <v>146</v>
      </c>
      <c r="C3" s="165"/>
      <c r="D3" s="165"/>
      <c r="E3" s="165"/>
      <c r="F3" s="165"/>
      <c r="G3" s="165"/>
      <c r="H3" s="165"/>
      <c r="I3" s="165"/>
      <c r="J3" s="165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4" t="s">
        <v>0</v>
      </c>
      <c r="B1" s="15"/>
      <c r="C1" s="107" t="s">
        <v>2</v>
      </c>
      <c r="D1" s="107"/>
      <c r="E1" s="107"/>
      <c r="F1" s="107"/>
      <c r="G1" s="108" t="s">
        <v>34</v>
      </c>
      <c r="H1" s="109"/>
      <c r="I1" s="109"/>
      <c r="J1" s="109"/>
      <c r="K1" s="110" t="s">
        <v>9</v>
      </c>
      <c r="L1" s="111"/>
      <c r="M1" s="111"/>
      <c r="N1" s="104" t="s">
        <v>35</v>
      </c>
      <c r="O1" s="115"/>
      <c r="P1" s="115"/>
      <c r="Q1" s="115"/>
      <c r="R1" s="112" t="s">
        <v>42</v>
      </c>
      <c r="S1" s="113"/>
      <c r="T1" s="113"/>
      <c r="U1" s="113"/>
      <c r="V1" s="5" t="s">
        <v>20</v>
      </c>
      <c r="W1" s="102" t="s">
        <v>22</v>
      </c>
      <c r="X1" s="117" t="s">
        <v>29</v>
      </c>
      <c r="Y1" s="118"/>
      <c r="Z1" s="118"/>
      <c r="AA1" s="118"/>
      <c r="AB1" s="118"/>
      <c r="AC1" s="118"/>
      <c r="AD1" s="100" t="s">
        <v>33</v>
      </c>
      <c r="AE1" s="101"/>
      <c r="AF1" s="101"/>
    </row>
    <row r="2" spans="1:32" ht="31.2">
      <c r="A2" s="114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6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0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 t="e">
        <f>VLOOKUP($B309,三大美股走勢!$A$4:$J$495,4,FALSE)</f>
        <v>#N/A</v>
      </c>
      <c r="AE309" s="33" t="e">
        <f>VLOOKUP($B309,三大美股走勢!$A$4:$J$495,7,FALSE)</f>
        <v>#N/A</v>
      </c>
      <c r="AF309" s="33" t="e">
        <f>VLOOKUP($B309,三大美股走勢!$A$4:$J$495,10,FALSE)</f>
        <v>#N/A</v>
      </c>
    </row>
    <row r="310" spans="2:32">
      <c r="B310" s="32">
        <v>43089</v>
      </c>
      <c r="C310" s="33" t="e">
        <f>VLOOKUP($B310,大盤與近月台指!$A$4:$I$499,2,FALSE)</f>
        <v>#N/A</v>
      </c>
      <c r="D310" s="34" t="e">
        <f>VLOOKUP($B310,大盤與近月台指!$A$4:$I$499,3,FALSE)</f>
        <v>#N/A</v>
      </c>
      <c r="E310" s="35" t="e">
        <f>VLOOKUP($B310,大盤與近月台指!$A$4:$I$499,4,FALSE)</f>
        <v>#N/A</v>
      </c>
      <c r="F310" s="33" t="e">
        <f>VLOOKUP($B310,大盤與近月台指!$A$4:$I$499,5,FALSE)</f>
        <v>#N/A</v>
      </c>
      <c r="G310" s="49" t="e">
        <f>VLOOKUP($B310,三大法人買賣超!$A$4:$I$500,3,FALSE)</f>
        <v>#N/A</v>
      </c>
      <c r="H310" s="34" t="e">
        <f>VLOOKUP($B310,三大法人買賣超!$A$4:$I$500,5,FALSE)</f>
        <v>#N/A</v>
      </c>
      <c r="I310" s="27" t="e">
        <f>VLOOKUP($B310,三大法人買賣超!$A$4:$I$500,7,FALSE)</f>
        <v>#N/A</v>
      </c>
      <c r="J310" s="27" t="e">
        <f>VLOOKUP($B310,三大法人買賣超!$A$4:$I$500,9,FALSE)</f>
        <v>#N/A</v>
      </c>
      <c r="K310" s="37">
        <f>新台幣匯率美元指數!B311</f>
        <v>0</v>
      </c>
      <c r="L310" s="38">
        <f>新台幣匯率美元指數!C311</f>
        <v>0</v>
      </c>
      <c r="M310" s="39">
        <f>新台幣匯率美元指數!D311</f>
        <v>0</v>
      </c>
      <c r="N310" s="27" t="e">
        <f>VLOOKUP($B310,期貨未平倉口數!$A$4:$M$499,4,FALSE)</f>
        <v>#N/A</v>
      </c>
      <c r="O310" s="27" t="e">
        <f>VLOOKUP($B310,期貨未平倉口數!$A$4:$M$499,9,FALSE)</f>
        <v>#N/A</v>
      </c>
      <c r="P310" s="27" t="e">
        <f>VLOOKUP($B310,期貨未平倉口數!$A$4:$M$499,10,FALSE)</f>
        <v>#N/A</v>
      </c>
      <c r="Q310" s="27" t="e">
        <f>VLOOKUP($B310,期貨未平倉口數!$A$4:$M$499,11,FALSE)</f>
        <v>#N/A</v>
      </c>
      <c r="R310" s="64" t="e">
        <f>VLOOKUP($B310,選擇權未平倉餘額!$A$4:$I$500,6,FALSE)</f>
        <v>#N/A</v>
      </c>
      <c r="S310" s="64" t="e">
        <f>VLOOKUP($B310,選擇權未平倉餘額!$A$4:$I$500,7,FALSE)</f>
        <v>#N/A</v>
      </c>
      <c r="T310" s="64" t="e">
        <f>VLOOKUP($B310,選擇權未平倉餘額!$A$4:$I$500,8,FALSE)</f>
        <v>#N/A</v>
      </c>
      <c r="U310" s="64" t="e">
        <f>VLOOKUP($B310,選擇權未平倉餘額!$A$4:$I$500,9,FALSE)</f>
        <v>#N/A</v>
      </c>
      <c r="V310" s="39" t="e">
        <f>VLOOKUP($B310,臺指選擇權P_C_Ratios!$A$4:$C$500,3,FALSE)</f>
        <v>#N/A</v>
      </c>
      <c r="W310" s="41" t="e">
        <f>VLOOKUP($B310,散戶多空比!$A$6:$L$500,12,FALSE)</f>
        <v>#N/A</v>
      </c>
      <c r="X310" s="40" t="e">
        <f>VLOOKUP($B310,期貨大額交易人未沖銷部位!$A$4:$O$499,4,FALSE)</f>
        <v>#N/A</v>
      </c>
      <c r="Y310" s="40" t="e">
        <f>VLOOKUP($B310,期貨大額交易人未沖銷部位!$A$4:$O$499,7,FALSE)</f>
        <v>#N/A</v>
      </c>
      <c r="Z310" s="40" t="e">
        <f>VLOOKUP($B310,期貨大額交易人未沖銷部位!$A$4:$O$499,10,FALSE)</f>
        <v>#N/A</v>
      </c>
      <c r="AA310" s="40" t="e">
        <f>VLOOKUP($B310,期貨大額交易人未沖銷部位!$A$4:$O$499,13,FALSE)</f>
        <v>#N/A</v>
      </c>
      <c r="AB310" s="40" t="e">
        <f>VLOOKUP($B310,期貨大額交易人未沖銷部位!$A$4:$O$499,14,FALSE)</f>
        <v>#N/A</v>
      </c>
      <c r="AC310" s="40" t="e">
        <f>VLOOKUP($B310,期貨大額交易人未沖銷部位!$A$4:$O$499,15,FALSE)</f>
        <v>#N/A</v>
      </c>
      <c r="AD310" s="33" t="e">
        <f>VLOOKUP($B310,三大美股走勢!$A$4:$J$495,4,FALSE)</f>
        <v>#N/A</v>
      </c>
      <c r="AE310" s="33" t="e">
        <f>VLOOKUP($B310,三大美股走勢!$A$4:$J$495,7,FALSE)</f>
        <v>#N/A</v>
      </c>
      <c r="AF310" s="33" t="e">
        <f>VLOOKUP($B310,三大美股走勢!$A$4:$J$495,10,FALSE)</f>
        <v>#N/A</v>
      </c>
    </row>
    <row r="311" spans="2:32">
      <c r="B311" s="32">
        <v>43090</v>
      </c>
      <c r="C311" s="33" t="e">
        <f>VLOOKUP($B311,大盤與近月台指!$A$4:$I$499,2,FALSE)</f>
        <v>#N/A</v>
      </c>
      <c r="D311" s="34" t="e">
        <f>VLOOKUP($B311,大盤與近月台指!$A$4:$I$499,3,FALSE)</f>
        <v>#N/A</v>
      </c>
      <c r="E311" s="35" t="e">
        <f>VLOOKUP($B311,大盤與近月台指!$A$4:$I$499,4,FALSE)</f>
        <v>#N/A</v>
      </c>
      <c r="F311" s="33" t="e">
        <f>VLOOKUP($B311,大盤與近月台指!$A$4:$I$499,5,FALSE)</f>
        <v>#N/A</v>
      </c>
      <c r="G311" s="49" t="e">
        <f>VLOOKUP($B311,三大法人買賣超!$A$4:$I$500,3,FALSE)</f>
        <v>#N/A</v>
      </c>
      <c r="H311" s="34" t="e">
        <f>VLOOKUP($B311,三大法人買賣超!$A$4:$I$500,5,FALSE)</f>
        <v>#N/A</v>
      </c>
      <c r="I311" s="27" t="e">
        <f>VLOOKUP($B311,三大法人買賣超!$A$4:$I$500,7,FALSE)</f>
        <v>#N/A</v>
      </c>
      <c r="J311" s="27" t="e">
        <f>VLOOKUP($B311,三大法人買賣超!$A$4:$I$500,9,FALSE)</f>
        <v>#N/A</v>
      </c>
      <c r="K311" s="37">
        <f>新台幣匯率美元指數!B312</f>
        <v>0</v>
      </c>
      <c r="L311" s="38">
        <f>新台幣匯率美元指數!C312</f>
        <v>0</v>
      </c>
      <c r="M311" s="39">
        <f>新台幣匯率美元指數!D312</f>
        <v>0</v>
      </c>
      <c r="N311" s="27" t="e">
        <f>VLOOKUP($B311,期貨未平倉口數!$A$4:$M$499,4,FALSE)</f>
        <v>#N/A</v>
      </c>
      <c r="O311" s="27" t="e">
        <f>VLOOKUP($B311,期貨未平倉口數!$A$4:$M$499,9,FALSE)</f>
        <v>#N/A</v>
      </c>
      <c r="P311" s="27" t="e">
        <f>VLOOKUP($B311,期貨未平倉口數!$A$4:$M$499,10,FALSE)</f>
        <v>#N/A</v>
      </c>
      <c r="Q311" s="27" t="e">
        <f>VLOOKUP($B311,期貨未平倉口數!$A$4:$M$499,11,FALSE)</f>
        <v>#N/A</v>
      </c>
      <c r="R311" s="64" t="e">
        <f>VLOOKUP($B311,選擇權未平倉餘額!$A$4:$I$500,6,FALSE)</f>
        <v>#N/A</v>
      </c>
      <c r="S311" s="64" t="e">
        <f>VLOOKUP($B311,選擇權未平倉餘額!$A$4:$I$500,7,FALSE)</f>
        <v>#N/A</v>
      </c>
      <c r="T311" s="64" t="e">
        <f>VLOOKUP($B311,選擇權未平倉餘額!$A$4:$I$500,8,FALSE)</f>
        <v>#N/A</v>
      </c>
      <c r="U311" s="64" t="e">
        <f>VLOOKUP($B311,選擇權未平倉餘額!$A$4:$I$500,9,FALSE)</f>
        <v>#N/A</v>
      </c>
      <c r="V311" s="39" t="e">
        <f>VLOOKUP($B311,臺指選擇權P_C_Ratios!$A$4:$C$500,3,FALSE)</f>
        <v>#N/A</v>
      </c>
      <c r="W311" s="41" t="e">
        <f>VLOOKUP($B311,散戶多空比!$A$6:$L$500,12,FALSE)</f>
        <v>#N/A</v>
      </c>
      <c r="X311" s="40" t="e">
        <f>VLOOKUP($B311,期貨大額交易人未沖銷部位!$A$4:$O$499,4,FALSE)</f>
        <v>#N/A</v>
      </c>
      <c r="Y311" s="40" t="e">
        <f>VLOOKUP($B311,期貨大額交易人未沖銷部位!$A$4:$O$499,7,FALSE)</f>
        <v>#N/A</v>
      </c>
      <c r="Z311" s="40" t="e">
        <f>VLOOKUP($B311,期貨大額交易人未沖銷部位!$A$4:$O$499,10,FALSE)</f>
        <v>#N/A</v>
      </c>
      <c r="AA311" s="40" t="e">
        <f>VLOOKUP($B311,期貨大額交易人未沖銷部位!$A$4:$O$499,13,FALSE)</f>
        <v>#N/A</v>
      </c>
      <c r="AB311" s="40" t="e">
        <f>VLOOKUP($B311,期貨大額交易人未沖銷部位!$A$4:$O$499,14,FALSE)</f>
        <v>#N/A</v>
      </c>
      <c r="AC311" s="40" t="e">
        <f>VLOOKUP($B311,期貨大額交易人未沖銷部位!$A$4:$O$499,15,FALSE)</f>
        <v>#N/A</v>
      </c>
      <c r="AD311" s="33" t="e">
        <f>VLOOKUP($B311,三大美股走勢!$A$4:$J$495,4,FALSE)</f>
        <v>#N/A</v>
      </c>
      <c r="AE311" s="33" t="e">
        <f>VLOOKUP($B311,三大美股走勢!$A$4:$J$495,7,FALSE)</f>
        <v>#N/A</v>
      </c>
      <c r="AF311" s="33" t="e">
        <f>VLOOKUP($B311,三大美股走勢!$A$4:$J$495,10,FALSE)</f>
        <v>#N/A</v>
      </c>
    </row>
    <row r="312" spans="2:32">
      <c r="B312" s="32">
        <v>43091</v>
      </c>
      <c r="C312" s="33" t="e">
        <f>VLOOKUP($B312,大盤與近月台指!$A$4:$I$499,2,FALSE)</f>
        <v>#N/A</v>
      </c>
      <c r="D312" s="34" t="e">
        <f>VLOOKUP($B312,大盤與近月台指!$A$4:$I$499,3,FALSE)</f>
        <v>#N/A</v>
      </c>
      <c r="E312" s="35" t="e">
        <f>VLOOKUP($B312,大盤與近月台指!$A$4:$I$499,4,FALSE)</f>
        <v>#N/A</v>
      </c>
      <c r="F312" s="33" t="e">
        <f>VLOOKUP($B312,大盤與近月台指!$A$4:$I$499,5,FALSE)</f>
        <v>#N/A</v>
      </c>
      <c r="G312" s="49" t="e">
        <f>VLOOKUP($B312,三大法人買賣超!$A$4:$I$500,3,FALSE)</f>
        <v>#N/A</v>
      </c>
      <c r="H312" s="34" t="e">
        <f>VLOOKUP($B312,三大法人買賣超!$A$4:$I$500,5,FALSE)</f>
        <v>#N/A</v>
      </c>
      <c r="I312" s="27" t="e">
        <f>VLOOKUP($B312,三大法人買賣超!$A$4:$I$500,7,FALSE)</f>
        <v>#N/A</v>
      </c>
      <c r="J312" s="27" t="e">
        <f>VLOOKUP($B312,三大法人買賣超!$A$4:$I$500,9,FALSE)</f>
        <v>#N/A</v>
      </c>
      <c r="K312" s="37">
        <f>新台幣匯率美元指數!B313</f>
        <v>0</v>
      </c>
      <c r="L312" s="38">
        <f>新台幣匯率美元指數!C313</f>
        <v>0</v>
      </c>
      <c r="M312" s="39">
        <f>新台幣匯率美元指數!D313</f>
        <v>0</v>
      </c>
      <c r="N312" s="27" t="e">
        <f>VLOOKUP($B312,期貨未平倉口數!$A$4:$M$499,4,FALSE)</f>
        <v>#N/A</v>
      </c>
      <c r="O312" s="27" t="e">
        <f>VLOOKUP($B312,期貨未平倉口數!$A$4:$M$499,9,FALSE)</f>
        <v>#N/A</v>
      </c>
      <c r="P312" s="27" t="e">
        <f>VLOOKUP($B312,期貨未平倉口數!$A$4:$M$499,10,FALSE)</f>
        <v>#N/A</v>
      </c>
      <c r="Q312" s="27" t="e">
        <f>VLOOKUP($B312,期貨未平倉口數!$A$4:$M$499,11,FALSE)</f>
        <v>#N/A</v>
      </c>
      <c r="R312" s="64" t="e">
        <f>VLOOKUP($B312,選擇權未平倉餘額!$A$4:$I$500,6,FALSE)</f>
        <v>#N/A</v>
      </c>
      <c r="S312" s="64" t="e">
        <f>VLOOKUP($B312,選擇權未平倉餘額!$A$4:$I$500,7,FALSE)</f>
        <v>#N/A</v>
      </c>
      <c r="T312" s="64" t="e">
        <f>VLOOKUP($B312,選擇權未平倉餘額!$A$4:$I$500,8,FALSE)</f>
        <v>#N/A</v>
      </c>
      <c r="U312" s="64" t="e">
        <f>VLOOKUP($B312,選擇權未平倉餘額!$A$4:$I$500,9,FALSE)</f>
        <v>#N/A</v>
      </c>
      <c r="V312" s="39" t="e">
        <f>VLOOKUP($B312,臺指選擇權P_C_Ratios!$A$4:$C$500,3,FALSE)</f>
        <v>#N/A</v>
      </c>
      <c r="W312" s="41" t="e">
        <f>VLOOKUP($B312,散戶多空比!$A$6:$L$500,12,FALSE)</f>
        <v>#N/A</v>
      </c>
      <c r="X312" s="40" t="e">
        <f>VLOOKUP($B312,期貨大額交易人未沖銷部位!$A$4:$O$499,4,FALSE)</f>
        <v>#N/A</v>
      </c>
      <c r="Y312" s="40" t="e">
        <f>VLOOKUP($B312,期貨大額交易人未沖銷部位!$A$4:$O$499,7,FALSE)</f>
        <v>#N/A</v>
      </c>
      <c r="Z312" s="40" t="e">
        <f>VLOOKUP($B312,期貨大額交易人未沖銷部位!$A$4:$O$499,10,FALSE)</f>
        <v>#N/A</v>
      </c>
      <c r="AA312" s="40" t="e">
        <f>VLOOKUP($B312,期貨大額交易人未沖銷部位!$A$4:$O$499,13,FALSE)</f>
        <v>#N/A</v>
      </c>
      <c r="AB312" s="40" t="e">
        <f>VLOOKUP($B312,期貨大額交易人未沖銷部位!$A$4:$O$499,14,FALSE)</f>
        <v>#N/A</v>
      </c>
      <c r="AC312" s="40" t="e">
        <f>VLOOKUP($B312,期貨大額交易人未沖銷部位!$A$4:$O$499,15,FALSE)</f>
        <v>#N/A</v>
      </c>
      <c r="AD312" s="33" t="e">
        <f>VLOOKUP($B312,三大美股走勢!$A$4:$J$495,4,FALSE)</f>
        <v>#N/A</v>
      </c>
      <c r="AE312" s="33" t="e">
        <f>VLOOKUP($B312,三大美股走勢!$A$4:$J$495,7,FALSE)</f>
        <v>#N/A</v>
      </c>
      <c r="AF312" s="33" t="e">
        <f>VLOOKUP($B312,三大美股走勢!$A$4:$J$495,10,FALSE)</f>
        <v>#N/A</v>
      </c>
    </row>
    <row r="313" spans="2:32">
      <c r="B313" s="32">
        <v>43092</v>
      </c>
      <c r="C313" s="33" t="e">
        <f>VLOOKUP($B313,大盤與近月台指!$A$4:$I$499,2,FALSE)</f>
        <v>#N/A</v>
      </c>
      <c r="D313" s="34" t="e">
        <f>VLOOKUP($B313,大盤與近月台指!$A$4:$I$499,3,FALSE)</f>
        <v>#N/A</v>
      </c>
      <c r="E313" s="35" t="e">
        <f>VLOOKUP($B313,大盤與近月台指!$A$4:$I$499,4,FALSE)</f>
        <v>#N/A</v>
      </c>
      <c r="F313" s="33" t="e">
        <f>VLOOKUP($B313,大盤與近月台指!$A$4:$I$499,5,FALSE)</f>
        <v>#N/A</v>
      </c>
      <c r="G313" s="49" t="e">
        <f>VLOOKUP($B313,三大法人買賣超!$A$4:$I$500,3,FALSE)</f>
        <v>#N/A</v>
      </c>
      <c r="H313" s="34" t="e">
        <f>VLOOKUP($B313,三大法人買賣超!$A$4:$I$500,5,FALSE)</f>
        <v>#N/A</v>
      </c>
      <c r="I313" s="27" t="e">
        <f>VLOOKUP($B313,三大法人買賣超!$A$4:$I$500,7,FALSE)</f>
        <v>#N/A</v>
      </c>
      <c r="J313" s="27" t="e">
        <f>VLOOKUP($B313,三大法人買賣超!$A$4:$I$500,9,FALSE)</f>
        <v>#N/A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 t="e">
        <f>VLOOKUP($B313,期貨未平倉口數!$A$4:$M$499,4,FALSE)</f>
        <v>#N/A</v>
      </c>
      <c r="O313" s="27" t="e">
        <f>VLOOKUP($B313,期貨未平倉口數!$A$4:$M$499,9,FALSE)</f>
        <v>#N/A</v>
      </c>
      <c r="P313" s="27" t="e">
        <f>VLOOKUP($B313,期貨未平倉口數!$A$4:$M$499,10,FALSE)</f>
        <v>#N/A</v>
      </c>
      <c r="Q313" s="27" t="e">
        <f>VLOOKUP($B313,期貨未平倉口數!$A$4:$M$499,11,FALSE)</f>
        <v>#N/A</v>
      </c>
      <c r="R313" s="64" t="e">
        <f>VLOOKUP($B313,選擇權未平倉餘額!$A$4:$I$500,6,FALSE)</f>
        <v>#N/A</v>
      </c>
      <c r="S313" s="64" t="e">
        <f>VLOOKUP($B313,選擇權未平倉餘額!$A$4:$I$500,7,FALSE)</f>
        <v>#N/A</v>
      </c>
      <c r="T313" s="64" t="e">
        <f>VLOOKUP($B313,選擇權未平倉餘額!$A$4:$I$500,8,FALSE)</f>
        <v>#N/A</v>
      </c>
      <c r="U313" s="64" t="e">
        <f>VLOOKUP($B313,選擇權未平倉餘額!$A$4:$I$500,9,FALSE)</f>
        <v>#N/A</v>
      </c>
      <c r="V313" s="39" t="e">
        <f>VLOOKUP($B313,臺指選擇權P_C_Ratios!$A$4:$C$500,3,FALSE)</f>
        <v>#N/A</v>
      </c>
      <c r="W313" s="41" t="e">
        <f>VLOOKUP($B313,散戶多空比!$A$6:$L$500,12,FALSE)</f>
        <v>#N/A</v>
      </c>
      <c r="X313" s="40" t="e">
        <f>VLOOKUP($B313,期貨大額交易人未沖銷部位!$A$4:$O$499,4,FALSE)</f>
        <v>#N/A</v>
      </c>
      <c r="Y313" s="40" t="e">
        <f>VLOOKUP($B313,期貨大額交易人未沖銷部位!$A$4:$O$499,7,FALSE)</f>
        <v>#N/A</v>
      </c>
      <c r="Z313" s="40" t="e">
        <f>VLOOKUP($B313,期貨大額交易人未沖銷部位!$A$4:$O$499,10,FALSE)</f>
        <v>#N/A</v>
      </c>
      <c r="AA313" s="40" t="e">
        <f>VLOOKUP($B313,期貨大額交易人未沖銷部位!$A$4:$O$499,13,FALSE)</f>
        <v>#N/A</v>
      </c>
      <c r="AB313" s="40" t="e">
        <f>VLOOKUP($B313,期貨大額交易人未沖銷部位!$A$4:$O$499,14,FALSE)</f>
        <v>#N/A</v>
      </c>
      <c r="AC313" s="40" t="e">
        <f>VLOOKUP($B313,期貨大額交易人未沖銷部位!$A$4:$O$499,15,FALSE)</f>
        <v>#N/A</v>
      </c>
      <c r="AD313" s="33" t="e">
        <f>VLOOKUP($B313,三大美股走勢!$A$4:$J$495,4,FALSE)</f>
        <v>#N/A</v>
      </c>
      <c r="AE313" s="33" t="e">
        <f>VLOOKUP($B313,三大美股走勢!$A$4:$J$495,7,FALSE)</f>
        <v>#N/A</v>
      </c>
      <c r="AF313" s="33" t="e">
        <f>VLOOKUP($B313,三大美股走勢!$A$4:$J$495,10,FALSE)</f>
        <v>#N/A</v>
      </c>
    </row>
    <row r="314" spans="2:32">
      <c r="B314" s="32">
        <v>43093</v>
      </c>
      <c r="C314" s="33" t="e">
        <f>VLOOKUP($B314,大盤與近月台指!$A$4:$I$499,2,FALSE)</f>
        <v>#N/A</v>
      </c>
      <c r="D314" s="34" t="e">
        <f>VLOOKUP($B314,大盤與近月台指!$A$4:$I$499,3,FALSE)</f>
        <v>#N/A</v>
      </c>
      <c r="E314" s="35" t="e">
        <f>VLOOKUP($B314,大盤與近月台指!$A$4:$I$499,4,FALSE)</f>
        <v>#N/A</v>
      </c>
      <c r="F314" s="33" t="e">
        <f>VLOOKUP($B314,大盤與近月台指!$A$4:$I$499,5,FALSE)</f>
        <v>#N/A</v>
      </c>
      <c r="G314" s="49" t="e">
        <f>VLOOKUP($B314,三大法人買賣超!$A$4:$I$500,3,FALSE)</f>
        <v>#N/A</v>
      </c>
      <c r="H314" s="34" t="e">
        <f>VLOOKUP($B314,三大法人買賣超!$A$4:$I$500,5,FALSE)</f>
        <v>#N/A</v>
      </c>
      <c r="I314" s="27" t="e">
        <f>VLOOKUP($B314,三大法人買賣超!$A$4:$I$500,7,FALSE)</f>
        <v>#N/A</v>
      </c>
      <c r="J314" s="27" t="e">
        <f>VLOOKUP($B314,三大法人買賣超!$A$4:$I$500,9,FALSE)</f>
        <v>#N/A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 t="e">
        <f>VLOOKUP($B314,期貨未平倉口數!$A$4:$M$499,4,FALSE)</f>
        <v>#N/A</v>
      </c>
      <c r="O314" s="27" t="e">
        <f>VLOOKUP($B314,期貨未平倉口數!$A$4:$M$499,9,FALSE)</f>
        <v>#N/A</v>
      </c>
      <c r="P314" s="27" t="e">
        <f>VLOOKUP($B314,期貨未平倉口數!$A$4:$M$499,10,FALSE)</f>
        <v>#N/A</v>
      </c>
      <c r="Q314" s="27" t="e">
        <f>VLOOKUP($B314,期貨未平倉口數!$A$4:$M$499,11,FALSE)</f>
        <v>#N/A</v>
      </c>
      <c r="R314" s="64" t="e">
        <f>VLOOKUP($B314,選擇權未平倉餘額!$A$4:$I$500,6,FALSE)</f>
        <v>#N/A</v>
      </c>
      <c r="S314" s="64" t="e">
        <f>VLOOKUP($B314,選擇權未平倉餘額!$A$4:$I$500,7,FALSE)</f>
        <v>#N/A</v>
      </c>
      <c r="T314" s="64" t="e">
        <f>VLOOKUP($B314,選擇權未平倉餘額!$A$4:$I$500,8,FALSE)</f>
        <v>#N/A</v>
      </c>
      <c r="U314" s="64" t="e">
        <f>VLOOKUP($B314,選擇權未平倉餘額!$A$4:$I$500,9,FALSE)</f>
        <v>#N/A</v>
      </c>
      <c r="V314" s="39" t="e">
        <f>VLOOKUP($B314,臺指選擇權P_C_Ratios!$A$4:$C$500,3,FALSE)</f>
        <v>#N/A</v>
      </c>
      <c r="W314" s="41" t="e">
        <f>VLOOKUP($B314,散戶多空比!$A$6:$L$500,12,FALSE)</f>
        <v>#N/A</v>
      </c>
      <c r="X314" s="40" t="e">
        <f>VLOOKUP($B314,期貨大額交易人未沖銷部位!$A$4:$O$499,4,FALSE)</f>
        <v>#N/A</v>
      </c>
      <c r="Y314" s="40" t="e">
        <f>VLOOKUP($B314,期貨大額交易人未沖銷部位!$A$4:$O$499,7,FALSE)</f>
        <v>#N/A</v>
      </c>
      <c r="Z314" s="40" t="e">
        <f>VLOOKUP($B314,期貨大額交易人未沖銷部位!$A$4:$O$499,10,FALSE)</f>
        <v>#N/A</v>
      </c>
      <c r="AA314" s="40" t="e">
        <f>VLOOKUP($B314,期貨大額交易人未沖銷部位!$A$4:$O$499,13,FALSE)</f>
        <v>#N/A</v>
      </c>
      <c r="AB314" s="40" t="e">
        <f>VLOOKUP($B314,期貨大額交易人未沖銷部位!$A$4:$O$499,14,FALSE)</f>
        <v>#N/A</v>
      </c>
      <c r="AC314" s="40" t="e">
        <f>VLOOKUP($B314,期貨大額交易人未沖銷部位!$A$4:$O$499,15,FALSE)</f>
        <v>#N/A</v>
      </c>
      <c r="AD314" s="33" t="e">
        <f>VLOOKUP($B314,三大美股走勢!$A$4:$J$495,4,FALSE)</f>
        <v>#N/A</v>
      </c>
      <c r="AE314" s="33" t="e">
        <f>VLOOKUP($B314,三大美股走勢!$A$4:$J$495,7,FALSE)</f>
        <v>#N/A</v>
      </c>
      <c r="AF314" s="33" t="e">
        <f>VLOOKUP($B314,三大美股走勢!$A$4:$J$495,10,FALSE)</f>
        <v>#N/A</v>
      </c>
    </row>
    <row r="315" spans="2:32">
      <c r="B315" s="32">
        <v>43094</v>
      </c>
      <c r="C315" s="33" t="e">
        <f>VLOOKUP($B315,大盤與近月台指!$A$4:$I$499,2,FALSE)</f>
        <v>#N/A</v>
      </c>
      <c r="D315" s="34" t="e">
        <f>VLOOKUP($B315,大盤與近月台指!$A$4:$I$499,3,FALSE)</f>
        <v>#N/A</v>
      </c>
      <c r="E315" s="35" t="e">
        <f>VLOOKUP($B315,大盤與近月台指!$A$4:$I$499,4,FALSE)</f>
        <v>#N/A</v>
      </c>
      <c r="F315" s="33" t="e">
        <f>VLOOKUP($B315,大盤與近月台指!$A$4:$I$499,5,FALSE)</f>
        <v>#N/A</v>
      </c>
      <c r="G315" s="49" t="e">
        <f>VLOOKUP($B315,三大法人買賣超!$A$4:$I$500,3,FALSE)</f>
        <v>#N/A</v>
      </c>
      <c r="H315" s="34" t="e">
        <f>VLOOKUP($B315,三大法人買賣超!$A$4:$I$500,5,FALSE)</f>
        <v>#N/A</v>
      </c>
      <c r="I315" s="27" t="e">
        <f>VLOOKUP($B315,三大法人買賣超!$A$4:$I$500,7,FALSE)</f>
        <v>#N/A</v>
      </c>
      <c r="J315" s="27" t="e">
        <f>VLOOKUP($B315,三大法人買賣超!$A$4:$I$500,9,FALSE)</f>
        <v>#N/A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0</v>
      </c>
      <c r="N315" s="27" t="e">
        <f>VLOOKUP($B315,期貨未平倉口數!$A$4:$M$499,4,FALSE)</f>
        <v>#N/A</v>
      </c>
      <c r="O315" s="27" t="e">
        <f>VLOOKUP($B315,期貨未平倉口數!$A$4:$M$499,9,FALSE)</f>
        <v>#N/A</v>
      </c>
      <c r="P315" s="27" t="e">
        <f>VLOOKUP($B315,期貨未平倉口數!$A$4:$M$499,10,FALSE)</f>
        <v>#N/A</v>
      </c>
      <c r="Q315" s="27" t="e">
        <f>VLOOKUP($B315,期貨未平倉口數!$A$4:$M$499,11,FALSE)</f>
        <v>#N/A</v>
      </c>
      <c r="R315" s="64" t="e">
        <f>VLOOKUP($B315,選擇權未平倉餘額!$A$4:$I$500,6,FALSE)</f>
        <v>#N/A</v>
      </c>
      <c r="S315" s="64" t="e">
        <f>VLOOKUP($B315,選擇權未平倉餘額!$A$4:$I$500,7,FALSE)</f>
        <v>#N/A</v>
      </c>
      <c r="T315" s="64" t="e">
        <f>VLOOKUP($B315,選擇權未平倉餘額!$A$4:$I$500,8,FALSE)</f>
        <v>#N/A</v>
      </c>
      <c r="U315" s="64" t="e">
        <f>VLOOKUP($B315,選擇權未平倉餘額!$A$4:$I$500,9,FALSE)</f>
        <v>#N/A</v>
      </c>
      <c r="V315" s="39" t="e">
        <f>VLOOKUP($B315,臺指選擇權P_C_Ratios!$A$4:$C$500,3,FALSE)</f>
        <v>#N/A</v>
      </c>
      <c r="W315" s="41" t="e">
        <f>VLOOKUP($B315,散戶多空比!$A$6:$L$500,12,FALSE)</f>
        <v>#N/A</v>
      </c>
      <c r="X315" s="40" t="e">
        <f>VLOOKUP($B315,期貨大額交易人未沖銷部位!$A$4:$O$499,4,FALSE)</f>
        <v>#N/A</v>
      </c>
      <c r="Y315" s="40" t="e">
        <f>VLOOKUP($B315,期貨大額交易人未沖銷部位!$A$4:$O$499,7,FALSE)</f>
        <v>#N/A</v>
      </c>
      <c r="Z315" s="40" t="e">
        <f>VLOOKUP($B315,期貨大額交易人未沖銷部位!$A$4:$O$499,10,FALSE)</f>
        <v>#N/A</v>
      </c>
      <c r="AA315" s="40" t="e">
        <f>VLOOKUP($B315,期貨大額交易人未沖銷部位!$A$4:$O$499,13,FALSE)</f>
        <v>#N/A</v>
      </c>
      <c r="AB315" s="40" t="e">
        <f>VLOOKUP($B315,期貨大額交易人未沖銷部位!$A$4:$O$499,14,FALSE)</f>
        <v>#N/A</v>
      </c>
      <c r="AC315" s="40" t="e">
        <f>VLOOKUP($B315,期貨大額交易人未沖銷部位!$A$4:$O$499,15,FALSE)</f>
        <v>#N/A</v>
      </c>
      <c r="AD315" s="33" t="e">
        <f>VLOOKUP($B315,三大美股走勢!$A$4:$J$495,4,FALSE)</f>
        <v>#N/A</v>
      </c>
      <c r="AE315" s="33" t="e">
        <f>VLOOKUP($B315,三大美股走勢!$A$4:$J$495,7,FALSE)</f>
        <v>#N/A</v>
      </c>
      <c r="AF315" s="33" t="e">
        <f>VLOOKUP($B315,三大美股走勢!$A$4:$J$495,10,FALSE)</f>
        <v>#N/A</v>
      </c>
    </row>
    <row r="316" spans="2:32">
      <c r="B316" s="32">
        <v>43095</v>
      </c>
      <c r="C316" s="33" t="e">
        <f>VLOOKUP($B316,大盤與近月台指!$A$4:$I$499,2,FALSE)</f>
        <v>#N/A</v>
      </c>
      <c r="D316" s="34" t="e">
        <f>VLOOKUP($B316,大盤與近月台指!$A$4:$I$499,3,FALSE)</f>
        <v>#N/A</v>
      </c>
      <c r="E316" s="35" t="e">
        <f>VLOOKUP($B316,大盤與近月台指!$A$4:$I$499,4,FALSE)</f>
        <v>#N/A</v>
      </c>
      <c r="F316" s="33" t="e">
        <f>VLOOKUP($B316,大盤與近月台指!$A$4:$I$499,5,FALSE)</f>
        <v>#N/A</v>
      </c>
      <c r="G316" s="49" t="e">
        <f>VLOOKUP($B316,三大法人買賣超!$A$4:$I$500,3,FALSE)</f>
        <v>#N/A</v>
      </c>
      <c r="H316" s="34" t="e">
        <f>VLOOKUP($B316,三大法人買賣超!$A$4:$I$500,5,FALSE)</f>
        <v>#N/A</v>
      </c>
      <c r="I316" s="27" t="e">
        <f>VLOOKUP($B316,三大法人買賣超!$A$4:$I$500,7,FALSE)</f>
        <v>#N/A</v>
      </c>
      <c r="J316" s="27" t="e">
        <f>VLOOKUP($B316,三大法人買賣超!$A$4:$I$500,9,FALSE)</f>
        <v>#N/A</v>
      </c>
      <c r="K316" s="37">
        <f>新台幣匯率美元指數!B317</f>
        <v>0</v>
      </c>
      <c r="L316" s="38">
        <f>新台幣匯率美元指數!C317</f>
        <v>0</v>
      </c>
      <c r="M316" s="39">
        <f>新台幣匯率美元指數!D317</f>
        <v>0</v>
      </c>
      <c r="N316" s="27" t="e">
        <f>VLOOKUP($B316,期貨未平倉口數!$A$4:$M$499,4,FALSE)</f>
        <v>#N/A</v>
      </c>
      <c r="O316" s="27" t="e">
        <f>VLOOKUP($B316,期貨未平倉口數!$A$4:$M$499,9,FALSE)</f>
        <v>#N/A</v>
      </c>
      <c r="P316" s="27" t="e">
        <f>VLOOKUP($B316,期貨未平倉口數!$A$4:$M$499,10,FALSE)</f>
        <v>#N/A</v>
      </c>
      <c r="Q316" s="27" t="e">
        <f>VLOOKUP($B316,期貨未平倉口數!$A$4:$M$499,11,FALSE)</f>
        <v>#N/A</v>
      </c>
      <c r="R316" s="64" t="e">
        <f>VLOOKUP($B316,選擇權未平倉餘額!$A$4:$I$500,6,FALSE)</f>
        <v>#N/A</v>
      </c>
      <c r="S316" s="64" t="e">
        <f>VLOOKUP($B316,選擇權未平倉餘額!$A$4:$I$500,7,FALSE)</f>
        <v>#N/A</v>
      </c>
      <c r="T316" s="64" t="e">
        <f>VLOOKUP($B316,選擇權未平倉餘額!$A$4:$I$500,8,FALSE)</f>
        <v>#N/A</v>
      </c>
      <c r="U316" s="64" t="e">
        <f>VLOOKUP($B316,選擇權未平倉餘額!$A$4:$I$500,9,FALSE)</f>
        <v>#N/A</v>
      </c>
      <c r="V316" s="39" t="e">
        <f>VLOOKUP($B316,臺指選擇權P_C_Ratios!$A$4:$C$500,3,FALSE)</f>
        <v>#N/A</v>
      </c>
      <c r="W316" s="41" t="e">
        <f>VLOOKUP($B316,散戶多空比!$A$6:$L$500,12,FALSE)</f>
        <v>#N/A</v>
      </c>
      <c r="X316" s="40" t="e">
        <f>VLOOKUP($B316,期貨大額交易人未沖銷部位!$A$4:$O$499,4,FALSE)</f>
        <v>#N/A</v>
      </c>
      <c r="Y316" s="40" t="e">
        <f>VLOOKUP($B316,期貨大額交易人未沖銷部位!$A$4:$O$499,7,FALSE)</f>
        <v>#N/A</v>
      </c>
      <c r="Z316" s="40" t="e">
        <f>VLOOKUP($B316,期貨大額交易人未沖銷部位!$A$4:$O$499,10,FALSE)</f>
        <v>#N/A</v>
      </c>
      <c r="AA316" s="40" t="e">
        <f>VLOOKUP($B316,期貨大額交易人未沖銷部位!$A$4:$O$499,13,FALSE)</f>
        <v>#N/A</v>
      </c>
      <c r="AB316" s="40" t="e">
        <f>VLOOKUP($B316,期貨大額交易人未沖銷部位!$A$4:$O$499,14,FALSE)</f>
        <v>#N/A</v>
      </c>
      <c r="AC316" s="40" t="e">
        <f>VLOOKUP($B316,期貨大額交易人未沖銷部位!$A$4:$O$499,15,FALSE)</f>
        <v>#N/A</v>
      </c>
      <c r="AD316" s="33" t="e">
        <f>VLOOKUP($B316,三大美股走勢!$A$4:$J$495,4,FALSE)</f>
        <v>#N/A</v>
      </c>
      <c r="AE316" s="33" t="e">
        <f>VLOOKUP($B316,三大美股走勢!$A$4:$J$495,7,FALSE)</f>
        <v>#N/A</v>
      </c>
      <c r="AF316" s="33" t="e">
        <f>VLOOKUP($B316,三大美股走勢!$A$4:$J$495,10,FALSE)</f>
        <v>#N/A</v>
      </c>
    </row>
    <row r="317" spans="2:32">
      <c r="B317" s="32">
        <v>43096</v>
      </c>
      <c r="C317" s="33" t="e">
        <f>VLOOKUP($B317,大盤與近月台指!$A$4:$I$499,2,FALSE)</f>
        <v>#N/A</v>
      </c>
      <c r="D317" s="34" t="e">
        <f>VLOOKUP($B317,大盤與近月台指!$A$4:$I$499,3,FALSE)</f>
        <v>#N/A</v>
      </c>
      <c r="E317" s="35" t="e">
        <f>VLOOKUP($B317,大盤與近月台指!$A$4:$I$499,4,FALSE)</f>
        <v>#N/A</v>
      </c>
      <c r="F317" s="33" t="e">
        <f>VLOOKUP($B317,大盤與近月台指!$A$4:$I$499,5,FALSE)</f>
        <v>#N/A</v>
      </c>
      <c r="G317" s="49" t="e">
        <f>VLOOKUP($B317,三大法人買賣超!$A$4:$I$500,3,FALSE)</f>
        <v>#N/A</v>
      </c>
      <c r="H317" s="34" t="e">
        <f>VLOOKUP($B317,三大法人買賣超!$A$4:$I$500,5,FALSE)</f>
        <v>#N/A</v>
      </c>
      <c r="I317" s="27" t="e">
        <f>VLOOKUP($B317,三大法人買賣超!$A$4:$I$500,7,FALSE)</f>
        <v>#N/A</v>
      </c>
      <c r="J317" s="27" t="e">
        <f>VLOOKUP($B317,三大法人買賣超!$A$4:$I$500,9,FALSE)</f>
        <v>#N/A</v>
      </c>
      <c r="K317" s="37">
        <f>新台幣匯率美元指數!B318</f>
        <v>0</v>
      </c>
      <c r="L317" s="38">
        <f>新台幣匯率美元指數!C318</f>
        <v>0</v>
      </c>
      <c r="M317" s="39">
        <f>新台幣匯率美元指數!D318</f>
        <v>0</v>
      </c>
      <c r="N317" s="27" t="e">
        <f>VLOOKUP($B317,期貨未平倉口數!$A$4:$M$499,4,FALSE)</f>
        <v>#N/A</v>
      </c>
      <c r="O317" s="27" t="e">
        <f>VLOOKUP($B317,期貨未平倉口數!$A$4:$M$499,9,FALSE)</f>
        <v>#N/A</v>
      </c>
      <c r="P317" s="27" t="e">
        <f>VLOOKUP($B317,期貨未平倉口數!$A$4:$M$499,10,FALSE)</f>
        <v>#N/A</v>
      </c>
      <c r="Q317" s="27" t="e">
        <f>VLOOKUP($B317,期貨未平倉口數!$A$4:$M$499,11,FALSE)</f>
        <v>#N/A</v>
      </c>
      <c r="R317" s="64" t="e">
        <f>VLOOKUP($B317,選擇權未平倉餘額!$A$4:$I$500,6,FALSE)</f>
        <v>#N/A</v>
      </c>
      <c r="S317" s="64" t="e">
        <f>VLOOKUP($B317,選擇權未平倉餘額!$A$4:$I$500,7,FALSE)</f>
        <v>#N/A</v>
      </c>
      <c r="T317" s="64" t="e">
        <f>VLOOKUP($B317,選擇權未平倉餘額!$A$4:$I$500,8,FALSE)</f>
        <v>#N/A</v>
      </c>
      <c r="U317" s="64" t="e">
        <f>VLOOKUP($B317,選擇權未平倉餘額!$A$4:$I$500,9,FALSE)</f>
        <v>#N/A</v>
      </c>
      <c r="V317" s="39" t="e">
        <f>VLOOKUP($B317,臺指選擇權P_C_Ratios!$A$4:$C$500,3,FALSE)</f>
        <v>#N/A</v>
      </c>
      <c r="W317" s="41" t="e">
        <f>VLOOKUP($B317,散戶多空比!$A$6:$L$500,12,FALSE)</f>
        <v>#N/A</v>
      </c>
      <c r="X317" s="40" t="e">
        <f>VLOOKUP($B317,期貨大額交易人未沖銷部位!$A$4:$O$499,4,FALSE)</f>
        <v>#N/A</v>
      </c>
      <c r="Y317" s="40" t="e">
        <f>VLOOKUP($B317,期貨大額交易人未沖銷部位!$A$4:$O$499,7,FALSE)</f>
        <v>#N/A</v>
      </c>
      <c r="Z317" s="40" t="e">
        <f>VLOOKUP($B317,期貨大額交易人未沖銷部位!$A$4:$O$499,10,FALSE)</f>
        <v>#N/A</v>
      </c>
      <c r="AA317" s="40" t="e">
        <f>VLOOKUP($B317,期貨大額交易人未沖銷部位!$A$4:$O$499,13,FALSE)</f>
        <v>#N/A</v>
      </c>
      <c r="AB317" s="40" t="e">
        <f>VLOOKUP($B317,期貨大額交易人未沖銷部位!$A$4:$O$499,14,FALSE)</f>
        <v>#N/A</v>
      </c>
      <c r="AC317" s="40" t="e">
        <f>VLOOKUP($B317,期貨大額交易人未沖銷部位!$A$4:$O$499,15,FALSE)</f>
        <v>#N/A</v>
      </c>
      <c r="AD317" s="33" t="e">
        <f>VLOOKUP($B317,三大美股走勢!$A$4:$J$495,4,FALSE)</f>
        <v>#N/A</v>
      </c>
      <c r="AE317" s="33" t="e">
        <f>VLOOKUP($B317,三大美股走勢!$A$4:$J$495,7,FALSE)</f>
        <v>#N/A</v>
      </c>
      <c r="AF317" s="33" t="e">
        <f>VLOOKUP($B317,三大美股走勢!$A$4:$J$495,10,FALSE)</f>
        <v>#N/A</v>
      </c>
    </row>
    <row r="318" spans="2:32">
      <c r="B318" s="32">
        <v>43097</v>
      </c>
      <c r="C318" s="33" t="e">
        <f>VLOOKUP($B318,大盤與近月台指!$A$4:$I$499,2,FALSE)</f>
        <v>#N/A</v>
      </c>
      <c r="D318" s="34" t="e">
        <f>VLOOKUP($B318,大盤與近月台指!$A$4:$I$499,3,FALSE)</f>
        <v>#N/A</v>
      </c>
      <c r="E318" s="35" t="e">
        <f>VLOOKUP($B318,大盤與近月台指!$A$4:$I$499,4,FALSE)</f>
        <v>#N/A</v>
      </c>
      <c r="F318" s="33" t="e">
        <f>VLOOKUP($B318,大盤與近月台指!$A$4:$I$499,5,FALSE)</f>
        <v>#N/A</v>
      </c>
      <c r="G318" s="49" t="e">
        <f>VLOOKUP($B318,三大法人買賣超!$A$4:$I$500,3,FALSE)</f>
        <v>#N/A</v>
      </c>
      <c r="H318" s="34" t="e">
        <f>VLOOKUP($B318,三大法人買賣超!$A$4:$I$500,5,FALSE)</f>
        <v>#N/A</v>
      </c>
      <c r="I318" s="27" t="e">
        <f>VLOOKUP($B318,三大法人買賣超!$A$4:$I$500,7,FALSE)</f>
        <v>#N/A</v>
      </c>
      <c r="J318" s="27" t="e">
        <f>VLOOKUP($B318,三大法人買賣超!$A$4:$I$500,9,FALSE)</f>
        <v>#N/A</v>
      </c>
      <c r="K318" s="37">
        <f>新台幣匯率美元指數!B319</f>
        <v>0</v>
      </c>
      <c r="L318" s="38">
        <f>新台幣匯率美元指數!C319</f>
        <v>0</v>
      </c>
      <c r="M318" s="39">
        <f>新台幣匯率美元指數!D319</f>
        <v>0</v>
      </c>
      <c r="N318" s="27" t="e">
        <f>VLOOKUP($B318,期貨未平倉口數!$A$4:$M$499,4,FALSE)</f>
        <v>#N/A</v>
      </c>
      <c r="O318" s="27" t="e">
        <f>VLOOKUP($B318,期貨未平倉口數!$A$4:$M$499,9,FALSE)</f>
        <v>#N/A</v>
      </c>
      <c r="P318" s="27" t="e">
        <f>VLOOKUP($B318,期貨未平倉口數!$A$4:$M$499,10,FALSE)</f>
        <v>#N/A</v>
      </c>
      <c r="Q318" s="27" t="e">
        <f>VLOOKUP($B318,期貨未平倉口數!$A$4:$M$499,11,FALSE)</f>
        <v>#N/A</v>
      </c>
      <c r="R318" s="64" t="e">
        <f>VLOOKUP($B318,選擇權未平倉餘額!$A$4:$I$500,6,FALSE)</f>
        <v>#N/A</v>
      </c>
      <c r="S318" s="64" t="e">
        <f>VLOOKUP($B318,選擇權未平倉餘額!$A$4:$I$500,7,FALSE)</f>
        <v>#N/A</v>
      </c>
      <c r="T318" s="64" t="e">
        <f>VLOOKUP($B318,選擇權未平倉餘額!$A$4:$I$500,8,FALSE)</f>
        <v>#N/A</v>
      </c>
      <c r="U318" s="64" t="e">
        <f>VLOOKUP($B318,選擇權未平倉餘額!$A$4:$I$500,9,FALSE)</f>
        <v>#N/A</v>
      </c>
      <c r="V318" s="39" t="e">
        <f>VLOOKUP($B318,臺指選擇權P_C_Ratios!$A$4:$C$500,3,FALSE)</f>
        <v>#N/A</v>
      </c>
      <c r="W318" s="41" t="e">
        <f>VLOOKUP($B318,散戶多空比!$A$6:$L$500,12,FALSE)</f>
        <v>#N/A</v>
      </c>
      <c r="X318" s="40" t="e">
        <f>VLOOKUP($B318,期貨大額交易人未沖銷部位!$A$4:$O$499,4,FALSE)</f>
        <v>#N/A</v>
      </c>
      <c r="Y318" s="40" t="e">
        <f>VLOOKUP($B318,期貨大額交易人未沖銷部位!$A$4:$O$499,7,FALSE)</f>
        <v>#N/A</v>
      </c>
      <c r="Z318" s="40" t="e">
        <f>VLOOKUP($B318,期貨大額交易人未沖銷部位!$A$4:$O$499,10,FALSE)</f>
        <v>#N/A</v>
      </c>
      <c r="AA318" s="40" t="e">
        <f>VLOOKUP($B318,期貨大額交易人未沖銷部位!$A$4:$O$499,13,FALSE)</f>
        <v>#N/A</v>
      </c>
      <c r="AB318" s="40" t="e">
        <f>VLOOKUP($B318,期貨大額交易人未沖銷部位!$A$4:$O$499,14,FALSE)</f>
        <v>#N/A</v>
      </c>
      <c r="AC318" s="40" t="e">
        <f>VLOOKUP($B318,期貨大額交易人未沖銷部位!$A$4:$O$499,15,FALSE)</f>
        <v>#N/A</v>
      </c>
      <c r="AD318" s="33" t="e">
        <f>VLOOKUP($B318,三大美股走勢!$A$4:$J$495,4,FALSE)</f>
        <v>#N/A</v>
      </c>
      <c r="AE318" s="33" t="e">
        <f>VLOOKUP($B318,三大美股走勢!$A$4:$J$495,7,FALSE)</f>
        <v>#N/A</v>
      </c>
      <c r="AF318" s="33" t="e">
        <f>VLOOKUP($B318,三大美股走勢!$A$4:$J$495,10,FALSE)</f>
        <v>#N/A</v>
      </c>
    </row>
    <row r="319" spans="2:32">
      <c r="B319" s="32">
        <v>43098</v>
      </c>
      <c r="C319" s="33" t="e">
        <f>VLOOKUP($B319,大盤與近月台指!$A$4:$I$499,2,FALSE)</f>
        <v>#N/A</v>
      </c>
      <c r="D319" s="34" t="e">
        <f>VLOOKUP($B319,大盤與近月台指!$A$4:$I$499,3,FALSE)</f>
        <v>#N/A</v>
      </c>
      <c r="E319" s="35" t="e">
        <f>VLOOKUP($B319,大盤與近月台指!$A$4:$I$499,4,FALSE)</f>
        <v>#N/A</v>
      </c>
      <c r="F319" s="33" t="e">
        <f>VLOOKUP($B319,大盤與近月台指!$A$4:$I$499,5,FALSE)</f>
        <v>#N/A</v>
      </c>
      <c r="G319" s="49" t="e">
        <f>VLOOKUP($B319,三大法人買賣超!$A$4:$I$500,3,FALSE)</f>
        <v>#N/A</v>
      </c>
      <c r="H319" s="34" t="e">
        <f>VLOOKUP($B319,三大法人買賣超!$A$4:$I$500,5,FALSE)</f>
        <v>#N/A</v>
      </c>
      <c r="I319" s="27" t="e">
        <f>VLOOKUP($B319,三大法人買賣超!$A$4:$I$500,7,FALSE)</f>
        <v>#N/A</v>
      </c>
      <c r="J319" s="27" t="e">
        <f>VLOOKUP($B319,三大法人買賣超!$A$4:$I$500,9,FALSE)</f>
        <v>#N/A</v>
      </c>
      <c r="K319" s="37">
        <f>新台幣匯率美元指數!B320</f>
        <v>0</v>
      </c>
      <c r="L319" s="38">
        <f>新台幣匯率美元指數!C320</f>
        <v>0</v>
      </c>
      <c r="M319" s="39">
        <f>新台幣匯率美元指數!D320</f>
        <v>0</v>
      </c>
      <c r="N319" s="27" t="e">
        <f>VLOOKUP($B319,期貨未平倉口數!$A$4:$M$499,4,FALSE)</f>
        <v>#N/A</v>
      </c>
      <c r="O319" s="27" t="e">
        <f>VLOOKUP($B319,期貨未平倉口數!$A$4:$M$499,9,FALSE)</f>
        <v>#N/A</v>
      </c>
      <c r="P319" s="27" t="e">
        <f>VLOOKUP($B319,期貨未平倉口數!$A$4:$M$499,10,FALSE)</f>
        <v>#N/A</v>
      </c>
      <c r="Q319" s="27" t="e">
        <f>VLOOKUP($B319,期貨未平倉口數!$A$4:$M$499,11,FALSE)</f>
        <v>#N/A</v>
      </c>
      <c r="R319" s="64" t="e">
        <f>VLOOKUP($B319,選擇權未平倉餘額!$A$4:$I$500,6,FALSE)</f>
        <v>#N/A</v>
      </c>
      <c r="S319" s="64" t="e">
        <f>VLOOKUP($B319,選擇權未平倉餘額!$A$4:$I$500,7,FALSE)</f>
        <v>#N/A</v>
      </c>
      <c r="T319" s="64" t="e">
        <f>VLOOKUP($B319,選擇權未平倉餘額!$A$4:$I$500,8,FALSE)</f>
        <v>#N/A</v>
      </c>
      <c r="U319" s="64" t="e">
        <f>VLOOKUP($B319,選擇權未平倉餘額!$A$4:$I$500,9,FALSE)</f>
        <v>#N/A</v>
      </c>
      <c r="V319" s="39" t="e">
        <f>VLOOKUP($B319,臺指選擇權P_C_Ratios!$A$4:$C$500,3,FALSE)</f>
        <v>#N/A</v>
      </c>
      <c r="W319" s="41" t="e">
        <f>VLOOKUP($B319,散戶多空比!$A$6:$L$500,12,FALSE)</f>
        <v>#N/A</v>
      </c>
      <c r="X319" s="40" t="e">
        <f>VLOOKUP($B319,期貨大額交易人未沖銷部位!$A$4:$O$499,4,FALSE)</f>
        <v>#N/A</v>
      </c>
      <c r="Y319" s="40" t="e">
        <f>VLOOKUP($B319,期貨大額交易人未沖銷部位!$A$4:$O$499,7,FALSE)</f>
        <v>#N/A</v>
      </c>
      <c r="Z319" s="40" t="e">
        <f>VLOOKUP($B319,期貨大額交易人未沖銷部位!$A$4:$O$499,10,FALSE)</f>
        <v>#N/A</v>
      </c>
      <c r="AA319" s="40" t="e">
        <f>VLOOKUP($B319,期貨大額交易人未沖銷部位!$A$4:$O$499,13,FALSE)</f>
        <v>#N/A</v>
      </c>
      <c r="AB319" s="40" t="e">
        <f>VLOOKUP($B319,期貨大額交易人未沖銷部位!$A$4:$O$499,14,FALSE)</f>
        <v>#N/A</v>
      </c>
      <c r="AC319" s="40" t="e">
        <f>VLOOKUP($B319,期貨大額交易人未沖銷部位!$A$4:$O$499,15,FALSE)</f>
        <v>#N/A</v>
      </c>
      <c r="AD319" s="33" t="e">
        <f>VLOOKUP($B319,三大美股走勢!$A$4:$J$495,4,FALSE)</f>
        <v>#N/A</v>
      </c>
      <c r="AE319" s="33" t="e">
        <f>VLOOKUP($B319,三大美股走勢!$A$4:$J$495,7,FALSE)</f>
        <v>#N/A</v>
      </c>
      <c r="AF319" s="33" t="e">
        <f>VLOOKUP($B319,三大美股走勢!$A$4:$J$495,10,FALSE)</f>
        <v>#N/A</v>
      </c>
    </row>
    <row r="320" spans="2:32">
      <c r="B320" s="32">
        <v>43099</v>
      </c>
      <c r="C320" s="33" t="e">
        <f>VLOOKUP($B320,大盤與近月台指!$A$4:$I$499,2,FALSE)</f>
        <v>#N/A</v>
      </c>
      <c r="D320" s="34" t="e">
        <f>VLOOKUP($B320,大盤與近月台指!$A$4:$I$499,3,FALSE)</f>
        <v>#N/A</v>
      </c>
      <c r="E320" s="35" t="e">
        <f>VLOOKUP($B320,大盤與近月台指!$A$4:$I$499,4,FALSE)</f>
        <v>#N/A</v>
      </c>
      <c r="F320" s="33" t="e">
        <f>VLOOKUP($B320,大盤與近月台指!$A$4:$I$499,5,FALSE)</f>
        <v>#N/A</v>
      </c>
      <c r="G320" s="49" t="e">
        <f>VLOOKUP($B320,三大法人買賣超!$A$4:$I$500,3,FALSE)</f>
        <v>#N/A</v>
      </c>
      <c r="H320" s="34" t="e">
        <f>VLOOKUP($B320,三大法人買賣超!$A$4:$I$500,5,FALSE)</f>
        <v>#N/A</v>
      </c>
      <c r="I320" s="27" t="e">
        <f>VLOOKUP($B320,三大法人買賣超!$A$4:$I$500,7,FALSE)</f>
        <v>#N/A</v>
      </c>
      <c r="J320" s="27" t="e">
        <f>VLOOKUP($B320,三大法人買賣超!$A$4:$I$500,9,FALSE)</f>
        <v>#N/A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 t="e">
        <f>VLOOKUP($B320,期貨未平倉口數!$A$4:$M$499,4,FALSE)</f>
        <v>#N/A</v>
      </c>
      <c r="O320" s="27" t="e">
        <f>VLOOKUP($B320,期貨未平倉口數!$A$4:$M$499,9,FALSE)</f>
        <v>#N/A</v>
      </c>
      <c r="P320" s="27" t="e">
        <f>VLOOKUP($B320,期貨未平倉口數!$A$4:$M$499,10,FALSE)</f>
        <v>#N/A</v>
      </c>
      <c r="Q320" s="27" t="e">
        <f>VLOOKUP($B320,期貨未平倉口數!$A$4:$M$499,11,FALSE)</f>
        <v>#N/A</v>
      </c>
      <c r="R320" s="64" t="e">
        <f>VLOOKUP($B320,選擇權未平倉餘額!$A$4:$I$500,6,FALSE)</f>
        <v>#N/A</v>
      </c>
      <c r="S320" s="64" t="e">
        <f>VLOOKUP($B320,選擇權未平倉餘額!$A$4:$I$500,7,FALSE)</f>
        <v>#N/A</v>
      </c>
      <c r="T320" s="64" t="e">
        <f>VLOOKUP($B320,選擇權未平倉餘額!$A$4:$I$500,8,FALSE)</f>
        <v>#N/A</v>
      </c>
      <c r="U320" s="64" t="e">
        <f>VLOOKUP($B320,選擇權未平倉餘額!$A$4:$I$500,9,FALSE)</f>
        <v>#N/A</v>
      </c>
      <c r="V320" s="39" t="e">
        <f>VLOOKUP($B320,臺指選擇權P_C_Ratios!$A$4:$C$500,3,FALSE)</f>
        <v>#N/A</v>
      </c>
      <c r="W320" s="41" t="e">
        <f>VLOOKUP($B320,散戶多空比!$A$6:$L$500,12,FALSE)</f>
        <v>#N/A</v>
      </c>
      <c r="X320" s="40" t="e">
        <f>VLOOKUP($B320,期貨大額交易人未沖銷部位!$A$4:$O$499,4,FALSE)</f>
        <v>#N/A</v>
      </c>
      <c r="Y320" s="40" t="e">
        <f>VLOOKUP($B320,期貨大額交易人未沖銷部位!$A$4:$O$499,7,FALSE)</f>
        <v>#N/A</v>
      </c>
      <c r="Z320" s="40" t="e">
        <f>VLOOKUP($B320,期貨大額交易人未沖銷部位!$A$4:$O$499,10,FALSE)</f>
        <v>#N/A</v>
      </c>
      <c r="AA320" s="40" t="e">
        <f>VLOOKUP($B320,期貨大額交易人未沖銷部位!$A$4:$O$499,13,FALSE)</f>
        <v>#N/A</v>
      </c>
      <c r="AB320" s="40" t="e">
        <f>VLOOKUP($B320,期貨大額交易人未沖銷部位!$A$4:$O$499,14,FALSE)</f>
        <v>#N/A</v>
      </c>
      <c r="AC320" s="40" t="e">
        <f>VLOOKUP($B320,期貨大額交易人未沖銷部位!$A$4:$O$499,15,FALSE)</f>
        <v>#N/A</v>
      </c>
      <c r="AD320" s="33" t="e">
        <f>VLOOKUP($B320,三大美股走勢!$A$4:$J$495,4,FALSE)</f>
        <v>#N/A</v>
      </c>
      <c r="AE320" s="33" t="e">
        <f>VLOOKUP($B320,三大美股走勢!$A$4:$J$495,7,FALSE)</f>
        <v>#N/A</v>
      </c>
      <c r="AF320" s="33" t="e">
        <f>VLOOKUP($B320,三大美股走勢!$A$4:$J$495,10,FALSE)</f>
        <v>#N/A</v>
      </c>
    </row>
    <row r="321" spans="2:32">
      <c r="B321" s="32">
        <v>43100</v>
      </c>
      <c r="C321" s="33" t="e">
        <f>VLOOKUP($B321,大盤與近月台指!$A$4:$I$499,2,FALSE)</f>
        <v>#N/A</v>
      </c>
      <c r="D321" s="34" t="e">
        <f>VLOOKUP($B321,大盤與近月台指!$A$4:$I$499,3,FALSE)</f>
        <v>#N/A</v>
      </c>
      <c r="E321" s="35" t="e">
        <f>VLOOKUP($B321,大盤與近月台指!$A$4:$I$499,4,FALSE)</f>
        <v>#N/A</v>
      </c>
      <c r="F321" s="33" t="e">
        <f>VLOOKUP($B321,大盤與近月台指!$A$4:$I$499,5,FALSE)</f>
        <v>#N/A</v>
      </c>
      <c r="G321" s="49" t="e">
        <f>VLOOKUP($B321,三大法人買賣超!$A$4:$I$500,3,FALSE)</f>
        <v>#N/A</v>
      </c>
      <c r="H321" s="34" t="e">
        <f>VLOOKUP($B321,三大法人買賣超!$A$4:$I$500,5,FALSE)</f>
        <v>#N/A</v>
      </c>
      <c r="I321" s="27" t="e">
        <f>VLOOKUP($B321,三大法人買賣超!$A$4:$I$500,7,FALSE)</f>
        <v>#N/A</v>
      </c>
      <c r="J321" s="27" t="e">
        <f>VLOOKUP($B321,三大法人買賣超!$A$4:$I$500,9,FALSE)</f>
        <v>#N/A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 t="e">
        <f>VLOOKUP($B321,期貨未平倉口數!$A$4:$M$499,4,FALSE)</f>
        <v>#N/A</v>
      </c>
      <c r="O321" s="27" t="e">
        <f>VLOOKUP($B321,期貨未平倉口數!$A$4:$M$499,9,FALSE)</f>
        <v>#N/A</v>
      </c>
      <c r="P321" s="27" t="e">
        <f>VLOOKUP($B321,期貨未平倉口數!$A$4:$M$499,10,FALSE)</f>
        <v>#N/A</v>
      </c>
      <c r="Q321" s="27" t="e">
        <f>VLOOKUP($B321,期貨未平倉口數!$A$4:$M$499,11,FALSE)</f>
        <v>#N/A</v>
      </c>
      <c r="R321" s="64" t="e">
        <f>VLOOKUP($B321,選擇權未平倉餘額!$A$4:$I$500,6,FALSE)</f>
        <v>#N/A</v>
      </c>
      <c r="S321" s="64" t="e">
        <f>VLOOKUP($B321,選擇權未平倉餘額!$A$4:$I$500,7,FALSE)</f>
        <v>#N/A</v>
      </c>
      <c r="T321" s="64" t="e">
        <f>VLOOKUP($B321,選擇權未平倉餘額!$A$4:$I$500,8,FALSE)</f>
        <v>#N/A</v>
      </c>
      <c r="U321" s="64" t="e">
        <f>VLOOKUP($B321,選擇權未平倉餘額!$A$4:$I$500,9,FALSE)</f>
        <v>#N/A</v>
      </c>
      <c r="V321" s="39" t="e">
        <f>VLOOKUP($B321,臺指選擇權P_C_Ratios!$A$4:$C$500,3,FALSE)</f>
        <v>#N/A</v>
      </c>
      <c r="W321" s="41" t="e">
        <f>VLOOKUP($B321,散戶多空比!$A$6:$L$500,12,FALSE)</f>
        <v>#N/A</v>
      </c>
      <c r="X321" s="40" t="e">
        <f>VLOOKUP($B321,期貨大額交易人未沖銷部位!$A$4:$O$499,4,FALSE)</f>
        <v>#N/A</v>
      </c>
      <c r="Y321" s="40" t="e">
        <f>VLOOKUP($B321,期貨大額交易人未沖銷部位!$A$4:$O$499,7,FALSE)</f>
        <v>#N/A</v>
      </c>
      <c r="Z321" s="40" t="e">
        <f>VLOOKUP($B321,期貨大額交易人未沖銷部位!$A$4:$O$499,10,FALSE)</f>
        <v>#N/A</v>
      </c>
      <c r="AA321" s="40" t="e">
        <f>VLOOKUP($B321,期貨大額交易人未沖銷部位!$A$4:$O$499,13,FALSE)</f>
        <v>#N/A</v>
      </c>
      <c r="AB321" s="40" t="e">
        <f>VLOOKUP($B321,期貨大額交易人未沖銷部位!$A$4:$O$499,14,FALSE)</f>
        <v>#N/A</v>
      </c>
      <c r="AC321" s="40" t="e">
        <f>VLOOKUP($B321,期貨大額交易人未沖銷部位!$A$4:$O$499,15,FALSE)</f>
        <v>#N/A</v>
      </c>
      <c r="AD321" s="33" t="e">
        <f>VLOOKUP($B321,三大美股走勢!$A$4:$J$495,4,FALSE)</f>
        <v>#N/A</v>
      </c>
      <c r="AE321" s="33" t="e">
        <f>VLOOKUP($B321,三大美股走勢!$A$4:$J$495,7,FALSE)</f>
        <v>#N/A</v>
      </c>
      <c r="AF321" s="33" t="e">
        <f>VLOOKUP($B321,三大美股走勢!$A$4:$J$495,10,FALSE)</f>
        <v>#N/A</v>
      </c>
    </row>
    <row r="322" spans="2:32">
      <c r="B322" s="32">
        <v>43101</v>
      </c>
      <c r="C322" s="33" t="e">
        <f>VLOOKUP($B322,大盤與近月台指!$A$4:$I$499,2,FALSE)</f>
        <v>#N/A</v>
      </c>
      <c r="D322" s="34" t="e">
        <f>VLOOKUP($B322,大盤與近月台指!$A$4:$I$499,3,FALSE)</f>
        <v>#N/A</v>
      </c>
      <c r="E322" s="35" t="e">
        <f>VLOOKUP($B322,大盤與近月台指!$A$4:$I$499,4,FALSE)</f>
        <v>#N/A</v>
      </c>
      <c r="F322" s="33" t="e">
        <f>VLOOKUP($B322,大盤與近月台指!$A$4:$I$499,5,FALSE)</f>
        <v>#N/A</v>
      </c>
      <c r="G322" s="49" t="e">
        <f>VLOOKUP($B322,三大法人買賣超!$A$4:$I$500,3,FALSE)</f>
        <v>#N/A</v>
      </c>
      <c r="H322" s="34" t="e">
        <f>VLOOKUP($B322,三大法人買賣超!$A$4:$I$500,5,FALSE)</f>
        <v>#N/A</v>
      </c>
      <c r="I322" s="27" t="e">
        <f>VLOOKUP($B322,三大法人買賣超!$A$4:$I$500,7,FALSE)</f>
        <v>#N/A</v>
      </c>
      <c r="J322" s="27" t="e">
        <f>VLOOKUP($B322,三大法人買賣超!$A$4:$I$500,9,FALSE)</f>
        <v>#N/A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 t="e">
        <f>VLOOKUP($B322,期貨未平倉口數!$A$4:$M$499,4,FALSE)</f>
        <v>#N/A</v>
      </c>
      <c r="O322" s="27" t="e">
        <f>VLOOKUP($B322,期貨未平倉口數!$A$4:$M$499,9,FALSE)</f>
        <v>#N/A</v>
      </c>
      <c r="P322" s="27" t="e">
        <f>VLOOKUP($B322,期貨未平倉口數!$A$4:$M$499,10,FALSE)</f>
        <v>#N/A</v>
      </c>
      <c r="Q322" s="27" t="e">
        <f>VLOOKUP($B322,期貨未平倉口數!$A$4:$M$499,11,FALSE)</f>
        <v>#N/A</v>
      </c>
      <c r="R322" s="64" t="e">
        <f>VLOOKUP($B322,選擇權未平倉餘額!$A$4:$I$500,6,FALSE)</f>
        <v>#N/A</v>
      </c>
      <c r="S322" s="64" t="e">
        <f>VLOOKUP($B322,選擇權未平倉餘額!$A$4:$I$500,7,FALSE)</f>
        <v>#N/A</v>
      </c>
      <c r="T322" s="64" t="e">
        <f>VLOOKUP($B322,選擇權未平倉餘額!$A$4:$I$500,8,FALSE)</f>
        <v>#N/A</v>
      </c>
      <c r="U322" s="64" t="e">
        <f>VLOOKUP($B322,選擇權未平倉餘額!$A$4:$I$500,9,FALSE)</f>
        <v>#N/A</v>
      </c>
      <c r="V322" s="39" t="e">
        <f>VLOOKUP($B322,臺指選擇權P_C_Ratios!$A$4:$C$500,3,FALSE)</f>
        <v>#N/A</v>
      </c>
      <c r="W322" s="41" t="e">
        <f>VLOOKUP($B322,散戶多空比!$A$6:$L$500,12,FALSE)</f>
        <v>#N/A</v>
      </c>
      <c r="X322" s="40" t="e">
        <f>VLOOKUP($B322,期貨大額交易人未沖銷部位!$A$4:$O$499,4,FALSE)</f>
        <v>#N/A</v>
      </c>
      <c r="Y322" s="40" t="e">
        <f>VLOOKUP($B322,期貨大額交易人未沖銷部位!$A$4:$O$499,7,FALSE)</f>
        <v>#N/A</v>
      </c>
      <c r="Z322" s="40" t="e">
        <f>VLOOKUP($B322,期貨大額交易人未沖銷部位!$A$4:$O$499,10,FALSE)</f>
        <v>#N/A</v>
      </c>
      <c r="AA322" s="40" t="e">
        <f>VLOOKUP($B322,期貨大額交易人未沖銷部位!$A$4:$O$499,13,FALSE)</f>
        <v>#N/A</v>
      </c>
      <c r="AB322" s="40" t="e">
        <f>VLOOKUP($B322,期貨大額交易人未沖銷部位!$A$4:$O$499,14,FALSE)</f>
        <v>#N/A</v>
      </c>
      <c r="AC322" s="40" t="e">
        <f>VLOOKUP($B322,期貨大額交易人未沖銷部位!$A$4:$O$499,15,FALSE)</f>
        <v>#N/A</v>
      </c>
      <c r="AD322" s="33" t="e">
        <f>VLOOKUP($B322,三大美股走勢!$A$4:$J$495,4,FALSE)</f>
        <v>#N/A</v>
      </c>
      <c r="AE322" s="33" t="e">
        <f>VLOOKUP($B322,三大美股走勢!$A$4:$J$495,7,FALSE)</f>
        <v>#N/A</v>
      </c>
      <c r="AF322" s="33" t="e">
        <f>VLOOKUP($B322,三大美股走勢!$A$4:$J$495,10,FALSE)</f>
        <v>#N/A</v>
      </c>
    </row>
    <row r="323" spans="2:32">
      <c r="B323" s="32">
        <v>43102</v>
      </c>
      <c r="C323" s="33" t="e">
        <f>VLOOKUP($B323,大盤與近月台指!$A$4:$I$499,2,FALSE)</f>
        <v>#N/A</v>
      </c>
      <c r="D323" s="34" t="e">
        <f>VLOOKUP($B323,大盤與近月台指!$A$4:$I$499,3,FALSE)</f>
        <v>#N/A</v>
      </c>
      <c r="E323" s="35" t="e">
        <f>VLOOKUP($B323,大盤與近月台指!$A$4:$I$499,4,FALSE)</f>
        <v>#N/A</v>
      </c>
      <c r="F323" s="33" t="e">
        <f>VLOOKUP($B323,大盤與近月台指!$A$4:$I$499,5,FALSE)</f>
        <v>#N/A</v>
      </c>
      <c r="G323" s="49" t="e">
        <f>VLOOKUP($B323,三大法人買賣超!$A$4:$I$500,3,FALSE)</f>
        <v>#N/A</v>
      </c>
      <c r="H323" s="34" t="e">
        <f>VLOOKUP($B323,三大法人買賣超!$A$4:$I$500,5,FALSE)</f>
        <v>#N/A</v>
      </c>
      <c r="I323" s="27" t="e">
        <f>VLOOKUP($B323,三大法人買賣超!$A$4:$I$500,7,FALSE)</f>
        <v>#N/A</v>
      </c>
      <c r="J323" s="27" t="e">
        <f>VLOOKUP($B323,三大法人買賣超!$A$4:$I$500,9,FALSE)</f>
        <v>#N/A</v>
      </c>
      <c r="K323" s="37">
        <f>新台幣匯率美元指數!B324</f>
        <v>0</v>
      </c>
      <c r="L323" s="38">
        <f>新台幣匯率美元指數!C324</f>
        <v>0</v>
      </c>
      <c r="M323" s="39">
        <f>新台幣匯率美元指數!D324</f>
        <v>0</v>
      </c>
      <c r="N323" s="27" t="e">
        <f>VLOOKUP($B323,期貨未平倉口數!$A$4:$M$499,4,FALSE)</f>
        <v>#N/A</v>
      </c>
      <c r="O323" s="27" t="e">
        <f>VLOOKUP($B323,期貨未平倉口數!$A$4:$M$499,9,FALSE)</f>
        <v>#N/A</v>
      </c>
      <c r="P323" s="27" t="e">
        <f>VLOOKUP($B323,期貨未平倉口數!$A$4:$M$499,10,FALSE)</f>
        <v>#N/A</v>
      </c>
      <c r="Q323" s="27" t="e">
        <f>VLOOKUP($B323,期貨未平倉口數!$A$4:$M$499,11,FALSE)</f>
        <v>#N/A</v>
      </c>
      <c r="R323" s="64" t="e">
        <f>VLOOKUP($B323,選擇權未平倉餘額!$A$4:$I$500,6,FALSE)</f>
        <v>#N/A</v>
      </c>
      <c r="S323" s="64" t="e">
        <f>VLOOKUP($B323,選擇權未平倉餘額!$A$4:$I$500,7,FALSE)</f>
        <v>#N/A</v>
      </c>
      <c r="T323" s="64" t="e">
        <f>VLOOKUP($B323,選擇權未平倉餘額!$A$4:$I$500,8,FALSE)</f>
        <v>#N/A</v>
      </c>
      <c r="U323" s="64" t="e">
        <f>VLOOKUP($B323,選擇權未平倉餘額!$A$4:$I$500,9,FALSE)</f>
        <v>#N/A</v>
      </c>
      <c r="V323" s="39" t="e">
        <f>VLOOKUP($B323,臺指選擇權P_C_Ratios!$A$4:$C$500,3,FALSE)</f>
        <v>#N/A</v>
      </c>
      <c r="W323" s="41" t="e">
        <f>VLOOKUP($B323,散戶多空比!$A$6:$L$500,12,FALSE)</f>
        <v>#N/A</v>
      </c>
      <c r="X323" s="40" t="e">
        <f>VLOOKUP($B323,期貨大額交易人未沖銷部位!$A$4:$O$499,4,FALSE)</f>
        <v>#N/A</v>
      </c>
      <c r="Y323" s="40" t="e">
        <f>VLOOKUP($B323,期貨大額交易人未沖銷部位!$A$4:$O$499,7,FALSE)</f>
        <v>#N/A</v>
      </c>
      <c r="Z323" s="40" t="e">
        <f>VLOOKUP($B323,期貨大額交易人未沖銷部位!$A$4:$O$499,10,FALSE)</f>
        <v>#N/A</v>
      </c>
      <c r="AA323" s="40" t="e">
        <f>VLOOKUP($B323,期貨大額交易人未沖銷部位!$A$4:$O$499,13,FALSE)</f>
        <v>#N/A</v>
      </c>
      <c r="AB323" s="40" t="e">
        <f>VLOOKUP($B323,期貨大額交易人未沖銷部位!$A$4:$O$499,14,FALSE)</f>
        <v>#N/A</v>
      </c>
      <c r="AC323" s="40" t="e">
        <f>VLOOKUP($B323,期貨大額交易人未沖銷部位!$A$4:$O$499,15,FALSE)</f>
        <v>#N/A</v>
      </c>
      <c r="AD323" s="33" t="e">
        <f>VLOOKUP($B323,三大美股走勢!$A$4:$J$495,4,FALSE)</f>
        <v>#N/A</v>
      </c>
      <c r="AE323" s="33" t="e">
        <f>VLOOKUP($B323,三大美股走勢!$A$4:$J$495,7,FALSE)</f>
        <v>#N/A</v>
      </c>
      <c r="AF323" s="33" t="e">
        <f>VLOOKUP($B323,三大美股走勢!$A$4:$J$495,10,FALSE)</f>
        <v>#N/A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10"/>
  <sheetViews>
    <sheetView workbookViewId="0">
      <pane ySplit="3" topLeftCell="A308" activePane="bottomLeft" state="frozen"/>
      <selection pane="bottomLeft" activeCell="H310" sqref="H310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2" t="s">
        <v>99</v>
      </c>
      <c r="C1" s="123"/>
      <c r="D1" s="123"/>
      <c r="E1" s="123"/>
      <c r="F1" s="123"/>
      <c r="G1" s="123"/>
      <c r="H1" s="123"/>
      <c r="I1" s="124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11"/>
  <sheetViews>
    <sheetView zoomScale="85" zoomScaleNormal="85" workbookViewId="0">
      <pane ySplit="3" topLeftCell="A304" activePane="bottomLeft" state="frozen"/>
      <selection pane="bottomLeft" activeCell="M311" sqref="M31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29" t="s">
        <v>51</v>
      </c>
      <c r="C1" s="104"/>
      <c r="D1" s="104"/>
      <c r="E1" s="137" t="s">
        <v>49</v>
      </c>
      <c r="F1" s="137" t="s">
        <v>50</v>
      </c>
      <c r="G1" s="133" t="s">
        <v>52</v>
      </c>
      <c r="H1" s="134"/>
      <c r="I1" s="134"/>
      <c r="J1" s="135"/>
      <c r="K1" s="136"/>
      <c r="L1" s="137" t="s">
        <v>53</v>
      </c>
      <c r="M1" s="137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8"/>
      <c r="F2" s="138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8"/>
      <c r="M2" s="138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0" t="s">
        <v>57</v>
      </c>
      <c r="C3" s="131"/>
      <c r="D3" s="131"/>
      <c r="E3" s="131"/>
      <c r="F3" s="131"/>
      <c r="G3" s="131"/>
      <c r="H3" s="131"/>
      <c r="I3" s="131"/>
      <c r="J3" s="132"/>
      <c r="K3" s="132"/>
      <c r="L3" s="132"/>
      <c r="M3" s="132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10"/>
  <sheetViews>
    <sheetView workbookViewId="0">
      <pane ySplit="3" topLeftCell="A303" activePane="bottomLeft" state="frozen"/>
      <selection pane="bottomLeft" activeCell="H313" sqref="H313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1" t="s">
        <v>40</v>
      </c>
      <c r="B2" s="139" t="s">
        <v>44</v>
      </c>
      <c r="C2" s="140"/>
      <c r="D2" s="140"/>
      <c r="E2" s="140"/>
      <c r="F2" s="140"/>
      <c r="G2" s="140"/>
      <c r="H2" s="140"/>
      <c r="I2" s="140"/>
    </row>
    <row r="3" spans="1:9">
      <c r="A3" s="131"/>
      <c r="B3" s="130" t="s">
        <v>41</v>
      </c>
      <c r="C3" s="131"/>
      <c r="D3" s="131"/>
      <c r="E3" s="131"/>
      <c r="F3" s="131"/>
      <c r="G3" s="131"/>
      <c r="H3" s="131"/>
      <c r="I3" s="131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10"/>
  <sheetViews>
    <sheetView workbookViewId="0">
      <pane ySplit="3" topLeftCell="A303" activePane="bottomLeft" state="frozen"/>
      <selection pane="bottomLeft" activeCell="C314" sqref="C314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1" t="s">
        <v>40</v>
      </c>
      <c r="B2" s="141"/>
      <c r="C2" s="131"/>
      <c r="D2" s="131"/>
    </row>
    <row r="3" spans="1:4" ht="16.2">
      <c r="A3" s="131"/>
      <c r="B3" s="141" t="s">
        <v>151</v>
      </c>
      <c r="C3" s="131"/>
      <c r="D3" s="131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10"/>
  <sheetViews>
    <sheetView zoomScale="85" zoomScaleNormal="85" workbookViewId="0">
      <pane ySplit="3" topLeftCell="A308" activePane="bottomLeft" state="frozen"/>
      <selection pane="bottomLeft" activeCell="F320" sqref="F320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2" t="s">
        <v>66</v>
      </c>
      <c r="C1" s="112"/>
      <c r="D1" s="112"/>
      <c r="E1" s="112"/>
      <c r="F1" s="142" t="s">
        <v>91</v>
      </c>
      <c r="G1" s="143"/>
      <c r="H1" s="143"/>
      <c r="I1" s="143"/>
    </row>
    <row r="2" spans="1:9" s="1" customFormat="1" ht="31.2">
      <c r="A2" s="15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43"/>
      <c r="G2" s="143"/>
      <c r="H2" s="143"/>
      <c r="I2" s="143"/>
    </row>
    <row r="3" spans="1:9">
      <c r="A3" s="15" t="s">
        <v>40</v>
      </c>
      <c r="B3" s="130" t="s">
        <v>71</v>
      </c>
      <c r="C3" s="131"/>
      <c r="D3" s="131"/>
      <c r="E3" s="13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12"/>
  <sheetViews>
    <sheetView zoomScale="85" zoomScaleNormal="85" workbookViewId="0">
      <pane xSplit="1" ySplit="4" topLeftCell="B306" activePane="bottomRight" state="frozen"/>
      <selection pane="topRight" activeCell="B1" sqref="B1"/>
      <selection pane="bottomLeft" activeCell="A5" sqref="A5"/>
      <selection pane="bottomRight" activeCell="J322" sqref="J322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7" t="s">
        <v>59</v>
      </c>
      <c r="C1" s="144" t="s">
        <v>60</v>
      </c>
      <c r="D1" s="108"/>
      <c r="E1" s="108"/>
      <c r="F1" s="77"/>
      <c r="G1" s="80"/>
      <c r="H1" s="145" t="s">
        <v>63</v>
      </c>
      <c r="I1" s="146"/>
      <c r="J1" s="146"/>
      <c r="K1" s="17"/>
      <c r="L1" s="149" t="s">
        <v>65</v>
      </c>
    </row>
    <row r="2" spans="1:12" s="1" customFormat="1">
      <c r="A2" s="15"/>
      <c r="B2" s="148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0"/>
    </row>
    <row r="3" spans="1:12">
      <c r="A3" s="15" t="s">
        <v>40</v>
      </c>
      <c r="B3" s="151" t="s">
        <v>101</v>
      </c>
      <c r="C3" s="152"/>
      <c r="D3" s="152"/>
      <c r="E3" s="152"/>
      <c r="F3" s="152"/>
      <c r="G3" s="152"/>
      <c r="H3" s="152"/>
      <c r="I3" s="152"/>
      <c r="J3" s="152"/>
      <c r="K3" s="152"/>
      <c r="L3" s="153"/>
    </row>
    <row r="4" spans="1:12">
      <c r="A4" s="15" t="s">
        <v>40</v>
      </c>
      <c r="B4" s="151" t="s">
        <v>57</v>
      </c>
      <c r="C4" s="152"/>
      <c r="D4" s="152"/>
      <c r="E4" s="152"/>
      <c r="F4" s="152"/>
      <c r="G4" s="152"/>
      <c r="H4" s="152"/>
      <c r="I4" s="152"/>
      <c r="J4" s="152"/>
      <c r="K4" s="152"/>
      <c r="L4" s="153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10"/>
  <sheetViews>
    <sheetView zoomScale="85" zoomScaleNormal="85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H310" sqref="H310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4" t="s">
        <v>72</v>
      </c>
      <c r="C1" s="155"/>
    </row>
    <row r="2" spans="1:3" s="1" customFormat="1">
      <c r="A2" s="15" t="s">
        <v>1</v>
      </c>
      <c r="B2" s="154" t="s">
        <v>73</v>
      </c>
      <c r="C2" s="155"/>
    </row>
    <row r="3" spans="1:3">
      <c r="A3" s="15" t="s">
        <v>40</v>
      </c>
      <c r="B3" s="130" t="s">
        <v>74</v>
      </c>
      <c r="C3" s="131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2017-12-19T14:48:51Z</dcterms:modified>
</cp:coreProperties>
</file>