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3" i="18" l="1"/>
  <c r="G303" i="18"/>
  <c r="J303" i="18"/>
  <c r="M303" i="18"/>
  <c r="C303" i="17"/>
  <c r="F305" i="15"/>
  <c r="K305" i="15"/>
  <c r="F303" i="16"/>
  <c r="G303" i="16"/>
  <c r="H303" i="16"/>
  <c r="I303" i="16"/>
  <c r="I304" i="14"/>
  <c r="D304" i="14"/>
  <c r="C303" i="12"/>
  <c r="E303" i="12"/>
  <c r="G303" i="12"/>
  <c r="I303" i="12"/>
  <c r="N303" i="18" l="1"/>
  <c r="O303" i="18"/>
  <c r="L305" i="15"/>
  <c r="M300" i="18"/>
  <c r="O300" i="18" s="1"/>
  <c r="N300" i="18"/>
  <c r="M301" i="18"/>
  <c r="O301" i="18" s="1"/>
  <c r="N301" i="18"/>
  <c r="M302" i="18"/>
  <c r="N302" i="18"/>
  <c r="O302" i="18"/>
  <c r="J300" i="18"/>
  <c r="J301" i="18"/>
  <c r="J302" i="18"/>
  <c r="G300" i="18"/>
  <c r="G301" i="18"/>
  <c r="G302" i="18"/>
  <c r="D300" i="18"/>
  <c r="D301" i="18"/>
  <c r="D302" i="18"/>
  <c r="C302" i="17"/>
  <c r="F304" i="15"/>
  <c r="K304" i="15"/>
  <c r="F302" i="16"/>
  <c r="G302" i="16"/>
  <c r="H302" i="16"/>
  <c r="I302" i="16"/>
  <c r="K303" i="14"/>
  <c r="J304" i="14"/>
  <c r="K304" i="14"/>
  <c r="J303" i="14"/>
  <c r="I303" i="14"/>
  <c r="D303" i="14"/>
  <c r="C300" i="12"/>
  <c r="E300" i="12"/>
  <c r="G300" i="12"/>
  <c r="I300" i="12"/>
  <c r="C301" i="12"/>
  <c r="E301" i="12"/>
  <c r="G301" i="12"/>
  <c r="I301" i="12"/>
  <c r="C302" i="12"/>
  <c r="E302" i="12"/>
  <c r="G302" i="12"/>
  <c r="I302" i="12"/>
  <c r="L304" i="15" l="1"/>
  <c r="D299" i="18"/>
  <c r="G299" i="18"/>
  <c r="J299" i="18"/>
  <c r="M299" i="18"/>
  <c r="O299" i="18" s="1"/>
  <c r="C299" i="17"/>
  <c r="F301" i="15"/>
  <c r="K301" i="15"/>
  <c r="F299" i="16"/>
  <c r="G299" i="16"/>
  <c r="H299" i="16"/>
  <c r="I299" i="16"/>
  <c r="D300" i="14"/>
  <c r="I300" i="14"/>
  <c r="J300" i="14" s="1"/>
  <c r="C299" i="12"/>
  <c r="E299" i="12"/>
  <c r="G299" i="12"/>
  <c r="I299" i="12"/>
  <c r="N299" i="18" l="1"/>
  <c r="L301" i="15"/>
  <c r="K300" i="14"/>
  <c r="D298" i="18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<sst xmlns="http://schemas.openxmlformats.org/spreadsheetml/2006/main" count="270" uniqueCount="191">
  <si>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</si>
  <si>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</si>
  <si>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</si>
  <si>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</si>
  <si>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</si>
  <si>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</si>
  <si>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</si>
  <si>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</si>
  <si>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</si>
  <si>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</si>
  <si>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</si>
  <si>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</si>
  <si>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</si>
  <si>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</si>
  <si>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</si>
  <si>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</si>
  <si>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</si>
  <si>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</si>
  <si>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</si>
  <si>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</si>
  <si>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</si>
  <si>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</si>
  <si>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</si>
  <si>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</si>
  <si>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</si>
  <si>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</si>
  <si>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</si>
  <si>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</si>
  <si>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</si>
  <si>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</si>
  <si>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</si>
  <si>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</si>
  <si>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</si>
  <si>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</si>
  <si>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</si>
  <si>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</si>
  <si>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</si>
  <si>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</si>
  <si>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</si>
  <si>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</si>
  <si>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</si>
  <si>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</si>
  <si>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</si>
  <si>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</si>
  <si>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</si>
  <si>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</si>
  <si>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</si>
  <si>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</si>
  <si>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</si>
  <si>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</si>
  <si>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</si>
  <si>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</si>
  <si>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</si>
  <si>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</si>
  <si>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</si>
  <si>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</si>
  <si>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</si>
  <si>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</si>
  <si>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</si>
  <si>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</si>
  <si>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</si>
  <si>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</si>
  <si>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</si>
  <si>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</si>
  <si>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</si>
  <si>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</si>
  <si>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</si>
  <si>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</si>
  <si>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</si>
  <si>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</si>
  <si>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</si>
  <si>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</si>
  <si>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</si>
  <si>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</si>
  <si>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</si>
  <si>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</si>
  <si>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</si>
  <si>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</si>
  <si>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</si>
  <si>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</si>
  <si>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</si>
  <si>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</si>
  <si>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</si>
  <si>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</si>
  <si>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</si>
  <si>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</si>
  <si>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</si>
  <si>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</si>
  <si>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</si>
  <si>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</si>
  <si>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</si>
  <si>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</si>
  <si>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</si>
  <si>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</si>
  <si>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</si>
  <si>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</si>
  <si>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</si>
  <si>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</si>
  <si>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</si>
  <si>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</si>
  <si>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</si>
  <si>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</si>
  <si>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</si>
  <si>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</si>
  <si>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</si>
  <si>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</si>
  <si>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</si>
  <si>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</si>
  <si>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</si>
  <si>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</si>
  <si>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</si>
  <si>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</si>
  <si>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</si>
  <si>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</si>
  <si>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</si>
  <si>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</si>
  <si>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</si>
  <si>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</si>
  <si>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</si>
  <si>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</si>
  <si>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</si>
  <si>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</si>
  <si>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</si>
  <si>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</si>
  <si>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</si>
  <si>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</si>
  <si>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</si>
  <si>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</si>
  <si>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</si>
  <si>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</si>
  <si>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</si>
  <si>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</si>
  <si>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</si>
  <si>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</si>
  <si>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</si>
  <si>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</si>
  <si>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</si>
  <si>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</si>
  <si>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</si>
  <si>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</si>
  <si>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</si>
  <si>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</si>
  <si>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</si>
  <si>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</si>
  <si>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</si>
  <si>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</si>
  <si>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</si>
  <si>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</si>
  <si>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</si>
  <si>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</si>
  <si>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</si>
  <si>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</si>
  <si>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</si>
  <si>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</si>
  <si>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</si>
  <si>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</si>
  <si>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</si>
  <si>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</si>
  <si>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</si>
  <si>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</si>
  <si>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</si>
  <si>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</si>
  <si>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</si>
  <si>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</si>
  <si>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</si>
  <si>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</si>
  <si>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</si>
  <si>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</si>
  <si>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</si>
  <si>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</si>
  <si>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</si>
  <si>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</si>
  <si>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</si>
  <si>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</si>
  <si>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</si>
  <si>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</si>
  <si>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</si>
  <si>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</si>
  <si>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</si>
  <si>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</si>
  <si>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</si>
  <si>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</si>
  <si>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</si>
  <si>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</si>
  <si>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</si>
  <si>
    <t>1298.22億</t>
  </si>
  <si>
    <t>5230口</t>
  </si>
  <si>
    <t>1167.56億</t>
  </si>
  <si>
    <t>3307口</t>
  </si>
  <si>
    <t>1062.72億</t>
  </si>
  <si>
    <t>3777口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</si>
</sst>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395706369"/>
  <ax:ocxPr ax:name="CurrentDate" ax:value="4308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17" sqref="E17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43081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10443.280000000001</v>
      </c>
      <c r="D7" s="37">
        <f>VLOOKUP($B$6,資料整合一覽!$B$3:$AF$500,3,FALSE)</f>
        <v>-29.81</v>
      </c>
      <c r="E7" s="38">
        <f>VLOOKUP($B$6,資料整合一覽!$B$3:$AF$500,4,FALSE)</f>
        <v>-2.8E-3</v>
      </c>
      <c r="F7" s="36" t="str">
        <f>VLOOKUP($B$6,資料整合一覽!$B$3:$AF$500,5,FALSE)</f>
        <v>1062.72億</v>
      </c>
      <c r="G7" s="39">
        <f>VLOOKUP($B$6,資料整合一覽!$B$3:$AF$500,6,FALSE)</f>
        <v>-7.6101281800000002</v>
      </c>
      <c r="H7" s="37">
        <f>VLOOKUP($B$6,資料整合一覽!$B$3:$AF$500,7,FALSE)</f>
        <v>-7.2088428899999997</v>
      </c>
      <c r="I7" s="37">
        <f>VLOOKUP($B$6,資料整合一覽!$B$3:$AF$500,8,FALSE)</f>
        <v>4.9738582999999998</v>
      </c>
      <c r="J7" s="37">
        <f>VLOOKUP($B$6,資料整合一覽!$B$3:$AF$500,9,FALSE)</f>
        <v>-49.109902230000003</v>
      </c>
      <c r="K7" s="40">
        <f>VLOOKUP($B$6,資料整合一覽!$B$3:$AF$500,10,FALSE)</f>
        <v>30.018000000000001</v>
      </c>
      <c r="L7" s="41">
        <f>VLOOKUP($B$6,資料整合一覽!$B$3:$AF$500,11,FALSE)</f>
        <v>0</v>
      </c>
      <c r="M7" s="42">
        <f>VLOOKUP($B$6,資料整合一覽!$B$3:$AF$500,12,FALSE)</f>
        <v>0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-6565.5</v>
      </c>
      <c r="D11" s="29">
        <f>VLOOKUP($B$6,資料整合一覽!$B$3:$AF$500,14,FALSE)</f>
        <v>38929</v>
      </c>
      <c r="E11" s="67">
        <f>VLOOKUP($B$6,資料整合一覽!$B$3:$AF$500,17,FALSE)</f>
        <v>1.036</v>
      </c>
      <c r="F11" s="67">
        <f>VLOOKUP($B$6,資料整合一覽!$B$3:$AF$500,18,FALSE)</f>
        <v>-33.215800000000002</v>
      </c>
      <c r="G11" s="67">
        <f>VLOOKUP($B$6,資料整合一覽!$B$3:$AF$500,19,FALSE)</f>
        <v>17.305299999999999</v>
      </c>
      <c r="H11" s="67">
        <f>VLOOKUP($B$6,資料整合一覽!$B$3:$AF$500,20,FALSE)</f>
        <v>92.056700000000006</v>
      </c>
      <c r="I11" s="42">
        <f>VLOOKUP($B$6,資料整合一覽!$B$3:$AF$500,21,FALSE)</f>
        <v>1.2666999999999999</v>
      </c>
      <c r="J11" s="44">
        <f>VLOOKUP($B$6,資料整合一覽!$B$3:$AF$500,22,FALSE)</f>
        <v>0.31843850750559582</v>
      </c>
      <c r="K11" s="38" t="e">
        <f>VLOOKUP($B$6,資料整合一覽!$B$3:$AF$500,29,FALSE)</f>
        <v>#N/A</v>
      </c>
      <c r="L11" s="38" t="e">
        <f>VLOOKUP($B$6,資料整合一覽!$B$3:$AF$500,30,FALSE)</f>
        <v>#N/A</v>
      </c>
      <c r="M11" s="38" t="e">
        <f>VLOOKUP($B$6,資料整合一覽!$B$3:$AF$500,31,FALSE)</f>
        <v>#N/A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303"/>
  <sheetViews>
    <sheetView zoomScale="80" zoomScaleNormal="80" workbookViewId="0">
      <pane ySplit="3" topLeftCell="A292" activePane="bottomLeft" state="frozen"/>
      <selection pane="bottomLeft" activeCell="J314" sqref="J314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7">
        <f t="shared" ref="D297" si="204">B297-C297</f>
        <v>-5499</v>
      </c>
      <c r="E297" s="10">
        <v>60046</v>
      </c>
      <c r="F297" s="10">
        <v>55877</v>
      </c>
      <c r="G297" s="28">
        <f t="shared" ref="G297" si="205">E297-F297</f>
        <v>4169</v>
      </c>
      <c r="H297" s="10">
        <v>43338</v>
      </c>
      <c r="I297" s="10">
        <v>47822</v>
      </c>
      <c r="J297" s="27">
        <f t="shared" ref="J297" si="206">H297-I297</f>
        <v>-4484</v>
      </c>
      <c r="K297" s="10">
        <v>62676</v>
      </c>
      <c r="L297" s="10">
        <v>60525</v>
      </c>
      <c r="M297" s="28">
        <f t="shared" ref="M297" si="207">K297-L297</f>
        <v>2151</v>
      </c>
      <c r="N297" s="27">
        <f t="shared" ref="N297" si="208">J297-D297</f>
        <v>1015</v>
      </c>
      <c r="O297" s="28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7">
        <f t="shared" ref="D298" si="210">B298-C298</f>
        <v>-4394</v>
      </c>
      <c r="E298" s="10">
        <v>60499</v>
      </c>
      <c r="F298" s="10">
        <v>56211</v>
      </c>
      <c r="G298" s="28">
        <f t="shared" ref="G298" si="211">E298-F298</f>
        <v>4288</v>
      </c>
      <c r="H298" s="10">
        <v>45330</v>
      </c>
      <c r="I298" s="10">
        <v>48782</v>
      </c>
      <c r="J298" s="27">
        <f t="shared" ref="J298" si="212">H298-I298</f>
        <v>-3452</v>
      </c>
      <c r="K298" s="10">
        <v>63585</v>
      </c>
      <c r="L298" s="10">
        <v>61057</v>
      </c>
      <c r="M298" s="28">
        <f t="shared" ref="M298" si="213">K298-L298</f>
        <v>2528</v>
      </c>
      <c r="N298" s="27">
        <f t="shared" ref="N298" si="214">J298-D298</f>
        <v>942</v>
      </c>
      <c r="O298" s="28">
        <f t="shared" ref="O298" si="215">M298-G298</f>
        <v>-1760</v>
      </c>
    </row>
    <row r="299" spans="1:15">
      <c r="A299" s="9">
        <v>43077</v>
      </c>
      <c r="B299" s="10">
        <v>41524</v>
      </c>
      <c r="C299" s="10">
        <v>47222</v>
      </c>
      <c r="D299" s="27">
        <f t="shared" ref="D299:D302" si="216">B299-C299</f>
        <v>-5698</v>
      </c>
      <c r="E299" s="10">
        <v>58019</v>
      </c>
      <c r="F299" s="10">
        <v>57017</v>
      </c>
      <c r="G299" s="28">
        <f t="shared" ref="G299:G302" si="217">E299-F299</f>
        <v>1002</v>
      </c>
      <c r="H299" s="10">
        <v>44985</v>
      </c>
      <c r="I299" s="10">
        <v>48489</v>
      </c>
      <c r="J299" s="27">
        <f t="shared" ref="J299:J302" si="218">H299-I299</f>
        <v>-3504</v>
      </c>
      <c r="K299" s="10">
        <v>62050</v>
      </c>
      <c r="L299" s="10">
        <v>61329</v>
      </c>
      <c r="M299" s="28">
        <f t="shared" ref="M299" si="219">K299-L299</f>
        <v>721</v>
      </c>
      <c r="N299" s="27">
        <f t="shared" ref="N299" si="220">J299-D299</f>
        <v>2194</v>
      </c>
      <c r="O299" s="28">
        <f t="shared" ref="O299" si="221">M299-G299</f>
        <v>-281</v>
      </c>
    </row>
    <row r="300" spans="1:15">
      <c r="A300" s="9">
        <v>43078</v>
      </c>
      <c r="B300" s="10"/>
      <c r="C300" s="10"/>
      <c r="D300" s="27">
        <f t="shared" si="216"/>
        <v>0</v>
      </c>
      <c r="E300" s="10"/>
      <c r="F300" s="10"/>
      <c r="G300" s="28">
        <f t="shared" si="217"/>
        <v>0</v>
      </c>
      <c r="H300" s="10"/>
      <c r="I300" s="10"/>
      <c r="J300" s="27">
        <f t="shared" si="218"/>
        <v>0</v>
      </c>
      <c r="K300" s="10"/>
      <c r="L300" s="10"/>
      <c r="M300" s="28">
        <f t="shared" ref="M300:M302" si="222">K300-L300</f>
        <v>0</v>
      </c>
      <c r="N300" s="27">
        <f t="shared" ref="N300:N302" si="223">J300-D300</f>
        <v>0</v>
      </c>
      <c r="O300" s="28">
        <f t="shared" ref="O300:O302" si="224">M300-G300</f>
        <v>0</v>
      </c>
    </row>
    <row r="301" spans="1:15">
      <c r="A301" s="9">
        <v>43079</v>
      </c>
      <c r="B301" s="10"/>
      <c r="C301" s="10"/>
      <c r="D301" s="27">
        <f t="shared" si="216"/>
        <v>0</v>
      </c>
      <c r="E301" s="10"/>
      <c r="F301" s="10"/>
      <c r="G301" s="28">
        <f t="shared" si="217"/>
        <v>0</v>
      </c>
      <c r="H301" s="10"/>
      <c r="I301" s="10"/>
      <c r="J301" s="27">
        <f t="shared" si="218"/>
        <v>0</v>
      </c>
      <c r="K301" s="10"/>
      <c r="L301" s="10"/>
      <c r="M301" s="28">
        <f t="shared" si="222"/>
        <v>0</v>
      </c>
      <c r="N301" s="27">
        <f t="shared" si="223"/>
        <v>0</v>
      </c>
      <c r="O301" s="28">
        <f t="shared" si="224"/>
        <v>0</v>
      </c>
    </row>
    <row r="302" spans="1:15">
      <c r="A302" s="9">
        <v>43080</v>
      </c>
      <c r="B302" s="10">
        <v>39719</v>
      </c>
      <c r="C302" s="10">
        <v>45576</v>
      </c>
      <c r="D302" s="27">
        <f t="shared" si="216"/>
        <v>-5857</v>
      </c>
      <c r="E302" s="10">
        <v>55335</v>
      </c>
      <c r="F302" s="10">
        <v>54329</v>
      </c>
      <c r="G302" s="28">
        <f t="shared" si="217"/>
        <v>1006</v>
      </c>
      <c r="H302" s="10">
        <v>43550</v>
      </c>
      <c r="I302" s="10">
        <v>47145</v>
      </c>
      <c r="J302" s="27">
        <f t="shared" si="218"/>
        <v>-3595</v>
      </c>
      <c r="K302" s="10">
        <v>59696</v>
      </c>
      <c r="L302" s="10">
        <v>60094</v>
      </c>
      <c r="M302" s="28">
        <f t="shared" si="222"/>
        <v>-398</v>
      </c>
      <c r="N302" s="27">
        <f t="shared" si="223"/>
        <v>2262</v>
      </c>
      <c r="O302" s="28">
        <f t="shared" si="224"/>
        <v>-1404</v>
      </c>
    </row>
    <row r="303" spans="1:15">
      <c r="A303" s="9">
        <v>43081</v>
      </c>
      <c r="B303" s="10">
        <v>40077</v>
      </c>
      <c r="C303" s="10">
        <v>44585</v>
      </c>
      <c r="D303" s="27">
        <f t="shared" ref="D303" si="225">B303-C303</f>
        <v>-4508</v>
      </c>
      <c r="E303" s="10">
        <v>55029</v>
      </c>
      <c r="F303" s="10">
        <v>54034</v>
      </c>
      <c r="G303" s="28">
        <f t="shared" ref="G303" si="226">E303-F303</f>
        <v>995</v>
      </c>
      <c r="H303" s="10">
        <v>44175</v>
      </c>
      <c r="I303" s="10">
        <v>46402</v>
      </c>
      <c r="J303" s="27">
        <f t="shared" ref="J303" si="227">H303-I303</f>
        <v>-2227</v>
      </c>
      <c r="K303" s="10">
        <v>60366</v>
      </c>
      <c r="L303" s="10">
        <v>59148</v>
      </c>
      <c r="M303" s="28">
        <f t="shared" ref="M303" si="228">K303-L303</f>
        <v>1218</v>
      </c>
      <c r="N303" s="27">
        <f t="shared" ref="N303" si="229">J303-D303</f>
        <v>2281</v>
      </c>
      <c r="O303" s="28">
        <f t="shared" ref="O303" si="230">M303-G303</f>
        <v>223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302"/>
  <sheetViews>
    <sheetView zoomScaleNormal="100" workbookViewId="0">
      <pane ySplit="3" topLeftCell="A294" activePane="bottomLeft" state="frozen"/>
      <selection pane="bottomLeft" activeCell="G308" sqref="G308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>
        <v>24180.639999999999</v>
      </c>
      <c r="C296" s="29">
        <v>-109.41</v>
      </c>
      <c r="D296" s="94">
        <v>-4.4999999999999997E-3</v>
      </c>
      <c r="E296" s="92">
        <v>6762.2150000000001</v>
      </c>
      <c r="F296" s="29">
        <v>-13.15</v>
      </c>
      <c r="G296" s="94">
        <v>-1.9E-3</v>
      </c>
      <c r="H296" s="92">
        <v>1228.51</v>
      </c>
      <c r="I296" s="29">
        <v>0.66</v>
      </c>
      <c r="J296" s="94">
        <v>5.0000000000000001E-4</v>
      </c>
    </row>
    <row r="297" spans="1:10">
      <c r="A297" s="95">
        <v>43075</v>
      </c>
      <c r="B297" s="92">
        <v>24140.91</v>
      </c>
      <c r="C297" s="29">
        <v>-39.729999999999997</v>
      </c>
      <c r="D297" s="94">
        <v>-1.6000000000000001E-3</v>
      </c>
      <c r="E297" s="92">
        <v>6776.38</v>
      </c>
      <c r="F297" s="29">
        <v>14.16</v>
      </c>
      <c r="G297" s="94">
        <v>2.0999999999999999E-3</v>
      </c>
      <c r="H297" s="92">
        <v>1230.47</v>
      </c>
      <c r="I297" s="29">
        <v>1.95</v>
      </c>
      <c r="J297" s="94">
        <v>1.6000000000000001E-3</v>
      </c>
    </row>
    <row r="298" spans="1:10">
      <c r="A298" s="95">
        <v>43076</v>
      </c>
      <c r="B298" s="92">
        <v>24211.48</v>
      </c>
      <c r="C298" s="29">
        <v>70.569999999999993</v>
      </c>
      <c r="D298" s="94">
        <v>2.8999999999999998E-3</v>
      </c>
      <c r="E298" s="92">
        <v>6812.84</v>
      </c>
      <c r="F298" s="29">
        <v>36.47</v>
      </c>
      <c r="G298" s="94">
        <v>5.4000000000000003E-3</v>
      </c>
      <c r="H298" s="92">
        <v>1245.08</v>
      </c>
      <c r="I298" s="29">
        <v>12.81</v>
      </c>
      <c r="J298" s="94">
        <v>1.04E-2</v>
      </c>
    </row>
    <row r="299" spans="1:10">
      <c r="A299" s="95">
        <v>43077</v>
      </c>
      <c r="B299" s="92">
        <v>24329.16</v>
      </c>
      <c r="C299" s="29">
        <v>117.68</v>
      </c>
      <c r="D299" s="94">
        <v>4.8999999999999998E-3</v>
      </c>
      <c r="E299" s="92">
        <v>6840.08</v>
      </c>
      <c r="F299" s="29">
        <v>27.24</v>
      </c>
      <c r="G299" s="94">
        <v>4.0000000000000001E-3</v>
      </c>
      <c r="H299" s="92">
        <v>1238.24</v>
      </c>
      <c r="I299" s="29">
        <v>-6.27</v>
      </c>
      <c r="J299" s="94">
        <v>-5.0000000000000001E-3</v>
      </c>
    </row>
    <row r="300" spans="1:10">
      <c r="A300" s="95">
        <v>43078</v>
      </c>
      <c r="B300" s="92"/>
      <c r="C300" s="29"/>
      <c r="D300" s="94"/>
      <c r="E300" s="92"/>
      <c r="F300" s="29"/>
      <c r="G300" s="94"/>
      <c r="H300" s="92"/>
      <c r="I300" s="29"/>
      <c r="J300" s="94"/>
    </row>
    <row r="301" spans="1:10">
      <c r="A301" s="95">
        <v>43079</v>
      </c>
      <c r="B301" s="92"/>
      <c r="C301" s="29"/>
      <c r="D301" s="94"/>
      <c r="E301" s="92"/>
      <c r="F301" s="29"/>
      <c r="G301" s="94"/>
      <c r="H301" s="92"/>
      <c r="I301" s="29"/>
      <c r="J301" s="94"/>
    </row>
    <row r="302" spans="1:10">
      <c r="A302" s="95">
        <v>43080</v>
      </c>
      <c r="B302" s="92">
        <v>24386.03</v>
      </c>
      <c r="C302" s="29">
        <v>56.87</v>
      </c>
      <c r="D302" s="94">
        <v>2.3E-3</v>
      </c>
      <c r="E302" s="92">
        <v>6875.08</v>
      </c>
      <c r="F302" s="29">
        <v>35</v>
      </c>
      <c r="G302" s="94">
        <v>5.1000000000000004E-3</v>
      </c>
      <c r="H302" s="92">
        <v>1245.58</v>
      </c>
      <c r="I302" s="29">
        <v>7.33</v>
      </c>
      <c r="J302" s="94">
        <v>5.8999999999999999E-3</v>
      </c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83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>
        <f>VLOOKUP($B292,選擇權未平倉餘額!$A$4:$I$500,6,FALSE)</f>
        <v>0</v>
      </c>
      <c r="S292" s="67">
        <f>VLOOKUP($B292,選擇權未平倉餘額!$A$4:$I$500,7,FALSE)</f>
        <v>0</v>
      </c>
      <c r="T292" s="67">
        <f>VLOOKUP($B292,選擇權未平倉餘額!$A$4:$I$500,8,FALSE)</f>
        <v>0</v>
      </c>
      <c r="U292" s="67">
        <f>VLOOKUP($B292,選擇權未平倉餘額!$A$4:$I$500,9,FALSE)</f>
        <v>0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>
        <f>VLOOKUP($B293,選擇權未平倉餘額!$A$4:$I$500,6,FALSE)</f>
        <v>0</v>
      </c>
      <c r="S293" s="67">
        <f>VLOOKUP($B293,選擇權未平倉餘額!$A$4:$I$500,7,FALSE)</f>
        <v>0</v>
      </c>
      <c r="T293" s="67">
        <f>VLOOKUP($B293,選擇權未平倉餘額!$A$4:$I$500,8,FALSE)</f>
        <v>0</v>
      </c>
      <c r="U293" s="67">
        <f>VLOOKUP($B293,選擇權未平倉餘額!$A$4:$I$500,9,FALSE)</f>
        <v>0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93.379000000000005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-4.4999999999999997E-3</v>
      </c>
      <c r="AE295" s="36">
        <f>VLOOKUP($B295,三大美股走勢!$A$4:$J$495,7,FALSE)</f>
        <v>-1.9E-3</v>
      </c>
      <c r="AF295" s="36">
        <f>VLOOKUP($B295,三大美股走勢!$A$4:$J$495,10,FALSE)</f>
        <v>5.0000000000000001E-4</v>
      </c>
    </row>
    <row r="296" spans="2:32">
      <c r="B296" s="35">
        <v>43075</v>
      </c>
      <c r="C296" s="36">
        <f>VLOOKUP($B296,大盤與近月台指!$A$4:$I$499,2,FALSE)</f>
        <v>10393.92</v>
      </c>
      <c r="D296" s="37">
        <f>VLOOKUP($B296,大盤與近月台指!$A$4:$I$499,3,FALSE)</f>
        <v>-172.93</v>
      </c>
      <c r="E296" s="38">
        <f>VLOOKUP($B296,大盤與近月台指!$A$4:$I$499,4,FALSE)</f>
        <v>-1.6400000000000001E-2</v>
      </c>
      <c r="F296" s="36" t="str">
        <f>VLOOKUP($B296,大盤與近月台指!$A$4:$I$499,5,FALSE)</f>
        <v>1598.27億</v>
      </c>
      <c r="G296" s="52">
        <f>VLOOKUP($B296,三大法人買賣超!$A$4:$I$500,3,FALSE)</f>
        <v>-6.0149147699999999</v>
      </c>
      <c r="H296" s="37">
        <f>VLOOKUP($B296,三大法人買賣超!$A$4:$I$500,5,FALSE)</f>
        <v>-26.35390306</v>
      </c>
      <c r="I296" s="29">
        <f>VLOOKUP($B296,三大法人買賣超!$A$4:$I$500,7,FALSE)</f>
        <v>-4.9016878400000001</v>
      </c>
      <c r="J296" s="29">
        <f>VLOOKUP($B296,三大法人買賣超!$A$4:$I$500,9,FALSE)</f>
        <v>-110.3770751</v>
      </c>
      <c r="K296" s="40">
        <f>新台幣匯率美元指數!B297</f>
        <v>30.01</v>
      </c>
      <c r="L296" s="41">
        <f>新台幣匯率美元指數!C297</f>
        <v>1.7000000000000001E-2</v>
      </c>
      <c r="M296" s="42">
        <f>新台幣匯率美元指數!D297</f>
        <v>93.61</v>
      </c>
      <c r="N296" s="29">
        <f>VLOOKUP($B296,期貨未平倉口數!$A$4:$M$499,4,FALSE)</f>
        <v>-7789.5</v>
      </c>
      <c r="O296" s="29">
        <f>VLOOKUP($B296,期貨未平倉口數!$A$4:$M$499,9,FALSE)</f>
        <v>39426.5</v>
      </c>
      <c r="P296" s="29">
        <f>VLOOKUP($B296,期貨未平倉口數!$A$4:$M$499,10,FALSE)</f>
        <v>640</v>
      </c>
      <c r="Q296" s="29">
        <f>VLOOKUP($B296,期貨未平倉口數!$A$4:$M$499,11,FALSE)</f>
        <v>-1189.5</v>
      </c>
      <c r="R296" s="67">
        <f>VLOOKUP($B296,選擇權未平倉餘額!$A$4:$I$500,6,FALSE)</f>
        <v>-3.8473000000000002</v>
      </c>
      <c r="S296" s="67">
        <f>VLOOKUP($B296,選擇權未平倉餘額!$A$4:$I$500,7,FALSE)</f>
        <v>-33.608899999999998</v>
      </c>
      <c r="T296" s="67">
        <f>VLOOKUP($B296,選擇權未平倉餘額!$A$4:$I$500,8,FALSE)</f>
        <v>18.3935</v>
      </c>
      <c r="U296" s="67">
        <f>VLOOKUP($B296,選擇權未平倉餘額!$A$4:$I$500,9,FALSE)</f>
        <v>136.5658</v>
      </c>
      <c r="V296" s="42">
        <f>VLOOKUP($B296,臺指選擇權P_C_Ratios!$A$4:$C$500,3,FALSE)</f>
        <v>1.3182</v>
      </c>
      <c r="W296" s="44">
        <f>VLOOKUP($B296,散戶多空比!$A$6:$L$500,12,FALSE)</f>
        <v>0.37888626341935366</v>
      </c>
      <c r="X296" s="43">
        <f>VLOOKUP($B296,期貨大額交易人未沖銷部位!$A$4:$O$499,4,FALSE)</f>
        <v>-5499</v>
      </c>
      <c r="Y296" s="43">
        <f>VLOOKUP($B296,期貨大額交易人未沖銷部位!$A$4:$O$499,7,FALSE)</f>
        <v>4169</v>
      </c>
      <c r="Z296" s="43">
        <f>VLOOKUP($B296,期貨大額交易人未沖銷部位!$A$4:$O$499,10,FALSE)</f>
        <v>-4484</v>
      </c>
      <c r="AA296" s="43">
        <f>VLOOKUP($B296,期貨大額交易人未沖銷部位!$A$4:$O$499,13,FALSE)</f>
        <v>2151</v>
      </c>
      <c r="AB296" s="43">
        <f>VLOOKUP($B296,期貨大額交易人未沖銷部位!$A$4:$O$499,14,FALSE)</f>
        <v>1015</v>
      </c>
      <c r="AC296" s="43">
        <f>VLOOKUP($B296,期貨大額交易人未沖銷部位!$A$4:$O$499,15,FALSE)</f>
        <v>-2018</v>
      </c>
      <c r="AD296" s="36">
        <f>VLOOKUP($B296,三大美股走勢!$A$4:$J$495,4,FALSE)</f>
        <v>-1.6000000000000001E-3</v>
      </c>
      <c r="AE296" s="36">
        <f>VLOOKUP($B296,三大美股走勢!$A$4:$J$495,7,FALSE)</f>
        <v>2.0999999999999999E-3</v>
      </c>
      <c r="AF296" s="36">
        <f>VLOOKUP($B296,三大美股走勢!$A$4:$J$495,10,FALSE)</f>
        <v>1.6000000000000001E-3</v>
      </c>
    </row>
    <row r="297" spans="2:32">
      <c r="B297" s="35">
        <v>43076</v>
      </c>
      <c r="C297" s="36">
        <f>VLOOKUP($B297,大盤與近月台指!$A$4:$I$499,2,FALSE)</f>
        <v>10355.76</v>
      </c>
      <c r="D297" s="37">
        <f>VLOOKUP($B297,大盤與近月台指!$A$4:$I$499,3,FALSE)</f>
        <v>-38.159999999999997</v>
      </c>
      <c r="E297" s="38">
        <f>VLOOKUP($B297,大盤與近月台指!$A$4:$I$499,4,FALSE)</f>
        <v>-3.7000000000000002E-3</v>
      </c>
      <c r="F297" s="36" t="str">
        <f>VLOOKUP($B297,大盤與近月台指!$A$4:$I$499,5,FALSE)</f>
        <v>1375.14億</v>
      </c>
      <c r="G297" s="52">
        <f>VLOOKUP($B297,三大法人買賣超!$A$4:$I$500,3,FALSE)</f>
        <v>-5.8222080099999998</v>
      </c>
      <c r="H297" s="37">
        <f>VLOOKUP($B297,三大法人買賣超!$A$4:$I$500,5,FALSE)</f>
        <v>-6.9331550100000001</v>
      </c>
      <c r="I297" s="29">
        <f>VLOOKUP($B297,三大法人買賣超!$A$4:$I$500,7,FALSE)</f>
        <v>-8.5950567499999995</v>
      </c>
      <c r="J297" s="29">
        <f>VLOOKUP($B297,三大法人買賣超!$A$4:$I$500,9,FALSE)</f>
        <v>-67.558120090000003</v>
      </c>
      <c r="K297" s="40">
        <f>新台幣匯率美元指數!B298</f>
        <v>30.024999999999999</v>
      </c>
      <c r="L297" s="41">
        <f>新台幣匯率美元指數!C298</f>
        <v>1.4999999999999999E-2</v>
      </c>
      <c r="M297" s="42">
        <f>新台幣匯率美元指數!D298</f>
        <v>93.795000000000002</v>
      </c>
      <c r="N297" s="29">
        <f>VLOOKUP($B297,期貨未平倉口數!$A$4:$M$499,4,FALSE)</f>
        <v>-8572.5</v>
      </c>
      <c r="O297" s="29">
        <f>VLOOKUP($B297,期貨未平倉口數!$A$4:$M$499,9,FALSE)</f>
        <v>38808</v>
      </c>
      <c r="P297" s="29">
        <f>VLOOKUP($B297,期貨未平倉口數!$A$4:$M$499,10,FALSE)</f>
        <v>21.5</v>
      </c>
      <c r="Q297" s="29">
        <f>VLOOKUP($B297,期貨未平倉口數!$A$4:$M$499,11,FALSE)</f>
        <v>-618.5</v>
      </c>
      <c r="R297" s="67">
        <f>VLOOKUP($B297,選擇權未平倉餘額!$A$4:$I$500,6,FALSE)</f>
        <v>-1.4141999999999999</v>
      </c>
      <c r="S297" s="67">
        <f>VLOOKUP($B297,選擇權未平倉餘額!$A$4:$I$500,7,FALSE)</f>
        <v>-42.177</v>
      </c>
      <c r="T297" s="67">
        <f>VLOOKUP($B297,選擇權未平倉餘額!$A$4:$I$500,8,FALSE)</f>
        <v>16.9893</v>
      </c>
      <c r="U297" s="67">
        <f>VLOOKUP($B297,選擇權未平倉餘額!$A$4:$I$500,9,FALSE)</f>
        <v>131.59</v>
      </c>
      <c r="V297" s="42">
        <f>VLOOKUP($B297,臺指選擇權P_C_Ratios!$A$4:$C$500,3,FALSE)</f>
        <v>1.2617</v>
      </c>
      <c r="W297" s="44">
        <f>VLOOKUP($B297,散戶多空比!$A$6:$L$500,12,FALSE)</f>
        <v>0.36960775002374396</v>
      </c>
      <c r="X297" s="43">
        <f>VLOOKUP($B297,期貨大額交易人未沖銷部位!$A$4:$O$499,4,FALSE)</f>
        <v>-4394</v>
      </c>
      <c r="Y297" s="43">
        <f>VLOOKUP($B297,期貨大額交易人未沖銷部位!$A$4:$O$499,7,FALSE)</f>
        <v>4288</v>
      </c>
      <c r="Z297" s="43">
        <f>VLOOKUP($B297,期貨大額交易人未沖銷部位!$A$4:$O$499,10,FALSE)</f>
        <v>-3452</v>
      </c>
      <c r="AA297" s="43">
        <f>VLOOKUP($B297,期貨大額交易人未沖銷部位!$A$4:$O$499,13,FALSE)</f>
        <v>2528</v>
      </c>
      <c r="AB297" s="43">
        <f>VLOOKUP($B297,期貨大額交易人未沖銷部位!$A$4:$O$499,14,FALSE)</f>
        <v>942</v>
      </c>
      <c r="AC297" s="43">
        <f>VLOOKUP($B297,期貨大額交易人未沖銷部位!$A$4:$O$499,15,FALSE)</f>
        <v>-1760</v>
      </c>
      <c r="AD297" s="36">
        <f>VLOOKUP($B297,三大美股走勢!$A$4:$J$495,4,FALSE)</f>
        <v>2.8999999999999998E-3</v>
      </c>
      <c r="AE297" s="36">
        <f>VLOOKUP($B297,三大美股走勢!$A$4:$J$495,7,FALSE)</f>
        <v>5.4000000000000003E-3</v>
      </c>
      <c r="AF297" s="36">
        <f>VLOOKUP($B297,三大美股走勢!$A$4:$J$495,10,FALSE)</f>
        <v>1.04E-2</v>
      </c>
    </row>
    <row r="298" spans="2:32">
      <c r="B298" s="35">
        <v>43077</v>
      </c>
      <c r="C298" s="36">
        <f>VLOOKUP($B298,大盤與近月台指!$A$4:$I$499,2,FALSE)</f>
        <v>10398.620000000001</v>
      </c>
      <c r="D298" s="37">
        <f>VLOOKUP($B298,大盤與近月台指!$A$4:$I$499,3,FALSE)</f>
        <v>42.86</v>
      </c>
      <c r="E298" s="38">
        <f>VLOOKUP($B298,大盤與近月台指!$A$4:$I$499,4,FALSE)</f>
        <v>4.1000000000000003E-3</v>
      </c>
      <c r="F298" s="36" t="str">
        <f>VLOOKUP($B298,大盤與近月台指!$A$4:$I$499,5,FALSE)</f>
        <v>1298.22億</v>
      </c>
      <c r="G298" s="52">
        <f>VLOOKUP($B298,三大法人買賣超!$A$4:$I$500,3,FALSE)</f>
        <v>-7.39784241</v>
      </c>
      <c r="H298" s="37">
        <f>VLOOKUP($B298,三大法人買賣超!$A$4:$I$500,5,FALSE)</f>
        <v>9.6161147899999992</v>
      </c>
      <c r="I298" s="29">
        <f>VLOOKUP($B298,三大法人買賣超!$A$4:$I$500,7,FALSE)</f>
        <v>0.14663055</v>
      </c>
      <c r="J298" s="29">
        <f>VLOOKUP($B298,三大法人買賣超!$A$4:$I$500,9,FALSE)</f>
        <v>-23.685830800000002</v>
      </c>
      <c r="K298" s="40">
        <f>新台幣匯率美元指數!B299</f>
        <v>30.015000000000001</v>
      </c>
      <c r="L298" s="41">
        <f>新台幣匯率美元指數!C299</f>
        <v>-0.01</v>
      </c>
      <c r="M298" s="42">
        <f>新台幣匯率美元指數!D299</f>
        <v>93.900999999999996</v>
      </c>
      <c r="N298" s="29">
        <f>VLOOKUP($B298,期貨未平倉口數!$A$4:$M$499,4,FALSE)</f>
        <v>-7779.5</v>
      </c>
      <c r="O298" s="29">
        <f>VLOOKUP($B298,期貨未平倉口數!$A$4:$M$499,9,FALSE)</f>
        <v>36211.75</v>
      </c>
      <c r="P298" s="29">
        <f>VLOOKUP($B298,期貨未平倉口數!$A$4:$M$499,10,FALSE)</f>
        <v>-2574.75</v>
      </c>
      <c r="Q298" s="29">
        <f>VLOOKUP($B298,期貨未平倉口數!$A$4:$M$499,11,FALSE)</f>
        <v>-2596.25</v>
      </c>
      <c r="R298" s="67">
        <f>VLOOKUP($B298,選擇權未平倉餘額!$A$4:$I$500,6,FALSE)</f>
        <v>1.89E-2</v>
      </c>
      <c r="S298" s="67">
        <f>VLOOKUP($B298,選擇權未平倉餘額!$A$4:$I$500,7,FALSE)</f>
        <v>-36.178699999999999</v>
      </c>
      <c r="T298" s="67">
        <f>VLOOKUP($B298,選擇權未平倉餘額!$A$4:$I$500,8,FALSE)</f>
        <v>18.330500000000001</v>
      </c>
      <c r="U298" s="67">
        <f>VLOOKUP($B298,選擇權未平倉餘額!$A$4:$I$500,9,FALSE)</f>
        <v>109.26949999999999</v>
      </c>
      <c r="V298" s="42">
        <f>VLOOKUP($B298,臺指選擇權P_C_Ratios!$A$4:$C$500,3,FALSE)</f>
        <v>1.2587999999999999</v>
      </c>
      <c r="W298" s="44">
        <f>VLOOKUP($B298,散戶多空比!$A$6:$L$500,12,FALSE)</f>
        <v>0.37701153975574514</v>
      </c>
      <c r="X298" s="43">
        <f>VLOOKUP($B298,期貨大額交易人未沖銷部位!$A$4:$O$499,4,FALSE)</f>
        <v>-5698</v>
      </c>
      <c r="Y298" s="43">
        <f>VLOOKUP($B298,期貨大額交易人未沖銷部位!$A$4:$O$499,7,FALSE)</f>
        <v>1002</v>
      </c>
      <c r="Z298" s="43">
        <f>VLOOKUP($B298,期貨大額交易人未沖銷部位!$A$4:$O$499,10,FALSE)</f>
        <v>-3504</v>
      </c>
      <c r="AA298" s="43">
        <f>VLOOKUP($B298,期貨大額交易人未沖銷部位!$A$4:$O$499,13,FALSE)</f>
        <v>721</v>
      </c>
      <c r="AB298" s="43">
        <f>VLOOKUP($B298,期貨大額交易人未沖銷部位!$A$4:$O$499,14,FALSE)</f>
        <v>2194</v>
      </c>
      <c r="AC298" s="43">
        <f>VLOOKUP($B298,期貨大額交易人未沖銷部位!$A$4:$O$499,15,FALSE)</f>
        <v>-281</v>
      </c>
      <c r="AD298" s="36">
        <f>VLOOKUP($B298,三大美股走勢!$A$4:$J$495,4,FALSE)</f>
        <v>4.8999999999999998E-3</v>
      </c>
      <c r="AE298" s="36">
        <f>VLOOKUP($B298,三大美股走勢!$A$4:$J$495,7,FALSE)</f>
        <v>4.0000000000000001E-3</v>
      </c>
      <c r="AF298" s="36">
        <f>VLOOKUP($B298,三大美股走勢!$A$4:$J$495,10,FALSE)</f>
        <v>-5.0000000000000001E-3</v>
      </c>
    </row>
    <row r="299" spans="2:32">
      <c r="B299" s="35">
        <v>43078</v>
      </c>
      <c r="C299" s="36">
        <f>VLOOKUP($B299,大盤與近月台指!$A$4:$I$499,2,FALSE)</f>
        <v>0</v>
      </c>
      <c r="D299" s="37">
        <f>VLOOKUP($B299,大盤與近月台指!$A$4:$I$499,3,FALSE)</f>
        <v>0</v>
      </c>
      <c r="E299" s="38">
        <f>VLOOKUP($B299,大盤與近月台指!$A$4:$I$499,4,FALSE)</f>
        <v>0</v>
      </c>
      <c r="F299" s="36">
        <f>VLOOKUP($B299,大盤與近月台指!$A$4:$I$499,5,FALSE)</f>
        <v>0</v>
      </c>
      <c r="G299" s="52">
        <f>VLOOKUP($B299,三大法人買賣超!$A$4:$I$500,3,FALSE)</f>
        <v>0</v>
      </c>
      <c r="H299" s="37">
        <f>VLOOKUP($B299,三大法人買賣超!$A$4:$I$500,5,FALSE)</f>
        <v>0</v>
      </c>
      <c r="I299" s="29">
        <f>VLOOKUP($B299,三大法人買賣超!$A$4:$I$500,7,FALSE)</f>
        <v>0</v>
      </c>
      <c r="J299" s="29">
        <f>VLOOKUP($B299,三大法人買賣超!$A$4:$I$500,9,FALSE)</f>
        <v>0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>
        <f>VLOOKUP($B299,期貨未平倉口數!$A$4:$M$499,4,FALSE)</f>
        <v>0</v>
      </c>
      <c r="O299" s="29">
        <f>VLOOKUP($B299,期貨未平倉口數!$A$4:$M$499,9,FALSE)</f>
        <v>0</v>
      </c>
      <c r="P299" s="29">
        <f>VLOOKUP($B299,期貨未平倉口數!$A$4:$M$499,10,FALSE)</f>
        <v>0</v>
      </c>
      <c r="Q299" s="29">
        <f>VLOOKUP($B299,期貨未平倉口數!$A$4:$M$499,11,FALSE)</f>
        <v>0</v>
      </c>
      <c r="R299" s="67">
        <f>VLOOKUP($B299,選擇權未平倉餘額!$A$4:$I$500,6,FALSE)</f>
        <v>0</v>
      </c>
      <c r="S299" s="67">
        <f>VLOOKUP($B299,選擇權未平倉餘額!$A$4:$I$500,7,FALSE)</f>
        <v>0</v>
      </c>
      <c r="T299" s="67">
        <f>VLOOKUP($B299,選擇權未平倉餘額!$A$4:$I$500,8,FALSE)</f>
        <v>0</v>
      </c>
      <c r="U299" s="67">
        <f>VLOOKUP($B299,選擇權未平倉餘額!$A$4:$I$500,9,FALSE)</f>
        <v>0</v>
      </c>
      <c r="V299" s="42">
        <f>VLOOKUP($B299,臺指選擇權P_C_Ratios!$A$4:$C$500,3,FALSE)</f>
        <v>0</v>
      </c>
      <c r="W299" s="44">
        <f>VLOOKUP($B299,散戶多空比!$A$6:$L$500,12,FALSE)</f>
        <v>0</v>
      </c>
      <c r="X299" s="43">
        <f>VLOOKUP($B299,期貨大額交易人未沖銷部位!$A$4:$O$499,4,FALSE)</f>
        <v>0</v>
      </c>
      <c r="Y299" s="43">
        <f>VLOOKUP($B299,期貨大額交易人未沖銷部位!$A$4:$O$499,7,FALSE)</f>
        <v>0</v>
      </c>
      <c r="Z299" s="43">
        <f>VLOOKUP($B299,期貨大額交易人未沖銷部位!$A$4:$O$499,10,FALSE)</f>
        <v>0</v>
      </c>
      <c r="AA299" s="43">
        <f>VLOOKUP($B299,期貨大額交易人未沖銷部位!$A$4:$O$499,13,FALSE)</f>
        <v>0</v>
      </c>
      <c r="AB299" s="43">
        <f>VLOOKUP($B299,期貨大額交易人未沖銷部位!$A$4:$O$499,14,FALSE)</f>
        <v>0</v>
      </c>
      <c r="AC299" s="43">
        <f>VLOOKUP($B299,期貨大額交易人未沖銷部位!$A$4:$O$499,15,FALSE)</f>
        <v>0</v>
      </c>
      <c r="AD299" s="36">
        <f>VLOOKUP($B299,三大美股走勢!$A$4:$J$495,4,FALSE)</f>
        <v>0</v>
      </c>
      <c r="AE299" s="36">
        <f>VLOOKUP($B299,三大美股走勢!$A$4:$J$495,7,FALSE)</f>
        <v>0</v>
      </c>
      <c r="AF299" s="36">
        <f>VLOOKUP($B299,三大美股走勢!$A$4:$J$495,10,FALSE)</f>
        <v>0</v>
      </c>
    </row>
    <row r="300" spans="2:32">
      <c r="B300" s="35">
        <v>43079</v>
      </c>
      <c r="C300" s="36">
        <f>VLOOKUP($B300,大盤與近月台指!$A$4:$I$499,2,FALSE)</f>
        <v>0</v>
      </c>
      <c r="D300" s="37">
        <f>VLOOKUP($B300,大盤與近月台指!$A$4:$I$499,3,FALSE)</f>
        <v>0</v>
      </c>
      <c r="E300" s="38">
        <f>VLOOKUP($B300,大盤與近月台指!$A$4:$I$499,4,FALSE)</f>
        <v>0</v>
      </c>
      <c r="F300" s="36">
        <f>VLOOKUP($B300,大盤與近月台指!$A$4:$I$499,5,FALSE)</f>
        <v>0</v>
      </c>
      <c r="G300" s="52">
        <f>VLOOKUP($B300,三大法人買賣超!$A$4:$I$500,3,FALSE)</f>
        <v>0</v>
      </c>
      <c r="H300" s="37">
        <f>VLOOKUP($B300,三大法人買賣超!$A$4:$I$500,5,FALSE)</f>
        <v>0</v>
      </c>
      <c r="I300" s="29">
        <f>VLOOKUP($B300,三大法人買賣超!$A$4:$I$500,7,FALSE)</f>
        <v>0</v>
      </c>
      <c r="J300" s="29">
        <f>VLOOKUP($B300,三大法人買賣超!$A$4:$I$500,9,FALSE)</f>
        <v>0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>
        <f>VLOOKUP($B300,期貨未平倉口數!$A$4:$M$499,4,FALSE)</f>
        <v>0</v>
      </c>
      <c r="O300" s="29">
        <f>VLOOKUP($B300,期貨未平倉口數!$A$4:$M$499,9,FALSE)</f>
        <v>0</v>
      </c>
      <c r="P300" s="29">
        <f>VLOOKUP($B300,期貨未平倉口數!$A$4:$M$499,10,FALSE)</f>
        <v>0</v>
      </c>
      <c r="Q300" s="29">
        <f>VLOOKUP($B300,期貨未平倉口數!$A$4:$M$499,11,FALSE)</f>
        <v>0</v>
      </c>
      <c r="R300" s="67">
        <f>VLOOKUP($B300,選擇權未平倉餘額!$A$4:$I$500,6,FALSE)</f>
        <v>0</v>
      </c>
      <c r="S300" s="67">
        <f>VLOOKUP($B300,選擇權未平倉餘額!$A$4:$I$500,7,FALSE)</f>
        <v>0</v>
      </c>
      <c r="T300" s="67">
        <f>VLOOKUP($B300,選擇權未平倉餘額!$A$4:$I$500,8,FALSE)</f>
        <v>0</v>
      </c>
      <c r="U300" s="67">
        <f>VLOOKUP($B300,選擇權未平倉餘額!$A$4:$I$500,9,FALSE)</f>
        <v>0</v>
      </c>
      <c r="V300" s="42">
        <f>VLOOKUP($B300,臺指選擇權P_C_Ratios!$A$4:$C$500,3,FALSE)</f>
        <v>0</v>
      </c>
      <c r="W300" s="44">
        <f>VLOOKUP($B300,散戶多空比!$A$6:$L$500,12,FALSE)</f>
        <v>0</v>
      </c>
      <c r="X300" s="43">
        <f>VLOOKUP($B300,期貨大額交易人未沖銷部位!$A$4:$O$499,4,FALSE)</f>
        <v>0</v>
      </c>
      <c r="Y300" s="43">
        <f>VLOOKUP($B300,期貨大額交易人未沖銷部位!$A$4:$O$499,7,FALSE)</f>
        <v>0</v>
      </c>
      <c r="Z300" s="43">
        <f>VLOOKUP($B300,期貨大額交易人未沖銷部位!$A$4:$O$499,10,FALSE)</f>
        <v>0</v>
      </c>
      <c r="AA300" s="43">
        <f>VLOOKUP($B300,期貨大額交易人未沖銷部位!$A$4:$O$499,13,FALSE)</f>
        <v>0</v>
      </c>
      <c r="AB300" s="43">
        <f>VLOOKUP($B300,期貨大額交易人未沖銷部位!$A$4:$O$499,14,FALSE)</f>
        <v>0</v>
      </c>
      <c r="AC300" s="43">
        <f>VLOOKUP($B300,期貨大額交易人未沖銷部位!$A$4:$O$499,15,FALSE)</f>
        <v>0</v>
      </c>
      <c r="AD300" s="36">
        <f>VLOOKUP($B300,三大美股走勢!$A$4:$J$495,4,FALSE)</f>
        <v>0</v>
      </c>
      <c r="AE300" s="36">
        <f>VLOOKUP($B300,三大美股走勢!$A$4:$J$495,7,FALSE)</f>
        <v>0</v>
      </c>
      <c r="AF300" s="36">
        <f>VLOOKUP($B300,三大美股走勢!$A$4:$J$495,10,FALSE)</f>
        <v>0</v>
      </c>
    </row>
    <row r="301" spans="2:32">
      <c r="B301" s="35">
        <v>43080</v>
      </c>
      <c r="C301" s="36">
        <f>VLOOKUP($B301,大盤與近月台指!$A$4:$I$499,2,FALSE)</f>
        <v>10473.09</v>
      </c>
      <c r="D301" s="37">
        <f>VLOOKUP($B301,大盤與近月台指!$A$4:$I$499,3,FALSE)</f>
        <v>74.47</v>
      </c>
      <c r="E301" s="38">
        <f>VLOOKUP($B301,大盤與近月台指!$A$4:$I$499,4,FALSE)</f>
        <v>7.1999999999999998E-3</v>
      </c>
      <c r="F301" s="36" t="str">
        <f>VLOOKUP($B301,大盤與近月台指!$A$4:$I$499,5,FALSE)</f>
        <v>1167.56億</v>
      </c>
      <c r="G301" s="52">
        <f>VLOOKUP($B301,三大法人買賣超!$A$4:$I$500,3,FALSE)</f>
        <v>-1.85263394</v>
      </c>
      <c r="H301" s="37">
        <f>VLOOKUP($B301,三大法人買賣超!$A$4:$I$500,5,FALSE)</f>
        <v>21.822435760000001</v>
      </c>
      <c r="I301" s="29">
        <f>VLOOKUP($B301,三大法人買賣超!$A$4:$I$500,7,FALSE)</f>
        <v>5.8708191799999998</v>
      </c>
      <c r="J301" s="29">
        <f>VLOOKUP($B301,三大法人買賣超!$A$4:$I$500,9,FALSE)</f>
        <v>-37.751740329999997</v>
      </c>
      <c r="K301" s="40">
        <f>新台幣匯率美元指數!B302</f>
        <v>30.018000000000001</v>
      </c>
      <c r="L301" s="41">
        <f>新台幣匯率美元指數!C302</f>
        <v>3.0000000000000001E-3</v>
      </c>
      <c r="M301" s="42">
        <f>新台幣匯率美元指數!D302</f>
        <v>93.866</v>
      </c>
      <c r="N301" s="29">
        <f>VLOOKUP($B301,期貨未平倉口數!$A$4:$M$499,4,FALSE)</f>
        <v>-7699.75</v>
      </c>
      <c r="O301" s="29">
        <f>VLOOKUP($B301,期貨未平倉口數!$A$4:$M$499,9,FALSE)</f>
        <v>38441.75</v>
      </c>
      <c r="P301" s="29">
        <f>VLOOKUP($B301,期貨未平倉口數!$A$4:$M$499,10,FALSE)</f>
        <v>-344.75</v>
      </c>
      <c r="Q301" s="29">
        <f>VLOOKUP($B301,期貨未平倉口數!$A$4:$M$499,11,FALSE)</f>
        <v>2230</v>
      </c>
      <c r="R301" s="67">
        <f>VLOOKUP($B301,選擇權未平倉餘額!$A$4:$I$500,6,FALSE)</f>
        <v>3.4178000000000002</v>
      </c>
      <c r="S301" s="67">
        <f>VLOOKUP($B301,選擇權未平倉餘額!$A$4:$I$500,7,FALSE)</f>
        <v>-29.407299999999999</v>
      </c>
      <c r="T301" s="67">
        <f>VLOOKUP($B301,選擇權未平倉餘額!$A$4:$I$500,8,FALSE)</f>
        <v>23.196200000000001</v>
      </c>
      <c r="U301" s="67">
        <f>VLOOKUP($B301,選擇權未平倉餘額!$A$4:$I$500,9,FALSE)</f>
        <v>80.748800000000003</v>
      </c>
      <c r="V301" s="42">
        <f>VLOOKUP($B301,臺指選擇權P_C_Ratios!$A$4:$C$500,3,FALSE)</f>
        <v>1.3300999999999998</v>
      </c>
      <c r="W301" s="44">
        <f>VLOOKUP($B301,散戶多空比!$A$6:$L$500,12,FALSE)</f>
        <v>0.35319303631296201</v>
      </c>
      <c r="X301" s="43">
        <f>VLOOKUP($B301,期貨大額交易人未沖銷部位!$A$4:$O$499,4,FALSE)</f>
        <v>-5857</v>
      </c>
      <c r="Y301" s="43">
        <f>VLOOKUP($B301,期貨大額交易人未沖銷部位!$A$4:$O$499,7,FALSE)</f>
        <v>1006</v>
      </c>
      <c r="Z301" s="43">
        <f>VLOOKUP($B301,期貨大額交易人未沖銷部位!$A$4:$O$499,10,FALSE)</f>
        <v>-3595</v>
      </c>
      <c r="AA301" s="43">
        <f>VLOOKUP($B301,期貨大額交易人未沖銷部位!$A$4:$O$499,13,FALSE)</f>
        <v>-398</v>
      </c>
      <c r="AB301" s="43">
        <f>VLOOKUP($B301,期貨大額交易人未沖銷部位!$A$4:$O$499,14,FALSE)</f>
        <v>2262</v>
      </c>
      <c r="AC301" s="43">
        <f>VLOOKUP($B301,期貨大額交易人未沖銷部位!$A$4:$O$499,15,FALSE)</f>
        <v>-1404</v>
      </c>
      <c r="AD301" s="36">
        <f>VLOOKUP($B301,三大美股走勢!$A$4:$J$495,4,FALSE)</f>
        <v>2.3E-3</v>
      </c>
      <c r="AE301" s="36">
        <f>VLOOKUP($B301,三大美股走勢!$A$4:$J$495,7,FALSE)</f>
        <v>5.1000000000000004E-3</v>
      </c>
      <c r="AF301" s="36">
        <f>VLOOKUP($B301,三大美股走勢!$A$4:$J$495,10,FALSE)</f>
        <v>5.8999999999999999E-3</v>
      </c>
    </row>
    <row r="302" spans="2:32">
      <c r="B302" s="35">
        <v>43081</v>
      </c>
      <c r="C302" s="36">
        <f>VLOOKUP($B302,大盤與近月台指!$A$4:$I$499,2,FALSE)</f>
        <v>10443.280000000001</v>
      </c>
      <c r="D302" s="37">
        <f>VLOOKUP($B302,大盤與近月台指!$A$4:$I$499,3,FALSE)</f>
        <v>-29.81</v>
      </c>
      <c r="E302" s="38">
        <f>VLOOKUP($B302,大盤與近月台指!$A$4:$I$499,4,FALSE)</f>
        <v>-2.8E-3</v>
      </c>
      <c r="F302" s="36" t="str">
        <f>VLOOKUP($B302,大盤與近月台指!$A$4:$I$499,5,FALSE)</f>
        <v>1062.72億</v>
      </c>
      <c r="G302" s="52">
        <f>VLOOKUP($B302,三大法人買賣超!$A$4:$I$500,3,FALSE)</f>
        <v>-7.6101281800000002</v>
      </c>
      <c r="H302" s="37">
        <f>VLOOKUP($B302,三大法人買賣超!$A$4:$I$500,5,FALSE)</f>
        <v>-7.2088428899999997</v>
      </c>
      <c r="I302" s="29">
        <f>VLOOKUP($B302,三大法人買賣超!$A$4:$I$500,7,FALSE)</f>
        <v>4.9738582999999998</v>
      </c>
      <c r="J302" s="29">
        <f>VLOOKUP($B302,三大法人買賣超!$A$4:$I$500,9,FALSE)</f>
        <v>-49.109902230000003</v>
      </c>
      <c r="K302" s="40">
        <f>新台幣匯率美元指數!B303</f>
        <v>30.018000000000001</v>
      </c>
      <c r="L302" s="41">
        <f>新台幣匯率美元指數!C303</f>
        <v>0</v>
      </c>
      <c r="M302" s="42">
        <f>新台幣匯率美元指數!D303</f>
        <v>0</v>
      </c>
      <c r="N302" s="29">
        <f>VLOOKUP($B302,期貨未平倉口數!$A$4:$M$499,4,FALSE)</f>
        <v>-6565.5</v>
      </c>
      <c r="O302" s="29">
        <f>VLOOKUP($B302,期貨未平倉口數!$A$4:$M$499,9,FALSE)</f>
        <v>38929</v>
      </c>
      <c r="P302" s="29">
        <f>VLOOKUP($B302,期貨未平倉口數!$A$4:$M$499,10,FALSE)</f>
        <v>142.5</v>
      </c>
      <c r="Q302" s="29">
        <f>VLOOKUP($B302,期貨未平倉口數!$A$4:$M$499,11,FALSE)</f>
        <v>487.25</v>
      </c>
      <c r="R302" s="67">
        <f>VLOOKUP($B302,選擇權未平倉餘額!$A$4:$I$500,6,FALSE)</f>
        <v>1.036</v>
      </c>
      <c r="S302" s="67">
        <f>VLOOKUP($B302,選擇權未平倉餘額!$A$4:$I$500,7,FALSE)</f>
        <v>-33.215800000000002</v>
      </c>
      <c r="T302" s="67">
        <f>VLOOKUP($B302,選擇權未平倉餘額!$A$4:$I$500,8,FALSE)</f>
        <v>17.305299999999999</v>
      </c>
      <c r="U302" s="67">
        <f>VLOOKUP($B302,選擇權未平倉餘額!$A$4:$I$500,9,FALSE)</f>
        <v>92.056700000000006</v>
      </c>
      <c r="V302" s="42">
        <f>VLOOKUP($B302,臺指選擇權P_C_Ratios!$A$4:$C$500,3,FALSE)</f>
        <v>1.2666999999999999</v>
      </c>
      <c r="W302" s="44">
        <f>VLOOKUP($B302,散戶多空比!$A$6:$L$500,12,FALSE)</f>
        <v>0.31843850750559582</v>
      </c>
      <c r="X302" s="43">
        <f>VLOOKUP($B302,期貨大額交易人未沖銷部位!$A$4:$O$499,4,FALSE)</f>
        <v>-4508</v>
      </c>
      <c r="Y302" s="43">
        <f>VLOOKUP($B302,期貨大額交易人未沖銷部位!$A$4:$O$499,7,FALSE)</f>
        <v>995</v>
      </c>
      <c r="Z302" s="43">
        <f>VLOOKUP($B302,期貨大額交易人未沖銷部位!$A$4:$O$499,10,FALSE)</f>
        <v>-2227</v>
      </c>
      <c r="AA302" s="43">
        <f>VLOOKUP($B302,期貨大額交易人未沖銷部位!$A$4:$O$499,13,FALSE)</f>
        <v>1218</v>
      </c>
      <c r="AB302" s="43">
        <f>VLOOKUP($B302,期貨大額交易人未沖銷部位!$A$4:$O$499,14,FALSE)</f>
        <v>2281</v>
      </c>
      <c r="AC302" s="43">
        <f>VLOOKUP($B302,期貨大額交易人未沖銷部位!$A$4:$O$499,15,FALSE)</f>
        <v>223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303"/>
  <sheetViews>
    <sheetView workbookViewId="0">
      <pane ySplit="3" topLeftCell="A291" activePane="bottomLeft" state="frozen"/>
      <selection pane="bottomLeft" activeCell="G312" sqref="G312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  <row r="297" spans="1:9">
      <c r="A297" s="9">
        <v>43075</v>
      </c>
      <c r="B297" s="60">
        <v>10393.92</v>
      </c>
      <c r="C297" s="60">
        <v>-172.93</v>
      </c>
      <c r="D297" s="46">
        <v>-1.6400000000000001E-2</v>
      </c>
      <c r="E297" s="74" t="s">
        <v>181</v>
      </c>
      <c r="F297" s="75">
        <v>10346</v>
      </c>
      <c r="G297" s="23">
        <v>-38</v>
      </c>
      <c r="H297" s="47">
        <v>-3.7000000000000002E-3</v>
      </c>
      <c r="I297" s="45" t="s">
        <v>182</v>
      </c>
    </row>
    <row r="298" spans="1:9">
      <c r="A298" s="9">
        <v>43076</v>
      </c>
      <c r="B298" s="60">
        <v>10355.76</v>
      </c>
      <c r="C298" s="60">
        <v>-38.159999999999997</v>
      </c>
      <c r="D298" s="46">
        <v>-3.7000000000000002E-3</v>
      </c>
      <c r="E298" s="74" t="s">
        <v>183</v>
      </c>
      <c r="F298" s="75">
        <v>10348</v>
      </c>
      <c r="G298" s="23">
        <v>-17</v>
      </c>
      <c r="H298" s="47">
        <v>-1.6000000000000001E-3</v>
      </c>
      <c r="I298" s="45" t="s">
        <v>184</v>
      </c>
    </row>
    <row r="299" spans="1:9">
      <c r="A299" s="9">
        <v>43077</v>
      </c>
      <c r="B299" s="60">
        <v>10398.620000000001</v>
      </c>
      <c r="C299" s="60">
        <v>42.86</v>
      </c>
      <c r="D299" s="46">
        <v>4.1000000000000003E-3</v>
      </c>
      <c r="E299" s="74" t="s">
        <v>185</v>
      </c>
      <c r="F299" s="75">
        <v>10394</v>
      </c>
      <c r="G299" s="23">
        <v>-2</v>
      </c>
      <c r="H299" s="47">
        <v>-2.0000000000000001E-4</v>
      </c>
      <c r="I299" s="45" t="s">
        <v>186</v>
      </c>
    </row>
    <row r="300" spans="1:9">
      <c r="A300" s="9">
        <v>43078</v>
      </c>
      <c r="B300" s="60"/>
      <c r="C300" s="60"/>
      <c r="D300" s="46"/>
      <c r="E300" s="74"/>
      <c r="F300" s="75"/>
      <c r="G300" s="23"/>
      <c r="H300" s="47"/>
      <c r="I300" s="45"/>
    </row>
    <row r="301" spans="1:9">
      <c r="A301" s="9">
        <v>43079</v>
      </c>
      <c r="B301" s="60"/>
      <c r="C301" s="60"/>
      <c r="D301" s="46"/>
      <c r="E301" s="74"/>
      <c r="F301" s="75"/>
      <c r="G301" s="23"/>
      <c r="H301" s="47"/>
      <c r="I301" s="45"/>
    </row>
    <row r="302" spans="1:9">
      <c r="A302" s="9">
        <v>43080</v>
      </c>
      <c r="B302" s="60">
        <v>10473.09</v>
      </c>
      <c r="C302" s="60">
        <v>74.47</v>
      </c>
      <c r="D302" s="46">
        <v>7.1999999999999998E-3</v>
      </c>
      <c r="E302" s="74" t="s">
        <v>187</v>
      </c>
      <c r="F302" s="75">
        <v>10482</v>
      </c>
      <c r="G302" s="23">
        <v>4</v>
      </c>
      <c r="H302" s="47">
        <v>4.0000000000000002E-4</v>
      </c>
      <c r="I302" s="45" t="s">
        <v>188</v>
      </c>
    </row>
    <row r="303" spans="1:9">
      <c r="A303" s="9">
        <v>43081</v>
      </c>
      <c r="B303" s="60">
        <v>10443.280000000001</v>
      </c>
      <c r="C303" s="60">
        <v>-29.81</v>
      </c>
      <c r="D303" s="46">
        <v>-2.8E-3</v>
      </c>
      <c r="E303" s="74" t="s">
        <v>189</v>
      </c>
      <c r="F303" s="75">
        <v>10420</v>
      </c>
      <c r="G303" s="23">
        <v>-11</v>
      </c>
      <c r="H303" s="47">
        <v>-1.1000000000000001E-3</v>
      </c>
      <c r="I303" s="45" t="s">
        <v>190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303"/>
  <sheetViews>
    <sheetView workbookViewId="0">
      <pane ySplit="3" topLeftCell="A288" activePane="bottomLeft" state="frozen"/>
      <selection pane="bottomLeft" activeCell="J304" sqref="J304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  <row r="297" spans="1:9">
      <c r="A297" s="9">
        <v>43075</v>
      </c>
      <c r="B297" s="49">
        <v>-601491477</v>
      </c>
      <c r="C297" s="10">
        <f t="shared" ref="C297" si="136">B297/100000000</f>
        <v>-6.0149147699999999</v>
      </c>
      <c r="D297" s="49">
        <v>-2635390306</v>
      </c>
      <c r="E297" s="10">
        <f t="shared" ref="E297" si="137">D297/100000000</f>
        <v>-26.35390306</v>
      </c>
      <c r="F297" s="49">
        <v>-490168784</v>
      </c>
      <c r="G297" s="10">
        <f t="shared" ref="G297" si="138">F297/100000000</f>
        <v>-4.9016878400000001</v>
      </c>
      <c r="H297" s="49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9">
        <v>-582220801</v>
      </c>
      <c r="C298" s="10">
        <f t="shared" ref="C298" si="140">B298/100000000</f>
        <v>-5.8222080099999998</v>
      </c>
      <c r="D298" s="49">
        <v>-693315501</v>
      </c>
      <c r="E298" s="10">
        <f t="shared" ref="E298" si="141">D298/100000000</f>
        <v>-6.9331550100000001</v>
      </c>
      <c r="F298" s="49">
        <v>-859505675</v>
      </c>
      <c r="G298" s="10">
        <f t="shared" ref="G298" si="142">F298/100000000</f>
        <v>-8.5950567499999995</v>
      </c>
      <c r="H298" s="49">
        <v>-6755812009</v>
      </c>
      <c r="I298" s="10">
        <f t="shared" ref="I298" si="143">H298/100000000</f>
        <v>-67.558120090000003</v>
      </c>
    </row>
    <row r="299" spans="1:9">
      <c r="A299" s="9">
        <v>43077</v>
      </c>
      <c r="B299" s="49">
        <v>-739784241</v>
      </c>
      <c r="C299" s="10">
        <f t="shared" ref="C299" si="144">B299/100000000</f>
        <v>-7.39784241</v>
      </c>
      <c r="D299" s="49">
        <v>961611479</v>
      </c>
      <c r="E299" s="10">
        <f t="shared" ref="E299" si="145">D299/100000000</f>
        <v>9.6161147899999992</v>
      </c>
      <c r="F299" s="49">
        <v>14663055</v>
      </c>
      <c r="G299" s="10">
        <f t="shared" ref="G299" si="146">F299/100000000</f>
        <v>0.14663055</v>
      </c>
      <c r="H299" s="49">
        <v>-2368583080</v>
      </c>
      <c r="I299" s="10">
        <f t="shared" ref="I299" si="147">H299/100000000</f>
        <v>-23.685830800000002</v>
      </c>
    </row>
    <row r="300" spans="1:9">
      <c r="A300" s="9">
        <v>43078</v>
      </c>
      <c r="B300" s="49"/>
      <c r="C300" s="10">
        <f t="shared" ref="C300:C302" si="148">B300/100000000</f>
        <v>0</v>
      </c>
      <c r="D300" s="49"/>
      <c r="E300" s="10">
        <f t="shared" ref="E300:E302" si="149">D300/100000000</f>
        <v>0</v>
      </c>
      <c r="F300" s="49"/>
      <c r="G300" s="10">
        <f t="shared" ref="G300:G302" si="150">F300/100000000</f>
        <v>0</v>
      </c>
      <c r="H300" s="49"/>
      <c r="I300" s="10">
        <f t="shared" ref="I300:I302" si="151">H300/100000000</f>
        <v>0</v>
      </c>
    </row>
    <row r="301" spans="1:9">
      <c r="A301" s="9">
        <v>43079</v>
      </c>
      <c r="B301" s="49"/>
      <c r="C301" s="10">
        <f t="shared" si="148"/>
        <v>0</v>
      </c>
      <c r="D301" s="49"/>
      <c r="E301" s="10">
        <f t="shared" si="149"/>
        <v>0</v>
      </c>
      <c r="F301" s="49"/>
      <c r="G301" s="10">
        <f t="shared" si="150"/>
        <v>0</v>
      </c>
      <c r="H301" s="49"/>
      <c r="I301" s="10">
        <f t="shared" si="151"/>
        <v>0</v>
      </c>
    </row>
    <row r="302" spans="1:9">
      <c r="A302" s="9">
        <v>43080</v>
      </c>
      <c r="B302" s="49">
        <v>-185263394</v>
      </c>
      <c r="C302" s="10">
        <f t="shared" si="148"/>
        <v>-1.85263394</v>
      </c>
      <c r="D302" s="49">
        <v>2182243576</v>
      </c>
      <c r="E302" s="10">
        <f t="shared" si="149"/>
        <v>21.822435760000001</v>
      </c>
      <c r="F302" s="49">
        <v>587081918</v>
      </c>
      <c r="G302" s="10">
        <f t="shared" si="150"/>
        <v>5.8708191799999998</v>
      </c>
      <c r="H302" s="49">
        <v>-3775174033</v>
      </c>
      <c r="I302" s="10">
        <f t="shared" si="151"/>
        <v>-37.751740329999997</v>
      </c>
    </row>
    <row r="303" spans="1:9">
      <c r="A303" s="9">
        <v>43081</v>
      </c>
      <c r="B303" s="49">
        <v>-761012818</v>
      </c>
      <c r="C303" s="10">
        <f t="shared" ref="C303" si="152">B303/100000000</f>
        <v>-7.6101281800000002</v>
      </c>
      <c r="D303" s="49">
        <v>-720884289</v>
      </c>
      <c r="E303" s="10">
        <f t="shared" ref="E303" si="153">D303/100000000</f>
        <v>-7.2088428899999997</v>
      </c>
      <c r="F303" s="49">
        <v>497385830</v>
      </c>
      <c r="G303" s="10">
        <f t="shared" ref="G303" si="154">F303/100000000</f>
        <v>4.9738582999999998</v>
      </c>
      <c r="H303" s="49">
        <v>-4910990223</v>
      </c>
      <c r="I303" s="10">
        <f t="shared" ref="I303" si="155">H303/100000000</f>
        <v>-49.109902230000003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303"/>
  <sheetViews>
    <sheetView workbookViewId="0">
      <pane ySplit="3" topLeftCell="A287" activePane="bottomLeft" state="frozen"/>
      <selection pane="bottomLeft" activeCell="B303" sqref="B303:C303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>
        <v>93.379000000000005</v>
      </c>
    </row>
    <row r="297" spans="1:4">
      <c r="A297" s="9">
        <v>43075</v>
      </c>
      <c r="B297" s="45">
        <v>30.01</v>
      </c>
      <c r="C297" s="53">
        <v>1.7000000000000001E-2</v>
      </c>
      <c r="D297" s="25">
        <v>93.61</v>
      </c>
    </row>
    <row r="298" spans="1:4">
      <c r="A298" s="9">
        <v>43076</v>
      </c>
      <c r="B298" s="45">
        <v>30.024999999999999</v>
      </c>
      <c r="C298" s="53">
        <v>1.4999999999999999E-2</v>
      </c>
      <c r="D298" s="25">
        <v>93.795000000000002</v>
      </c>
    </row>
    <row r="299" spans="1:4">
      <c r="A299" s="9">
        <v>43077</v>
      </c>
      <c r="B299" s="45">
        <v>30.015000000000001</v>
      </c>
      <c r="C299" s="53">
        <v>-0.01</v>
      </c>
      <c r="D299" s="25">
        <v>93.900999999999996</v>
      </c>
    </row>
    <row r="300" spans="1:4">
      <c r="A300" s="9">
        <v>43078</v>
      </c>
      <c r="B300" s="45"/>
      <c r="C300" s="53"/>
      <c r="D300" s="25"/>
    </row>
    <row r="301" spans="1:4">
      <c r="A301" s="9">
        <v>43079</v>
      </c>
      <c r="B301" s="45"/>
      <c r="C301" s="53"/>
      <c r="D301" s="25"/>
    </row>
    <row r="302" spans="1:4">
      <c r="A302" s="9">
        <v>43080</v>
      </c>
      <c r="B302" s="45">
        <v>30.018000000000001</v>
      </c>
      <c r="C302" s="53">
        <v>3.0000000000000001E-3</v>
      </c>
      <c r="D302" s="25">
        <v>93.866</v>
      </c>
    </row>
    <row r="303" spans="1:4">
      <c r="A303" s="9">
        <v>43081</v>
      </c>
      <c r="B303" s="45">
        <v>30.018000000000001</v>
      </c>
      <c r="C303" s="53">
        <v>0</v>
      </c>
      <c r="D303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304"/>
  <sheetViews>
    <sheetView zoomScale="85" zoomScaleNormal="85" workbookViewId="0">
      <pane ySplit="3" topLeftCell="A282" activePane="bottomLeft" state="frozen"/>
      <selection pane="bottomLeft" activeCell="M304" sqref="M304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5.77734375" style="2" customWidth="1"/>
    <col min="5" max="5" width="12.33203125" style="2" bestFit="1" customWidth="1"/>
    <col min="6" max="6" width="16.33203125" style="2" bestFit="1" customWidth="1"/>
    <col min="7" max="7" width="13.77734375" style="2" customWidth="1"/>
    <col min="8" max="8" width="17.33203125" style="2" bestFit="1" customWidth="1"/>
    <col min="9" max="9" width="15.88671875" style="2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  <row r="300" spans="1:13">
      <c r="A300" s="9">
        <v>43077</v>
      </c>
      <c r="B300" s="10">
        <v>-3517</v>
      </c>
      <c r="C300" s="10">
        <v>-17050</v>
      </c>
      <c r="D300" s="10">
        <f t="shared" ref="D300:D304" si="112">B300+C300/4</f>
        <v>-7779.5</v>
      </c>
      <c r="E300" s="10">
        <v>434</v>
      </c>
      <c r="F300" s="10">
        <v>859</v>
      </c>
      <c r="G300" s="10">
        <v>36618</v>
      </c>
      <c r="H300" s="10">
        <v>-1625</v>
      </c>
      <c r="I300" s="10">
        <f t="shared" ref="I300:I304" si="113">G300+H300/4</f>
        <v>36211.75</v>
      </c>
      <c r="J300" s="10">
        <f t="shared" ref="J300" si="114">I300-$I$277</f>
        <v>-2574.75</v>
      </c>
      <c r="K300" s="10">
        <f t="shared" ref="K300" si="115">I300-I299</f>
        <v>-2596.25</v>
      </c>
      <c r="L300" s="10">
        <v>-314</v>
      </c>
      <c r="M300" s="10">
        <v>-2796</v>
      </c>
    </row>
    <row r="301" spans="1:13">
      <c r="A301" s="9">
        <v>43078</v>
      </c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</row>
    <row r="302" spans="1:13">
      <c r="A302" s="9">
        <v>43079</v>
      </c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</row>
    <row r="303" spans="1:13">
      <c r="A303" s="9">
        <v>43080</v>
      </c>
      <c r="B303" s="10">
        <v>-3884</v>
      </c>
      <c r="C303" s="10">
        <v>-15263</v>
      </c>
      <c r="D303" s="10">
        <f t="shared" si="112"/>
        <v>-7699.75</v>
      </c>
      <c r="E303" s="10">
        <v>382</v>
      </c>
      <c r="F303" s="10">
        <v>876</v>
      </c>
      <c r="G303" s="10">
        <v>38905</v>
      </c>
      <c r="H303" s="10">
        <v>-1853</v>
      </c>
      <c r="I303" s="10">
        <f t="shared" si="113"/>
        <v>38441.75</v>
      </c>
      <c r="J303" s="10">
        <f t="shared" ref="J303" si="116">I303-$I$277</f>
        <v>-344.75</v>
      </c>
      <c r="K303" s="10">
        <f>I303-I300</f>
        <v>2230</v>
      </c>
      <c r="L303" s="10">
        <v>-267</v>
      </c>
      <c r="M303" s="10">
        <v>-2830</v>
      </c>
    </row>
    <row r="304" spans="1:13">
      <c r="A304" s="9">
        <v>43081</v>
      </c>
      <c r="B304" s="10">
        <v>-3132</v>
      </c>
      <c r="C304" s="10">
        <v>-13734</v>
      </c>
      <c r="D304" s="10">
        <f t="shared" si="112"/>
        <v>-6565.5</v>
      </c>
      <c r="E304" s="10">
        <v>402</v>
      </c>
      <c r="F304" s="10">
        <v>895</v>
      </c>
      <c r="G304" s="10">
        <v>39279</v>
      </c>
      <c r="H304" s="10">
        <v>-1400</v>
      </c>
      <c r="I304" s="10">
        <f t="shared" si="113"/>
        <v>38929</v>
      </c>
      <c r="J304" s="10">
        <f t="shared" ref="J304" si="117">I304-$I$277</f>
        <v>142.5</v>
      </c>
      <c r="K304" s="10">
        <f t="shared" ref="K304" si="118">I304-I303</f>
        <v>487.25</v>
      </c>
      <c r="L304" s="10">
        <v>-465</v>
      </c>
      <c r="M304" s="10">
        <v>-2982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303"/>
  <sheetViews>
    <sheetView zoomScale="85" zoomScaleNormal="85" workbookViewId="0">
      <pane ySplit="3" topLeftCell="A288" activePane="bottomLeft" state="frozen"/>
      <selection pane="bottomLeft" activeCell="F308" sqref="F308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>
        <v>43071</v>
      </c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>
        <v>43072</v>
      </c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5:F296" si="139">B295/10000</f>
        <v>-4.8539000000000003</v>
      </c>
      <c r="G295" s="24">
        <f t="shared" ref="G295:G296" si="140">C295/10000</f>
        <v>-8.8552999999999997</v>
      </c>
      <c r="H295" s="24">
        <f t="shared" ref="H295:H296" si="141">D295/10000</f>
        <v>34.094799999999999</v>
      </c>
      <c r="I295" s="24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4">
        <f t="shared" ref="F297" si="143">B297/10000</f>
        <v>-3.8473000000000002</v>
      </c>
      <c r="G297" s="24">
        <f t="shared" ref="G297" si="144">C297/10000</f>
        <v>-33.608899999999998</v>
      </c>
      <c r="H297" s="24">
        <f t="shared" ref="H297" si="145">D297/10000</f>
        <v>18.3935</v>
      </c>
      <c r="I297" s="24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4">
        <f t="shared" ref="F298" si="147">B298/10000</f>
        <v>-1.4141999999999999</v>
      </c>
      <c r="G298" s="24">
        <f t="shared" ref="G298" si="148">C298/10000</f>
        <v>-42.177</v>
      </c>
      <c r="H298" s="24">
        <f t="shared" ref="H298" si="149">D298/10000</f>
        <v>16.9893</v>
      </c>
      <c r="I298" s="24">
        <f t="shared" ref="I298" si="150">E298/10000</f>
        <v>131.59</v>
      </c>
    </row>
    <row r="299" spans="1:9">
      <c r="A299" s="9">
        <v>43077</v>
      </c>
      <c r="B299" s="10">
        <v>189</v>
      </c>
      <c r="C299" s="10">
        <v>-361787</v>
      </c>
      <c r="D299" s="10">
        <v>183305</v>
      </c>
      <c r="E299" s="10">
        <v>1092695</v>
      </c>
      <c r="F299" s="24">
        <f t="shared" ref="F299" si="151">B299/10000</f>
        <v>1.89E-2</v>
      </c>
      <c r="G299" s="24">
        <f t="shared" ref="G299" si="152">C299/10000</f>
        <v>-36.178699999999999</v>
      </c>
      <c r="H299" s="24">
        <f t="shared" ref="H299" si="153">D299/10000</f>
        <v>18.330500000000001</v>
      </c>
      <c r="I299" s="24">
        <f t="shared" ref="I299" si="154">E299/10000</f>
        <v>109.26949999999999</v>
      </c>
    </row>
    <row r="300" spans="1:9">
      <c r="A300" s="9">
        <v>43078</v>
      </c>
      <c r="B300" s="10"/>
      <c r="C300" s="10"/>
      <c r="D300" s="10"/>
      <c r="E300" s="10"/>
      <c r="F300" s="24"/>
      <c r="G300" s="24"/>
      <c r="H300" s="24"/>
      <c r="I300" s="24"/>
    </row>
    <row r="301" spans="1:9">
      <c r="A301" s="9">
        <v>43079</v>
      </c>
      <c r="B301" s="10"/>
      <c r="C301" s="10"/>
      <c r="D301" s="10"/>
      <c r="E301" s="10"/>
      <c r="F301" s="24"/>
      <c r="G301" s="24"/>
      <c r="H301" s="24"/>
      <c r="I301" s="24"/>
    </row>
    <row r="302" spans="1:9">
      <c r="A302" s="9">
        <v>43080</v>
      </c>
      <c r="B302" s="10">
        <v>34178</v>
      </c>
      <c r="C302" s="10">
        <v>-294073</v>
      </c>
      <c r="D302" s="10">
        <v>231962</v>
      </c>
      <c r="E302" s="10">
        <v>807488</v>
      </c>
      <c r="F302" s="24">
        <f t="shared" ref="F302" si="155">B302/10000</f>
        <v>3.4178000000000002</v>
      </c>
      <c r="G302" s="24">
        <f t="shared" ref="G302" si="156">C302/10000</f>
        <v>-29.407299999999999</v>
      </c>
      <c r="H302" s="24">
        <f t="shared" ref="H302" si="157">D302/10000</f>
        <v>23.196200000000001</v>
      </c>
      <c r="I302" s="24">
        <f t="shared" ref="I302" si="158">E302/10000</f>
        <v>80.748800000000003</v>
      </c>
    </row>
    <row r="303" spans="1:9">
      <c r="A303" s="9">
        <v>43081</v>
      </c>
      <c r="B303" s="10">
        <v>10360</v>
      </c>
      <c r="C303" s="10">
        <v>-332158</v>
      </c>
      <c r="D303" s="10">
        <v>173053</v>
      </c>
      <c r="E303" s="10">
        <v>920567</v>
      </c>
      <c r="F303" s="24">
        <f t="shared" ref="F303" si="159">B303/10000</f>
        <v>1.036</v>
      </c>
      <c r="G303" s="24">
        <f t="shared" ref="G303" si="160">C303/10000</f>
        <v>-33.215800000000002</v>
      </c>
      <c r="H303" s="24">
        <f t="shared" ref="H303" si="161">D303/10000</f>
        <v>17.305299999999999</v>
      </c>
      <c r="I303" s="24">
        <f t="shared" ref="I303" si="162">E303/10000</f>
        <v>92.056700000000006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5"/>
  <sheetViews>
    <sheetView zoomScale="85" zoomScaleNormal="85" workbookViewId="0">
      <pane xSplit="1" ySplit="4" topLeftCell="B294" activePane="bottomRight" state="frozen"/>
      <selection pane="topRight" activeCell="B1" sqref="B1"/>
      <selection pane="bottomLeft" activeCell="A5" sqref="A5"/>
      <selection pane="bottomRight" activeCell="M311" sqref="M311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7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7:K298" si="97">B297-SUM(H297:J297)</f>
        <v>27635</v>
      </c>
      <c r="L297" s="22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90">
        <f t="shared" ref="F299" si="99">B299-SUM(C299:E299)</f>
        <v>46768</v>
      </c>
      <c r="G299" s="86"/>
      <c r="H299" s="88">
        <v>22265</v>
      </c>
      <c r="I299" s="10">
        <v>420</v>
      </c>
      <c r="J299" s="10">
        <v>4658</v>
      </c>
      <c r="K299" s="21">
        <f t="shared" ref="K299" si="100">B299-SUM(H299:J299)</f>
        <v>26404</v>
      </c>
      <c r="L299" s="22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90">
        <f t="shared" ref="F300" si="102">B300-SUM(C300:E300)</f>
        <v>44765</v>
      </c>
      <c r="G300" s="86"/>
      <c r="H300" s="88">
        <v>22708</v>
      </c>
      <c r="I300" s="10">
        <v>420</v>
      </c>
      <c r="J300" s="10">
        <v>4210</v>
      </c>
      <c r="K300" s="21">
        <f t="shared" ref="K300" si="103">B300-SUM(H300:J300)</f>
        <v>25307</v>
      </c>
      <c r="L300" s="22">
        <f t="shared" ref="L300" si="104">(F300-K300)/B300</f>
        <v>0.36960775002374396</v>
      </c>
    </row>
    <row r="301" spans="1:12">
      <c r="A301" s="9">
        <v>43077</v>
      </c>
      <c r="B301" s="10">
        <v>50521</v>
      </c>
      <c r="C301" s="10">
        <v>4872</v>
      </c>
      <c r="D301" s="10">
        <v>48</v>
      </c>
      <c r="E301" s="10">
        <v>2686</v>
      </c>
      <c r="F301" s="90">
        <f t="shared" ref="F301" si="105">B301-SUM(C301:E301)</f>
        <v>42915</v>
      </c>
      <c r="G301" s="86"/>
      <c r="H301" s="88">
        <v>21922</v>
      </c>
      <c r="I301" s="10">
        <v>420</v>
      </c>
      <c r="J301" s="10">
        <v>4311</v>
      </c>
      <c r="K301" s="21">
        <f t="shared" ref="K301" si="106">B301-SUM(H301:J301)</f>
        <v>23868</v>
      </c>
      <c r="L301" s="22">
        <f t="shared" ref="L301" si="107">(F301-K301)/B301</f>
        <v>0.37701153975574514</v>
      </c>
    </row>
    <row r="302" spans="1:12">
      <c r="A302" s="9">
        <v>43078</v>
      </c>
      <c r="B302" s="10"/>
      <c r="C302" s="10"/>
      <c r="D302" s="10"/>
      <c r="E302" s="10"/>
      <c r="F302" s="90"/>
      <c r="G302" s="86"/>
      <c r="H302" s="88"/>
      <c r="I302" s="10"/>
      <c r="J302" s="10"/>
      <c r="K302" s="21"/>
      <c r="L302" s="22"/>
    </row>
    <row r="303" spans="1:12">
      <c r="A303" s="9">
        <v>43079</v>
      </c>
      <c r="B303" s="10"/>
      <c r="C303" s="10"/>
      <c r="D303" s="10"/>
      <c r="E303" s="10"/>
      <c r="F303" s="90"/>
      <c r="G303" s="86"/>
      <c r="H303" s="88"/>
      <c r="I303" s="10"/>
      <c r="J303" s="10"/>
      <c r="K303" s="21"/>
      <c r="L303" s="22"/>
    </row>
    <row r="304" spans="1:12">
      <c r="A304" s="9">
        <v>43080</v>
      </c>
      <c r="B304" s="10">
        <v>49514</v>
      </c>
      <c r="C304" s="10">
        <v>4925</v>
      </c>
      <c r="D304" s="10">
        <v>48</v>
      </c>
      <c r="E304" s="10">
        <v>2008</v>
      </c>
      <c r="F304" s="90">
        <f t="shared" ref="F304" si="108">B304-SUM(C304:E304)</f>
        <v>42533</v>
      </c>
      <c r="G304" s="86"/>
      <c r="H304" s="88">
        <v>20188</v>
      </c>
      <c r="I304" s="10">
        <v>420</v>
      </c>
      <c r="J304" s="10">
        <v>3861</v>
      </c>
      <c r="K304" s="21">
        <f t="shared" ref="K304" si="109">B304-SUM(H304:J304)</f>
        <v>25045</v>
      </c>
      <c r="L304" s="22">
        <f t="shared" ref="L304" si="110">(F304-K304)/B304</f>
        <v>0.35319303631296201</v>
      </c>
    </row>
    <row r="305" spans="1:12">
      <c r="A305" s="9">
        <v>43081</v>
      </c>
      <c r="B305" s="10">
        <v>48697</v>
      </c>
      <c r="C305" s="10">
        <v>5619</v>
      </c>
      <c r="D305" s="10">
        <v>47</v>
      </c>
      <c r="E305" s="10">
        <v>1965</v>
      </c>
      <c r="F305" s="90">
        <f t="shared" ref="F305" si="111">B305-SUM(C305:E305)</f>
        <v>41066</v>
      </c>
      <c r="G305" s="86"/>
      <c r="H305" s="88">
        <v>19353</v>
      </c>
      <c r="I305" s="10">
        <v>420</v>
      </c>
      <c r="J305" s="10">
        <v>3365</v>
      </c>
      <c r="K305" s="21">
        <f t="shared" ref="K305" si="112">B305-SUM(H305:J305)</f>
        <v>25559</v>
      </c>
      <c r="L305" s="22">
        <f t="shared" ref="L305" si="113">(F305-K305)/B305</f>
        <v>0.31843850750559582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303"/>
  <sheetViews>
    <sheetView zoomScale="85" zoomScaleNormal="85" workbookViewId="0">
      <pane xSplit="1" ySplit="3" topLeftCell="B298" activePane="bottomRight" state="frozen"/>
      <selection pane="topRight" activeCell="B1" sqref="B1"/>
      <selection pane="bottomLeft" activeCell="A4" sqref="A4"/>
      <selection pane="bottomRight" activeCell="B303" sqref="B303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  <row r="297" spans="1:3">
      <c r="A297" s="9">
        <v>43075</v>
      </c>
      <c r="B297" s="10">
        <v>131.82</v>
      </c>
      <c r="C297" s="25">
        <f t="shared" ref="C297" si="34">B297/100</f>
        <v>1.3182</v>
      </c>
    </row>
    <row r="298" spans="1:3">
      <c r="A298" s="9">
        <v>43076</v>
      </c>
      <c r="B298" s="10">
        <v>126.17</v>
      </c>
      <c r="C298" s="25">
        <f t="shared" ref="C298" si="35">B298/100</f>
        <v>1.2617</v>
      </c>
    </row>
    <row r="299" spans="1:3">
      <c r="A299" s="9">
        <v>43077</v>
      </c>
      <c r="B299" s="10">
        <v>125.88</v>
      </c>
      <c r="C299" s="25">
        <f t="shared" ref="C299" si="36">B299/100</f>
        <v>1.2587999999999999</v>
      </c>
    </row>
    <row r="300" spans="1:3">
      <c r="A300" s="9">
        <v>43078</v>
      </c>
      <c r="B300" s="10"/>
      <c r="C300" s="25"/>
    </row>
    <row r="301" spans="1:3">
      <c r="A301" s="9">
        <v>43079</v>
      </c>
      <c r="B301" s="10"/>
      <c r="C301" s="25"/>
    </row>
    <row r="302" spans="1:3">
      <c r="A302" s="9">
        <v>43080</v>
      </c>
      <c r="B302" s="10">
        <v>133.01</v>
      </c>
      <c r="C302" s="25">
        <f t="shared" ref="C302" si="37">B302/100</f>
        <v>1.3300999999999998</v>
      </c>
    </row>
    <row r="303" spans="1:3">
      <c r="A303" s="9">
        <v>43081</v>
      </c>
      <c r="B303" s="10">
        <v>126.67</v>
      </c>
      <c r="C303" s="25">
        <f t="shared" ref="C303" si="38">B303/100</f>
        <v>1.2666999999999999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2017-12-12T11:56:40Z</dcterms:modified>
</cp:coreProperties>
</file>