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/>
  </bookViews>
  <sheets>
    <sheet name="盤後整理" sheetId="11" r:id="rId1"/>
    <sheet name="資料整合一覽" sheetId="1" r:id="rId2"/>
    <sheet name="大盤與近月台指" sheetId="2" r:id="rId3"/>
    <sheet name="三大法人買賣超" sheetId="12" r:id="rId4"/>
    <sheet name="外資期貨未平倉口數" sheetId="14" r:id="rId5"/>
    <sheet name="期貨大額交易人未沖銷部位" sheetId="18" r:id="rId6"/>
    <sheet name="選擇權未平倉餘額" sheetId="16" r:id="rId7"/>
    <sheet name="臺指選擇權P_C_Ratios" sheetId="17" r:id="rId8"/>
    <sheet name="新台幣匯率美元指數" sheetId="13" r:id="rId9"/>
    <sheet name="散戶多空比" sheetId="15" r:id="rId10"/>
    <sheet name="三大美股走勢" sheetId="1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1" l="1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C7" i="11" l="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<sst xmlns="http://schemas.openxmlformats.org/spreadsheetml/2006/main" count="355" uniqueCount="264">
  <si>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</si>
  <si>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</si>
  <si>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</si>
  <si>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</si>
  <si>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</si>
  <si>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</si>
  <si>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</si>
  <si>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</si>
  <si>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</si>
  <si>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</si>
  <si>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</si>
  <si>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</si>
  <si>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</si>
  <si>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</si>
  <si>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</si>
  <si>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</si>
  <si>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</si>
  <si>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</si>
  <si>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</si>
  <si>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</si>
  <si>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</si>
  <si>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</si>
  <si>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</si>
  <si>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</si>
  <si>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</si>
  <si>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</si>
  <si>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</si>
  <si>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</si>
  <si>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</si>
  <si>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</si>
  <si>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</si>
  <si>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</si>
  <si>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</si>
  <si>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</si>
  <si>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</si>
  <si>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</si>
  <si>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</si>
  <si>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</si>
  <si>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</si>
  <si>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</si>
  <si>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</si>
  <si>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</si>
  <si>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</si>
  <si>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</si>
  <si>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</si>
  <si>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</si>
  <si>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</si>
  <si>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</si>
  <si>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</si>
  <si>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</si>
  <si>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</si>
  <si>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</si>
  <si>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</si>
  <si>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</si>
  <si>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</si>
  <si>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</si>
  <si>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</si>
  <si>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</si>
  <si>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</si>
  <si>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</si>
  <si>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</si>
  <si>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</si>
  <si>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</si>
  <si>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</si>
  <si>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</si>
  <si>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</si>
  <si>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</si>
  <si>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</si>
  <si>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</si>
  <si>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</si>
  <si>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</si>
  <si>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</si>
  <si>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</si>
  <si>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</si>
  <si>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</si>
  <si>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</si>
  <si>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</si>
  <si>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</si>
  <si>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</si>
  <si>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</si>
  <si>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</si>
  <si>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</si>
  <si>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</si>
  <si>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</si>
  <si>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</si>
  <si>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</si>
  <si>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</si>
  <si>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</si>
  <si>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</si>
  <si>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</si>
  <si>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</si>
  <si>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</si>
  <si>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</si>
  <si>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</si>
  <si>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</si>
  <si>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</si>
  <si>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</si>
  <si>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</si>
  <si>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</si>
  <si>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</si>
  <si>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</si>
  <si>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</si>
  <si>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</si>
  <si>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</si>
  <si>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</si>
  <si>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</si>
  <si>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</si>
  <si>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</si>
  <si>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</si>
  <si>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</si>
  <si>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</si>
  <si>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</si>
  <si>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</si>
  <si>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</si>
  <si>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</si>
  <si>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</si>
  <si>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</si>
  <si>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</si>
  <si>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</si>
  <si>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</si>
  <si>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</si>
  <si>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</si>
  <si>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</si>
  <si>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</si>
  <si>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</si>
  <si>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</si>
  <si>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</si>
  <si>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</si>
  <si>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</si>
  <si>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</si>
  <si>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</si>
  <si>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</si>
  <si>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</si>
  <si>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</si>
  <si>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</si>
  <si>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</si>
  <si>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</si>
  <si>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</si>
  <si>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</si>
  <si>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</si>
  <si>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</si>
  <si>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</si>
  <si>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</si>
  <si>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</si>
  <si>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</si>
  <si>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</si>
  <si>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</si>
  <si>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</si>
  <si>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</si>
  <si>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</si>
  <si>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</si>
  <si>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</si>
  <si>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</si>
  <si>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</si>
  <si>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</si>
  <si>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</si>
  <si>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</si>
  <si>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</si>
  <si>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</si>
  <si>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</si>
  <si>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</si>
  <si>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</si>
  <si>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</si>
  <si>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</si>
  <si>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</si>
  <si>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</si>
  <si>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</si>
  <si>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</si>
  <si>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</si>
  <si>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</si>
  <si>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</si>
  <si>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</si>
  <si>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</si>
  <si>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</si>
  <si>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</si>
  <si>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</si>
  <si>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</si>
  <si>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</si>
  <si>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</si>
  <si>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</si>
  <si>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</si>
  <si>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</si>
  <si>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</si>
  <si>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</si>
  <si>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</si>
  <si>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</si>
  <si>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</si>
  <si>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</si>
  <si>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</si>
  <si>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</si>
  <si>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</si>
  <si>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</si>
  <si>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</si>
  <si>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</si>
  <si>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</si>
  <si>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</si>
  <si>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</si>
  <si>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</si>
  <si>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</si>
  <si>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</si>
  <si>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</si>
  <si>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</si>
  <si>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</si>
  <si>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</si>
  <si>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</si>
  <si>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</si>
  <si>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</si>
  <si>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</si>
  <si>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</si>
  <si>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</si>
  <si>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</si>
  <si>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</si>
  <si>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</si>
  <si>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</si>
  <si>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</si>
  <si>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</si>
  <si>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</si>
  <si>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</si>
  <si>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</si>
  <si>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</si>
  <si>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</si>
  <si>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</si>
  <si>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</si>
  <si>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</si>
  <si>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</si>
  <si>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</si>
  <si>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</si>
  <si>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</si>
  <si>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</si>
  <si>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http://www.taifex.com.tw/chinese/3/7_8.asp</t>
    <phoneticPr fontId="3" type="noConversion"/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</si>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</sst>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25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77495297"/>
  <ax:ocxPr ax:name="CurrentDate" ax:value="43122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zoomScale="105" zoomScaleNormal="105" workbookViewId="0">
      <selection activeCell="E13" sqref="E13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6" width="13.77734375" bestFit="1" customWidth="1"/>
    <col min="7" max="7" width="12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08" t="s">
        <v>2</v>
      </c>
      <c r="D5" s="108"/>
      <c r="E5" s="108"/>
      <c r="F5" s="108"/>
      <c r="G5" s="109" t="s">
        <v>34</v>
      </c>
      <c r="H5" s="110"/>
      <c r="I5" s="110"/>
      <c r="J5" s="110"/>
      <c r="K5" s="111" t="s">
        <v>9</v>
      </c>
      <c r="L5" s="112"/>
      <c r="M5" s="112"/>
    </row>
    <row r="6" spans="2:13" ht="31.2">
      <c r="B6" s="107">
        <v>43122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4"/>
      <c r="C7" s="33">
        <f>VLOOKUP($B$6,資料整合一覽!$B$3:$AF$500,2,FALSE)</f>
        <v>11231.46</v>
      </c>
      <c r="D7" s="34">
        <f>VLOOKUP($B$6,資料整合一覽!$B$3:$AF$500,3,FALSE)</f>
        <v>80.61</v>
      </c>
      <c r="E7" s="35">
        <f>VLOOKUP($B$6,資料整合一覽!$B$3:$AF$500,4,FALSE)</f>
        <v>7.1999999999999998E-3</v>
      </c>
      <c r="F7" s="33" t="str">
        <f>VLOOKUP($B$6,資料整合一覽!$B$3:$AF$500,5,FALSE)</f>
        <v>1485.6億</v>
      </c>
      <c r="G7" s="36">
        <f>VLOOKUP($B$6,資料整合一覽!$B$3:$AF$500,6,FALSE)</f>
        <v>-1.43377683</v>
      </c>
      <c r="H7" s="34">
        <f>VLOOKUP($B$6,資料整合一覽!$B$3:$AF$500,7,FALSE)</f>
        <v>2.1559668200000002</v>
      </c>
      <c r="I7" s="34">
        <f>VLOOKUP($B$6,資料整合一覽!$B$3:$AF$500,8,FALSE)</f>
        <v>-4.0137501899999997</v>
      </c>
      <c r="J7" s="34">
        <f>VLOOKUP($B$6,資料整合一覽!$B$3:$AF$500,9,FALSE)</f>
        <v>25.549984640000002</v>
      </c>
      <c r="K7" s="37">
        <f>VLOOKUP($B$6,資料整合一覽!$B$3:$AF$500,10,FALSE)</f>
        <v>29.431999999999999</v>
      </c>
      <c r="L7" s="38">
        <f>VLOOKUP($B$6,資料整合一覽!$B$3:$AF$500,11,FALSE)</f>
        <v>2E-3</v>
      </c>
      <c r="M7" s="39">
        <f>VLOOKUP($B$6,資料整合一覽!$B$3:$AF$500,12,FALSE)</f>
        <v>0</v>
      </c>
    </row>
    <row r="8" spans="2:13" ht="3" customHeight="1">
      <c r="B8" s="104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4"/>
      <c r="C9" s="105" t="s">
        <v>35</v>
      </c>
      <c r="D9" s="106"/>
      <c r="E9" s="113" t="s">
        <v>42</v>
      </c>
      <c r="F9" s="114"/>
      <c r="G9" s="114"/>
      <c r="H9" s="114"/>
      <c r="I9" s="5" t="s">
        <v>20</v>
      </c>
      <c r="J9" s="103" t="s">
        <v>22</v>
      </c>
      <c r="K9" s="101" t="s">
        <v>33</v>
      </c>
      <c r="L9" s="102"/>
      <c r="M9" s="102"/>
    </row>
    <row r="10" spans="2:13" ht="31.2">
      <c r="B10" s="104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4"/>
      <c r="K10" s="7" t="s">
        <v>102</v>
      </c>
      <c r="L10" s="7" t="s">
        <v>31</v>
      </c>
      <c r="M10" s="7" t="s">
        <v>32</v>
      </c>
    </row>
    <row r="11" spans="2:13" ht="32.4" customHeight="1">
      <c r="B11" s="104"/>
      <c r="C11" s="27">
        <f>VLOOKUP($B$6,資料整合一覽!$B$3:$AF$500,13,FALSE)</f>
        <v>3531</v>
      </c>
      <c r="D11" s="27">
        <f>VLOOKUP($B$6,資料整合一覽!$B$3:$AF$500,14,FALSE)</f>
        <v>42468.5</v>
      </c>
      <c r="E11" s="64">
        <f>VLOOKUP($B$6,資料整合一覽!$B$3:$AF$500,17,FALSE)</f>
        <v>0.46689999999999998</v>
      </c>
      <c r="F11" s="64">
        <f>VLOOKUP($B$6,資料整合一覽!$B$3:$AF$500,18,FALSE)</f>
        <v>3.6276000000000002</v>
      </c>
      <c r="G11" s="64">
        <f>VLOOKUP($B$6,資料整合一覽!$B$3:$AF$500,19,FALSE)</f>
        <v>74.4636</v>
      </c>
      <c r="H11" s="64">
        <f>VLOOKUP($B$6,資料整合一覽!$B$3:$AF$500,20,FALSE)</f>
        <v>14.234400000000001</v>
      </c>
      <c r="I11" s="39">
        <f>VLOOKUP($B$6,資料整合一覽!$B$3:$AF$500,21,FALSE)</f>
        <v>1.7437</v>
      </c>
      <c r="J11" s="41">
        <f>VLOOKUP($B$6,資料整合一覽!$B$3:$AF$500,22,FALSE)</f>
        <v>-0.26373107033513471</v>
      </c>
      <c r="K11" s="35">
        <f>VLOOKUP($B$6,資料整合一覽!$B$3:$AF$500,29,FALSE)</f>
        <v>0</v>
      </c>
      <c r="L11" s="35">
        <f>VLOOKUP($B$6,資料整合一覽!$B$3:$AF$500,30,FALSE)</f>
        <v>0</v>
      </c>
      <c r="M11" s="35">
        <f>VLOOKUP($B$6,資料整合一覽!$B$3:$AF$500,31,FALSE)</f>
        <v>0</v>
      </c>
    </row>
    <row r="12" spans="2:13">
      <c r="D12" s="99" t="s">
        <v>98</v>
      </c>
    </row>
    <row r="13" spans="2:13">
      <c r="D13" s="27">
        <f>VLOOKUP($B$6,資料整合一覽!$B$3:$AF$500,15,FALSE)</f>
        <v>-10880</v>
      </c>
    </row>
    <row r="14" spans="2:13">
      <c r="B14" s="63"/>
    </row>
    <row r="17" spans="6:6">
      <c r="F17" s="167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39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5" t="s">
        <v>0</v>
      </c>
      <c r="B1" s="15"/>
      <c r="C1" s="108" t="s">
        <v>2</v>
      </c>
      <c r="D1" s="108"/>
      <c r="E1" s="108"/>
      <c r="F1" s="108"/>
      <c r="G1" s="109" t="s">
        <v>34</v>
      </c>
      <c r="H1" s="110"/>
      <c r="I1" s="110"/>
      <c r="J1" s="110"/>
      <c r="K1" s="111" t="s">
        <v>9</v>
      </c>
      <c r="L1" s="112"/>
      <c r="M1" s="112"/>
      <c r="N1" s="105" t="s">
        <v>35</v>
      </c>
      <c r="O1" s="116"/>
      <c r="P1" s="116"/>
      <c r="Q1" s="116"/>
      <c r="R1" s="113" t="s">
        <v>42</v>
      </c>
      <c r="S1" s="114"/>
      <c r="T1" s="114"/>
      <c r="U1" s="114"/>
      <c r="V1" s="5" t="s">
        <v>20</v>
      </c>
      <c r="W1" s="103" t="s">
        <v>22</v>
      </c>
      <c r="X1" s="118" t="s">
        <v>29</v>
      </c>
      <c r="Y1" s="119"/>
      <c r="Z1" s="119"/>
      <c r="AA1" s="119"/>
      <c r="AB1" s="119"/>
      <c r="AC1" s="119"/>
      <c r="AD1" s="101" t="s">
        <v>33</v>
      </c>
      <c r="AE1" s="102"/>
      <c r="AF1" s="102"/>
    </row>
    <row r="2" spans="1:32" ht="31.2">
      <c r="A2" s="115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7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 t="e">
        <f>VLOOKUP($B341,選擇權未平倉餘額!$A$4:$I$500,6,FALSE)</f>
        <v>#N/A</v>
      </c>
      <c r="S341" s="64" t="e">
        <f>VLOOKUP($B341,選擇權未平倉餘額!$A$4:$I$500,7,FALSE)</f>
        <v>#N/A</v>
      </c>
      <c r="T341" s="64" t="e">
        <f>VLOOKUP($B341,選擇權未平倉餘額!$A$4:$I$500,8,FALSE)</f>
        <v>#N/A</v>
      </c>
      <c r="U341" s="64" t="e">
        <f>VLOOKUP($B341,選擇權未平倉餘額!$A$4:$I$500,9,FALSE)</f>
        <v>#N/A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 t="e">
        <f>VLOOKUP($B342,選擇權未平倉餘額!$A$4:$I$500,6,FALSE)</f>
        <v>#N/A</v>
      </c>
      <c r="S342" s="64" t="e">
        <f>VLOOKUP($B342,選擇權未平倉餘額!$A$4:$I$500,7,FALSE)</f>
        <v>#N/A</v>
      </c>
      <c r="T342" s="64" t="e">
        <f>VLOOKUP($B342,選擇權未平倉餘額!$A$4:$I$500,8,FALSE)</f>
        <v>#N/A</v>
      </c>
      <c r="U342" s="64" t="e">
        <f>VLOOKUP($B342,選擇權未平倉餘額!$A$4:$I$500,9,FALSE)</f>
        <v>#N/A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0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0</v>
      </c>
      <c r="AE343" s="33">
        <f>VLOOKUP($B343,三大美股走勢!$A$4:$J$495,7,FALSE)</f>
        <v>0</v>
      </c>
      <c r="AF343" s="33">
        <f>VLOOKUP($B343,三大美股走勢!$A$4:$J$495,10,FALSE)</f>
        <v>0</v>
      </c>
    </row>
    <row r="344" spans="2:32">
      <c r="B344" s="32">
        <v>43123</v>
      </c>
      <c r="C344" s="33" t="e">
        <f>VLOOKUP($B344,大盤與近月台指!$A$4:$I$499,2,FALSE)</f>
        <v>#N/A</v>
      </c>
      <c r="D344" s="34" t="e">
        <f>VLOOKUP($B344,大盤與近月台指!$A$4:$I$499,3,FALSE)</f>
        <v>#N/A</v>
      </c>
      <c r="E344" s="35" t="e">
        <f>VLOOKUP($B344,大盤與近月台指!$A$4:$I$499,4,FALSE)</f>
        <v>#N/A</v>
      </c>
      <c r="F344" s="33" t="e">
        <f>VLOOKUP($B344,大盤與近月台指!$A$4:$I$499,5,FALSE)</f>
        <v>#N/A</v>
      </c>
      <c r="G344" s="49">
        <f>VLOOKUP($B344,三大法人買賣超!$A$4:$I$500,3,FALSE)</f>
        <v>0</v>
      </c>
      <c r="H344" s="34">
        <f>VLOOKUP($B344,三大法人買賣超!$A$4:$I$500,5,FALSE)</f>
        <v>0</v>
      </c>
      <c r="I344" s="27">
        <f>VLOOKUP($B344,三大法人買賣超!$A$4:$I$500,7,FALSE)</f>
        <v>0</v>
      </c>
      <c r="J344" s="27">
        <f>VLOOKUP($B344,三大法人買賣超!$A$4:$I$500,9,FALSE)</f>
        <v>0</v>
      </c>
      <c r="K344" s="37">
        <f>新台幣匯率美元指數!B345</f>
        <v>0</v>
      </c>
      <c r="L344" s="38">
        <f>新台幣匯率美元指數!C345</f>
        <v>0</v>
      </c>
      <c r="M344" s="39">
        <f>新台幣匯率美元指數!D345</f>
        <v>0</v>
      </c>
      <c r="N344" s="27" t="e">
        <f>VLOOKUP($B344,外資期貨未平倉口數!$A$4:$M$499,4,FALSE)</f>
        <v>#N/A</v>
      </c>
      <c r="O344" s="27" t="e">
        <f>VLOOKUP($B344,外資期貨未平倉口數!$A$4:$M$499,9,FALSE)</f>
        <v>#N/A</v>
      </c>
      <c r="P344" s="27" t="e">
        <f>VLOOKUP($B344,外資期貨未平倉口數!$A$4:$M$499,10,FALSE)</f>
        <v>#N/A</v>
      </c>
      <c r="Q344" s="27" t="e">
        <f>VLOOKUP($B344,外資期貨未平倉口數!$A$4:$M$499,11,FALSE)</f>
        <v>#N/A</v>
      </c>
      <c r="R344" s="64" t="e">
        <f>VLOOKUP($B344,選擇權未平倉餘額!$A$4:$I$500,6,FALSE)</f>
        <v>#N/A</v>
      </c>
      <c r="S344" s="64" t="e">
        <f>VLOOKUP($B344,選擇權未平倉餘額!$A$4:$I$500,7,FALSE)</f>
        <v>#N/A</v>
      </c>
      <c r="T344" s="64" t="e">
        <f>VLOOKUP($B344,選擇權未平倉餘額!$A$4:$I$500,8,FALSE)</f>
        <v>#N/A</v>
      </c>
      <c r="U344" s="64" t="e">
        <f>VLOOKUP($B344,選擇權未平倉餘額!$A$4:$I$500,9,FALSE)</f>
        <v>#N/A</v>
      </c>
      <c r="V344" s="39" t="e">
        <f>VLOOKUP($B344,臺指選擇權P_C_Ratios!$A$4:$C$500,3,FALSE)</f>
        <v>#N/A</v>
      </c>
      <c r="W344" s="41" t="e">
        <f>VLOOKUP($B344,散戶多空比!$A$6:$L$500,12,FALSE)</f>
        <v>#N/A</v>
      </c>
      <c r="X344" s="40" t="e">
        <f>VLOOKUP($B344,期貨大額交易人未沖銷部位!$A$4:$O$499,4,FALSE)</f>
        <v>#N/A</v>
      </c>
      <c r="Y344" s="40" t="e">
        <f>VLOOKUP($B344,期貨大額交易人未沖銷部位!$A$4:$O$499,7,FALSE)</f>
        <v>#N/A</v>
      </c>
      <c r="Z344" s="40" t="e">
        <f>VLOOKUP($B344,期貨大額交易人未沖銷部位!$A$4:$O$499,10,FALSE)</f>
        <v>#N/A</v>
      </c>
      <c r="AA344" s="40" t="e">
        <f>VLOOKUP($B344,期貨大額交易人未沖銷部位!$A$4:$O$499,13,FALSE)</f>
        <v>#N/A</v>
      </c>
      <c r="AB344" s="40" t="e">
        <f>VLOOKUP($B344,期貨大額交易人未沖銷部位!$A$4:$O$499,14,FALSE)</f>
        <v>#N/A</v>
      </c>
      <c r="AC344" s="40" t="e">
        <f>VLOOKUP($B344,期貨大額交易人未沖銷部位!$A$4:$O$499,15,FALSE)</f>
        <v>#N/A</v>
      </c>
      <c r="AD344" s="33">
        <f>VLOOKUP($B344,三大美股走勢!$A$4:$J$495,4,FALSE)</f>
        <v>0</v>
      </c>
      <c r="AE344" s="33">
        <f>VLOOKUP($B344,三大美股走勢!$A$4:$J$495,7,FALSE)</f>
        <v>0</v>
      </c>
      <c r="AF344" s="33">
        <f>VLOOKUP($B344,三大美股走勢!$A$4:$J$495,10,FALSE)</f>
        <v>0</v>
      </c>
    </row>
    <row r="345" spans="2:32">
      <c r="B345" s="32">
        <v>43124</v>
      </c>
      <c r="C345" s="33" t="e">
        <f>VLOOKUP($B345,大盤與近月台指!$A$4:$I$499,2,FALSE)</f>
        <v>#N/A</v>
      </c>
      <c r="D345" s="34" t="e">
        <f>VLOOKUP($B345,大盤與近月台指!$A$4:$I$499,3,FALSE)</f>
        <v>#N/A</v>
      </c>
      <c r="E345" s="35" t="e">
        <f>VLOOKUP($B345,大盤與近月台指!$A$4:$I$499,4,FALSE)</f>
        <v>#N/A</v>
      </c>
      <c r="F345" s="33" t="e">
        <f>VLOOKUP($B345,大盤與近月台指!$A$4:$I$499,5,FALSE)</f>
        <v>#N/A</v>
      </c>
      <c r="G345" s="49">
        <f>VLOOKUP($B345,三大法人買賣超!$A$4:$I$500,3,FALSE)</f>
        <v>0</v>
      </c>
      <c r="H345" s="34">
        <f>VLOOKUP($B345,三大法人買賣超!$A$4:$I$500,5,FALSE)</f>
        <v>0</v>
      </c>
      <c r="I345" s="27">
        <f>VLOOKUP($B345,三大法人買賣超!$A$4:$I$500,7,FALSE)</f>
        <v>0</v>
      </c>
      <c r="J345" s="27">
        <f>VLOOKUP($B345,三大法人買賣超!$A$4:$I$500,9,FALSE)</f>
        <v>0</v>
      </c>
      <c r="K345" s="37">
        <f>新台幣匯率美元指數!B346</f>
        <v>0</v>
      </c>
      <c r="L345" s="38">
        <f>新台幣匯率美元指數!C346</f>
        <v>0</v>
      </c>
      <c r="M345" s="39">
        <f>新台幣匯率美元指數!D346</f>
        <v>0</v>
      </c>
      <c r="N345" s="27" t="e">
        <f>VLOOKUP($B345,外資期貨未平倉口數!$A$4:$M$499,4,FALSE)</f>
        <v>#N/A</v>
      </c>
      <c r="O345" s="27" t="e">
        <f>VLOOKUP($B345,外資期貨未平倉口數!$A$4:$M$499,9,FALSE)</f>
        <v>#N/A</v>
      </c>
      <c r="P345" s="27" t="e">
        <f>VLOOKUP($B345,外資期貨未平倉口數!$A$4:$M$499,10,FALSE)</f>
        <v>#N/A</v>
      </c>
      <c r="Q345" s="27" t="e">
        <f>VLOOKUP($B345,外資期貨未平倉口數!$A$4:$M$499,11,FALSE)</f>
        <v>#N/A</v>
      </c>
      <c r="R345" s="64" t="e">
        <f>VLOOKUP($B345,選擇權未平倉餘額!$A$4:$I$500,6,FALSE)</f>
        <v>#N/A</v>
      </c>
      <c r="S345" s="64" t="e">
        <f>VLOOKUP($B345,選擇權未平倉餘額!$A$4:$I$500,7,FALSE)</f>
        <v>#N/A</v>
      </c>
      <c r="T345" s="64" t="e">
        <f>VLOOKUP($B345,選擇權未平倉餘額!$A$4:$I$500,8,FALSE)</f>
        <v>#N/A</v>
      </c>
      <c r="U345" s="64" t="e">
        <f>VLOOKUP($B345,選擇權未平倉餘額!$A$4:$I$500,9,FALSE)</f>
        <v>#N/A</v>
      </c>
      <c r="V345" s="39" t="e">
        <f>VLOOKUP($B345,臺指選擇權P_C_Ratios!$A$4:$C$500,3,FALSE)</f>
        <v>#N/A</v>
      </c>
      <c r="W345" s="41" t="e">
        <f>VLOOKUP($B345,散戶多空比!$A$6:$L$500,12,FALSE)</f>
        <v>#N/A</v>
      </c>
      <c r="X345" s="40" t="e">
        <f>VLOOKUP($B345,期貨大額交易人未沖銷部位!$A$4:$O$499,4,FALSE)</f>
        <v>#N/A</v>
      </c>
      <c r="Y345" s="40" t="e">
        <f>VLOOKUP($B345,期貨大額交易人未沖銷部位!$A$4:$O$499,7,FALSE)</f>
        <v>#N/A</v>
      </c>
      <c r="Z345" s="40" t="e">
        <f>VLOOKUP($B345,期貨大額交易人未沖銷部位!$A$4:$O$499,10,FALSE)</f>
        <v>#N/A</v>
      </c>
      <c r="AA345" s="40" t="e">
        <f>VLOOKUP($B345,期貨大額交易人未沖銷部位!$A$4:$O$499,13,FALSE)</f>
        <v>#N/A</v>
      </c>
      <c r="AB345" s="40" t="e">
        <f>VLOOKUP($B345,期貨大額交易人未沖銷部位!$A$4:$O$499,14,FALSE)</f>
        <v>#N/A</v>
      </c>
      <c r="AC345" s="40" t="e">
        <f>VLOOKUP($B345,期貨大額交易人未沖銷部位!$A$4:$O$499,15,FALSE)</f>
        <v>#N/A</v>
      </c>
      <c r="AD345" s="33">
        <f>VLOOKUP($B345,三大美股走勢!$A$4:$J$495,4,FALSE)</f>
        <v>0</v>
      </c>
      <c r="AE345" s="33">
        <f>VLOOKUP($B345,三大美股走勢!$A$4:$J$495,7,FALSE)</f>
        <v>0</v>
      </c>
      <c r="AF345" s="33">
        <f>VLOOKUP($B345,三大美股走勢!$A$4:$J$495,10,FALSE)</f>
        <v>0</v>
      </c>
    </row>
    <row r="346" spans="2:32">
      <c r="B346" s="32">
        <v>43125</v>
      </c>
      <c r="C346" s="33" t="e">
        <f>VLOOKUP($B346,大盤與近月台指!$A$4:$I$499,2,FALSE)</f>
        <v>#N/A</v>
      </c>
      <c r="D346" s="34" t="e">
        <f>VLOOKUP($B346,大盤與近月台指!$A$4:$I$499,3,FALSE)</f>
        <v>#N/A</v>
      </c>
      <c r="E346" s="35" t="e">
        <f>VLOOKUP($B346,大盤與近月台指!$A$4:$I$499,4,FALSE)</f>
        <v>#N/A</v>
      </c>
      <c r="F346" s="33" t="e">
        <f>VLOOKUP($B346,大盤與近月台指!$A$4:$I$499,5,FALSE)</f>
        <v>#N/A</v>
      </c>
      <c r="G346" s="49">
        <f>VLOOKUP($B346,三大法人買賣超!$A$4:$I$500,3,FALSE)</f>
        <v>0</v>
      </c>
      <c r="H346" s="34">
        <f>VLOOKUP($B346,三大法人買賣超!$A$4:$I$500,5,FALSE)</f>
        <v>0</v>
      </c>
      <c r="I346" s="27">
        <f>VLOOKUP($B346,三大法人買賣超!$A$4:$I$500,7,FALSE)</f>
        <v>0</v>
      </c>
      <c r="J346" s="27">
        <f>VLOOKUP($B346,三大法人買賣超!$A$4:$I$500,9,FALSE)</f>
        <v>0</v>
      </c>
      <c r="K346" s="37">
        <f>新台幣匯率美元指數!B347</f>
        <v>0</v>
      </c>
      <c r="L346" s="38">
        <f>新台幣匯率美元指數!C347</f>
        <v>0</v>
      </c>
      <c r="M346" s="39">
        <f>新台幣匯率美元指數!D347</f>
        <v>0</v>
      </c>
      <c r="N346" s="27" t="e">
        <f>VLOOKUP($B346,外資期貨未平倉口數!$A$4:$M$499,4,FALSE)</f>
        <v>#N/A</v>
      </c>
      <c r="O346" s="27" t="e">
        <f>VLOOKUP($B346,外資期貨未平倉口數!$A$4:$M$499,9,FALSE)</f>
        <v>#N/A</v>
      </c>
      <c r="P346" s="27" t="e">
        <f>VLOOKUP($B346,外資期貨未平倉口數!$A$4:$M$499,10,FALSE)</f>
        <v>#N/A</v>
      </c>
      <c r="Q346" s="27" t="e">
        <f>VLOOKUP($B346,外資期貨未平倉口數!$A$4:$M$499,11,FALSE)</f>
        <v>#N/A</v>
      </c>
      <c r="R346" s="64" t="e">
        <f>VLOOKUP($B346,選擇權未平倉餘額!$A$4:$I$500,6,FALSE)</f>
        <v>#N/A</v>
      </c>
      <c r="S346" s="64" t="e">
        <f>VLOOKUP($B346,選擇權未平倉餘額!$A$4:$I$500,7,FALSE)</f>
        <v>#N/A</v>
      </c>
      <c r="T346" s="64" t="e">
        <f>VLOOKUP($B346,選擇權未平倉餘額!$A$4:$I$500,8,FALSE)</f>
        <v>#N/A</v>
      </c>
      <c r="U346" s="64" t="e">
        <f>VLOOKUP($B346,選擇權未平倉餘額!$A$4:$I$500,9,FALSE)</f>
        <v>#N/A</v>
      </c>
      <c r="V346" s="39" t="e">
        <f>VLOOKUP($B346,臺指選擇權P_C_Ratios!$A$4:$C$500,3,FALSE)</f>
        <v>#N/A</v>
      </c>
      <c r="W346" s="41" t="e">
        <f>VLOOKUP($B346,散戶多空比!$A$6:$L$500,12,FALSE)</f>
        <v>#N/A</v>
      </c>
      <c r="X346" s="40" t="e">
        <f>VLOOKUP($B346,期貨大額交易人未沖銷部位!$A$4:$O$499,4,FALSE)</f>
        <v>#N/A</v>
      </c>
      <c r="Y346" s="40" t="e">
        <f>VLOOKUP($B346,期貨大額交易人未沖銷部位!$A$4:$O$499,7,FALSE)</f>
        <v>#N/A</v>
      </c>
      <c r="Z346" s="40" t="e">
        <f>VLOOKUP($B346,期貨大額交易人未沖銷部位!$A$4:$O$499,10,FALSE)</f>
        <v>#N/A</v>
      </c>
      <c r="AA346" s="40" t="e">
        <f>VLOOKUP($B346,期貨大額交易人未沖銷部位!$A$4:$O$499,13,FALSE)</f>
        <v>#N/A</v>
      </c>
      <c r="AB346" s="40" t="e">
        <f>VLOOKUP($B346,期貨大額交易人未沖銷部位!$A$4:$O$499,14,FALSE)</f>
        <v>#N/A</v>
      </c>
      <c r="AC346" s="40" t="e">
        <f>VLOOKUP($B346,期貨大額交易人未沖銷部位!$A$4:$O$499,15,FALSE)</f>
        <v>#N/A</v>
      </c>
      <c r="AD346" s="33" t="e">
        <f>VLOOKUP($B346,三大美股走勢!$A$4:$J$495,4,FALSE)</f>
        <v>#N/A</v>
      </c>
      <c r="AE346" s="33" t="e">
        <f>VLOOKUP($B346,三大美股走勢!$A$4:$J$495,7,FALSE)</f>
        <v>#N/A</v>
      </c>
      <c r="AF346" s="33" t="e">
        <f>VLOOKUP($B346,三大美股走勢!$A$4:$J$495,10,FALSE)</f>
        <v>#N/A</v>
      </c>
    </row>
    <row r="347" spans="2:32">
      <c r="B347" s="32">
        <v>43126</v>
      </c>
      <c r="C347" s="33" t="e">
        <f>VLOOKUP($B347,大盤與近月台指!$A$4:$I$499,2,FALSE)</f>
        <v>#N/A</v>
      </c>
      <c r="D347" s="34" t="e">
        <f>VLOOKUP($B347,大盤與近月台指!$A$4:$I$499,3,FALSE)</f>
        <v>#N/A</v>
      </c>
      <c r="E347" s="35" t="e">
        <f>VLOOKUP($B347,大盤與近月台指!$A$4:$I$499,4,FALSE)</f>
        <v>#N/A</v>
      </c>
      <c r="F347" s="33" t="e">
        <f>VLOOKUP($B347,大盤與近月台指!$A$4:$I$499,5,FALSE)</f>
        <v>#N/A</v>
      </c>
      <c r="G347" s="49" t="e">
        <f>VLOOKUP($B347,三大法人買賣超!$A$4:$I$500,3,FALSE)</f>
        <v>#N/A</v>
      </c>
      <c r="H347" s="34" t="e">
        <f>VLOOKUP($B347,三大法人買賣超!$A$4:$I$500,5,FALSE)</f>
        <v>#N/A</v>
      </c>
      <c r="I347" s="27" t="e">
        <f>VLOOKUP($B347,三大法人買賣超!$A$4:$I$500,7,FALSE)</f>
        <v>#N/A</v>
      </c>
      <c r="J347" s="27" t="e">
        <f>VLOOKUP($B347,三大法人買賣超!$A$4:$I$500,9,FALSE)</f>
        <v>#N/A</v>
      </c>
      <c r="K347" s="37">
        <f>新台幣匯率美元指數!B348</f>
        <v>0</v>
      </c>
      <c r="L347" s="38">
        <f>新台幣匯率美元指數!C348</f>
        <v>0</v>
      </c>
      <c r="M347" s="39">
        <f>新台幣匯率美元指數!D348</f>
        <v>0</v>
      </c>
      <c r="N347" s="27" t="e">
        <f>VLOOKUP($B347,外資期貨未平倉口數!$A$4:$M$499,4,FALSE)</f>
        <v>#N/A</v>
      </c>
      <c r="O347" s="27" t="e">
        <f>VLOOKUP($B347,外資期貨未平倉口數!$A$4:$M$499,9,FALSE)</f>
        <v>#N/A</v>
      </c>
      <c r="P347" s="27" t="e">
        <f>VLOOKUP($B347,外資期貨未平倉口數!$A$4:$M$499,10,FALSE)</f>
        <v>#N/A</v>
      </c>
      <c r="Q347" s="27" t="e">
        <f>VLOOKUP($B347,外資期貨未平倉口數!$A$4:$M$499,11,FALSE)</f>
        <v>#N/A</v>
      </c>
      <c r="R347" s="64" t="e">
        <f>VLOOKUP($B347,選擇權未平倉餘額!$A$4:$I$500,6,FALSE)</f>
        <v>#N/A</v>
      </c>
      <c r="S347" s="64" t="e">
        <f>VLOOKUP($B347,選擇權未平倉餘額!$A$4:$I$500,7,FALSE)</f>
        <v>#N/A</v>
      </c>
      <c r="T347" s="64" t="e">
        <f>VLOOKUP($B347,選擇權未平倉餘額!$A$4:$I$500,8,FALSE)</f>
        <v>#N/A</v>
      </c>
      <c r="U347" s="64" t="e">
        <f>VLOOKUP($B347,選擇權未平倉餘額!$A$4:$I$500,9,FALSE)</f>
        <v>#N/A</v>
      </c>
      <c r="V347" s="39" t="e">
        <f>VLOOKUP($B347,臺指選擇權P_C_Ratios!$A$4:$C$500,3,FALSE)</f>
        <v>#N/A</v>
      </c>
      <c r="W347" s="41" t="e">
        <f>VLOOKUP($B347,散戶多空比!$A$6:$L$500,12,FALSE)</f>
        <v>#N/A</v>
      </c>
      <c r="X347" s="40" t="e">
        <f>VLOOKUP($B347,期貨大額交易人未沖銷部位!$A$4:$O$499,4,FALSE)</f>
        <v>#N/A</v>
      </c>
      <c r="Y347" s="40" t="e">
        <f>VLOOKUP($B347,期貨大額交易人未沖銷部位!$A$4:$O$499,7,FALSE)</f>
        <v>#N/A</v>
      </c>
      <c r="Z347" s="40" t="e">
        <f>VLOOKUP($B347,期貨大額交易人未沖銷部位!$A$4:$O$499,10,FALSE)</f>
        <v>#N/A</v>
      </c>
      <c r="AA347" s="40" t="e">
        <f>VLOOKUP($B347,期貨大額交易人未沖銷部位!$A$4:$O$499,13,FALSE)</f>
        <v>#N/A</v>
      </c>
      <c r="AB347" s="40" t="e">
        <f>VLOOKUP($B347,期貨大額交易人未沖銷部位!$A$4:$O$499,14,FALSE)</f>
        <v>#N/A</v>
      </c>
      <c r="AC347" s="40" t="e">
        <f>VLOOKUP($B347,期貨大額交易人未沖銷部位!$A$4:$O$499,15,FALSE)</f>
        <v>#N/A</v>
      </c>
      <c r="AD347" s="33" t="e">
        <f>VLOOKUP($B347,三大美股走勢!$A$4:$J$495,4,FALSE)</f>
        <v>#N/A</v>
      </c>
      <c r="AE347" s="33" t="e">
        <f>VLOOKUP($B347,三大美股走勢!$A$4:$J$495,7,FALSE)</f>
        <v>#N/A</v>
      </c>
      <c r="AF347" s="33" t="e">
        <f>VLOOKUP($B347,三大美股走勢!$A$4:$J$495,10,FALSE)</f>
        <v>#N/A</v>
      </c>
    </row>
    <row r="348" spans="2:32">
      <c r="B348" s="32">
        <v>43127</v>
      </c>
      <c r="C348" s="33" t="e">
        <f>VLOOKUP($B348,大盤與近月台指!$A$4:$I$499,2,FALSE)</f>
        <v>#N/A</v>
      </c>
      <c r="D348" s="34" t="e">
        <f>VLOOKUP($B348,大盤與近月台指!$A$4:$I$499,3,FALSE)</f>
        <v>#N/A</v>
      </c>
      <c r="E348" s="35" t="e">
        <f>VLOOKUP($B348,大盤與近月台指!$A$4:$I$499,4,FALSE)</f>
        <v>#N/A</v>
      </c>
      <c r="F348" s="33" t="e">
        <f>VLOOKUP($B348,大盤與近月台指!$A$4:$I$499,5,FALSE)</f>
        <v>#N/A</v>
      </c>
      <c r="G348" s="49" t="e">
        <f>VLOOKUP($B348,三大法人買賣超!$A$4:$I$500,3,FALSE)</f>
        <v>#N/A</v>
      </c>
      <c r="H348" s="34" t="e">
        <f>VLOOKUP($B348,三大法人買賣超!$A$4:$I$500,5,FALSE)</f>
        <v>#N/A</v>
      </c>
      <c r="I348" s="27" t="e">
        <f>VLOOKUP($B348,三大法人買賣超!$A$4:$I$500,7,FALSE)</f>
        <v>#N/A</v>
      </c>
      <c r="J348" s="27" t="e">
        <f>VLOOKUP($B348,三大法人買賣超!$A$4:$I$500,9,FALSE)</f>
        <v>#N/A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 t="e">
        <f>VLOOKUP($B348,外資期貨未平倉口數!$A$4:$M$499,4,FALSE)</f>
        <v>#N/A</v>
      </c>
      <c r="O348" s="27" t="e">
        <f>VLOOKUP($B348,外資期貨未平倉口數!$A$4:$M$499,9,FALSE)</f>
        <v>#N/A</v>
      </c>
      <c r="P348" s="27" t="e">
        <f>VLOOKUP($B348,外資期貨未平倉口數!$A$4:$M$499,10,FALSE)</f>
        <v>#N/A</v>
      </c>
      <c r="Q348" s="27" t="e">
        <f>VLOOKUP($B348,外資期貨未平倉口數!$A$4:$M$499,11,FALSE)</f>
        <v>#N/A</v>
      </c>
      <c r="R348" s="64" t="e">
        <f>VLOOKUP($B348,選擇權未平倉餘額!$A$4:$I$500,6,FALSE)</f>
        <v>#N/A</v>
      </c>
      <c r="S348" s="64" t="e">
        <f>VLOOKUP($B348,選擇權未平倉餘額!$A$4:$I$500,7,FALSE)</f>
        <v>#N/A</v>
      </c>
      <c r="T348" s="64" t="e">
        <f>VLOOKUP($B348,選擇權未平倉餘額!$A$4:$I$500,8,FALSE)</f>
        <v>#N/A</v>
      </c>
      <c r="U348" s="64" t="e">
        <f>VLOOKUP($B348,選擇權未平倉餘額!$A$4:$I$500,9,FALSE)</f>
        <v>#N/A</v>
      </c>
      <c r="V348" s="39" t="e">
        <f>VLOOKUP($B348,臺指選擇權P_C_Ratios!$A$4:$C$500,3,FALSE)</f>
        <v>#N/A</v>
      </c>
      <c r="W348" s="41" t="e">
        <f>VLOOKUP($B348,散戶多空比!$A$6:$L$500,12,FALSE)</f>
        <v>#N/A</v>
      </c>
      <c r="X348" s="40" t="e">
        <f>VLOOKUP($B348,期貨大額交易人未沖銷部位!$A$4:$O$499,4,FALSE)</f>
        <v>#N/A</v>
      </c>
      <c r="Y348" s="40" t="e">
        <f>VLOOKUP($B348,期貨大額交易人未沖銷部位!$A$4:$O$499,7,FALSE)</f>
        <v>#N/A</v>
      </c>
      <c r="Z348" s="40" t="e">
        <f>VLOOKUP($B348,期貨大額交易人未沖銷部位!$A$4:$O$499,10,FALSE)</f>
        <v>#N/A</v>
      </c>
      <c r="AA348" s="40" t="e">
        <f>VLOOKUP($B348,期貨大額交易人未沖銷部位!$A$4:$O$499,13,FALSE)</f>
        <v>#N/A</v>
      </c>
      <c r="AB348" s="40" t="e">
        <f>VLOOKUP($B348,期貨大額交易人未沖銷部位!$A$4:$O$499,14,FALSE)</f>
        <v>#N/A</v>
      </c>
      <c r="AC348" s="40" t="e">
        <f>VLOOKUP($B348,期貨大額交易人未沖銷部位!$A$4:$O$499,15,FALSE)</f>
        <v>#N/A</v>
      </c>
      <c r="AD348" s="33" t="e">
        <f>VLOOKUP($B348,三大美股走勢!$A$4:$J$495,4,FALSE)</f>
        <v>#N/A</v>
      </c>
      <c r="AE348" s="33" t="e">
        <f>VLOOKUP($B348,三大美股走勢!$A$4:$J$495,7,FALSE)</f>
        <v>#N/A</v>
      </c>
      <c r="AF348" s="33" t="e">
        <f>VLOOKUP($B348,三大美股走勢!$A$4:$J$495,10,FALSE)</f>
        <v>#N/A</v>
      </c>
    </row>
    <row r="349" spans="2:32">
      <c r="B349" s="32">
        <v>43128</v>
      </c>
      <c r="C349" s="33" t="e">
        <f>VLOOKUP($B349,大盤與近月台指!$A$4:$I$499,2,FALSE)</f>
        <v>#N/A</v>
      </c>
      <c r="D349" s="34" t="e">
        <f>VLOOKUP($B349,大盤與近月台指!$A$4:$I$499,3,FALSE)</f>
        <v>#N/A</v>
      </c>
      <c r="E349" s="35" t="e">
        <f>VLOOKUP($B349,大盤與近月台指!$A$4:$I$499,4,FALSE)</f>
        <v>#N/A</v>
      </c>
      <c r="F349" s="33" t="e">
        <f>VLOOKUP($B349,大盤與近月台指!$A$4:$I$499,5,FALSE)</f>
        <v>#N/A</v>
      </c>
      <c r="G349" s="49" t="e">
        <f>VLOOKUP($B349,三大法人買賣超!$A$4:$I$500,3,FALSE)</f>
        <v>#N/A</v>
      </c>
      <c r="H349" s="34" t="e">
        <f>VLOOKUP($B349,三大法人買賣超!$A$4:$I$500,5,FALSE)</f>
        <v>#N/A</v>
      </c>
      <c r="I349" s="27" t="e">
        <f>VLOOKUP($B349,三大法人買賣超!$A$4:$I$500,7,FALSE)</f>
        <v>#N/A</v>
      </c>
      <c r="J349" s="27" t="e">
        <f>VLOOKUP($B349,三大法人買賣超!$A$4:$I$500,9,FALSE)</f>
        <v>#N/A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 t="e">
        <f>VLOOKUP($B349,外資期貨未平倉口數!$A$4:$M$499,4,FALSE)</f>
        <v>#N/A</v>
      </c>
      <c r="O349" s="27" t="e">
        <f>VLOOKUP($B349,外資期貨未平倉口數!$A$4:$M$499,9,FALSE)</f>
        <v>#N/A</v>
      </c>
      <c r="P349" s="27" t="e">
        <f>VLOOKUP($B349,外資期貨未平倉口數!$A$4:$M$499,10,FALSE)</f>
        <v>#N/A</v>
      </c>
      <c r="Q349" s="27" t="e">
        <f>VLOOKUP($B349,外資期貨未平倉口數!$A$4:$M$499,11,FALSE)</f>
        <v>#N/A</v>
      </c>
      <c r="R349" s="64" t="e">
        <f>VLOOKUP($B349,選擇權未平倉餘額!$A$4:$I$500,6,FALSE)</f>
        <v>#N/A</v>
      </c>
      <c r="S349" s="64" t="e">
        <f>VLOOKUP($B349,選擇權未平倉餘額!$A$4:$I$500,7,FALSE)</f>
        <v>#N/A</v>
      </c>
      <c r="T349" s="64" t="e">
        <f>VLOOKUP($B349,選擇權未平倉餘額!$A$4:$I$500,8,FALSE)</f>
        <v>#N/A</v>
      </c>
      <c r="U349" s="64" t="e">
        <f>VLOOKUP($B349,選擇權未平倉餘額!$A$4:$I$500,9,FALSE)</f>
        <v>#N/A</v>
      </c>
      <c r="V349" s="39" t="e">
        <f>VLOOKUP($B349,臺指選擇權P_C_Ratios!$A$4:$C$500,3,FALSE)</f>
        <v>#N/A</v>
      </c>
      <c r="W349" s="41" t="e">
        <f>VLOOKUP($B349,散戶多空比!$A$6:$L$500,12,FALSE)</f>
        <v>#N/A</v>
      </c>
      <c r="X349" s="40" t="e">
        <f>VLOOKUP($B349,期貨大額交易人未沖銷部位!$A$4:$O$499,4,FALSE)</f>
        <v>#N/A</v>
      </c>
      <c r="Y349" s="40" t="e">
        <f>VLOOKUP($B349,期貨大額交易人未沖銷部位!$A$4:$O$499,7,FALSE)</f>
        <v>#N/A</v>
      </c>
      <c r="Z349" s="40" t="e">
        <f>VLOOKUP($B349,期貨大額交易人未沖銷部位!$A$4:$O$499,10,FALSE)</f>
        <v>#N/A</v>
      </c>
      <c r="AA349" s="40" t="e">
        <f>VLOOKUP($B349,期貨大額交易人未沖銷部位!$A$4:$O$499,13,FALSE)</f>
        <v>#N/A</v>
      </c>
      <c r="AB349" s="40" t="e">
        <f>VLOOKUP($B349,期貨大額交易人未沖銷部位!$A$4:$O$499,14,FALSE)</f>
        <v>#N/A</v>
      </c>
      <c r="AC349" s="40" t="e">
        <f>VLOOKUP($B349,期貨大額交易人未沖銷部位!$A$4:$O$499,15,FALSE)</f>
        <v>#N/A</v>
      </c>
      <c r="AD349" s="33" t="e">
        <f>VLOOKUP($B349,三大美股走勢!$A$4:$J$495,4,FALSE)</f>
        <v>#N/A</v>
      </c>
      <c r="AE349" s="33" t="e">
        <f>VLOOKUP($B349,三大美股走勢!$A$4:$J$495,7,FALSE)</f>
        <v>#N/A</v>
      </c>
      <c r="AF349" s="33" t="e">
        <f>VLOOKUP($B349,三大美股走勢!$A$4:$J$495,10,FALSE)</f>
        <v>#N/A</v>
      </c>
    </row>
    <row r="350" spans="2:32">
      <c r="B350" s="32">
        <v>43129</v>
      </c>
      <c r="C350" s="33" t="e">
        <f>VLOOKUP($B350,大盤與近月台指!$A$4:$I$499,2,FALSE)</f>
        <v>#N/A</v>
      </c>
      <c r="D350" s="34" t="e">
        <f>VLOOKUP($B350,大盤與近月台指!$A$4:$I$499,3,FALSE)</f>
        <v>#N/A</v>
      </c>
      <c r="E350" s="35" t="e">
        <f>VLOOKUP($B350,大盤與近月台指!$A$4:$I$499,4,FALSE)</f>
        <v>#N/A</v>
      </c>
      <c r="F350" s="33" t="e">
        <f>VLOOKUP($B350,大盤與近月台指!$A$4:$I$499,5,FALSE)</f>
        <v>#N/A</v>
      </c>
      <c r="G350" s="49" t="e">
        <f>VLOOKUP($B350,三大法人買賣超!$A$4:$I$500,3,FALSE)</f>
        <v>#N/A</v>
      </c>
      <c r="H350" s="34" t="e">
        <f>VLOOKUP($B350,三大法人買賣超!$A$4:$I$500,5,FALSE)</f>
        <v>#N/A</v>
      </c>
      <c r="I350" s="27" t="e">
        <f>VLOOKUP($B350,三大法人買賣超!$A$4:$I$500,7,FALSE)</f>
        <v>#N/A</v>
      </c>
      <c r="J350" s="27" t="e">
        <f>VLOOKUP($B350,三大法人買賣超!$A$4:$I$500,9,FALSE)</f>
        <v>#N/A</v>
      </c>
      <c r="K350" s="37">
        <f>新台幣匯率美元指數!B351</f>
        <v>0</v>
      </c>
      <c r="L350" s="38">
        <f>新台幣匯率美元指數!C351</f>
        <v>0</v>
      </c>
      <c r="M350" s="39">
        <f>新台幣匯率美元指數!D351</f>
        <v>0</v>
      </c>
      <c r="N350" s="27" t="e">
        <f>VLOOKUP($B350,外資期貨未平倉口數!$A$4:$M$499,4,FALSE)</f>
        <v>#N/A</v>
      </c>
      <c r="O350" s="27" t="e">
        <f>VLOOKUP($B350,外資期貨未平倉口數!$A$4:$M$499,9,FALSE)</f>
        <v>#N/A</v>
      </c>
      <c r="P350" s="27" t="e">
        <f>VLOOKUP($B350,外資期貨未平倉口數!$A$4:$M$499,10,FALSE)</f>
        <v>#N/A</v>
      </c>
      <c r="Q350" s="27" t="e">
        <f>VLOOKUP($B350,外資期貨未平倉口數!$A$4:$M$499,11,FALSE)</f>
        <v>#N/A</v>
      </c>
      <c r="R350" s="64" t="e">
        <f>VLOOKUP($B350,選擇權未平倉餘額!$A$4:$I$500,6,FALSE)</f>
        <v>#N/A</v>
      </c>
      <c r="S350" s="64" t="e">
        <f>VLOOKUP($B350,選擇權未平倉餘額!$A$4:$I$500,7,FALSE)</f>
        <v>#N/A</v>
      </c>
      <c r="T350" s="64" t="e">
        <f>VLOOKUP($B350,選擇權未平倉餘額!$A$4:$I$500,8,FALSE)</f>
        <v>#N/A</v>
      </c>
      <c r="U350" s="64" t="e">
        <f>VLOOKUP($B350,選擇權未平倉餘額!$A$4:$I$500,9,FALSE)</f>
        <v>#N/A</v>
      </c>
      <c r="V350" s="39" t="e">
        <f>VLOOKUP($B350,臺指選擇權P_C_Ratios!$A$4:$C$500,3,FALSE)</f>
        <v>#N/A</v>
      </c>
      <c r="W350" s="41" t="e">
        <f>VLOOKUP($B350,散戶多空比!$A$6:$L$500,12,FALSE)</f>
        <v>#N/A</v>
      </c>
      <c r="X350" s="40" t="e">
        <f>VLOOKUP($B350,期貨大額交易人未沖銷部位!$A$4:$O$499,4,FALSE)</f>
        <v>#N/A</v>
      </c>
      <c r="Y350" s="40" t="e">
        <f>VLOOKUP($B350,期貨大額交易人未沖銷部位!$A$4:$O$499,7,FALSE)</f>
        <v>#N/A</v>
      </c>
      <c r="Z350" s="40" t="e">
        <f>VLOOKUP($B350,期貨大額交易人未沖銷部位!$A$4:$O$499,10,FALSE)</f>
        <v>#N/A</v>
      </c>
      <c r="AA350" s="40" t="e">
        <f>VLOOKUP($B350,期貨大額交易人未沖銷部位!$A$4:$O$499,13,FALSE)</f>
        <v>#N/A</v>
      </c>
      <c r="AB350" s="40" t="e">
        <f>VLOOKUP($B350,期貨大額交易人未沖銷部位!$A$4:$O$499,14,FALSE)</f>
        <v>#N/A</v>
      </c>
      <c r="AC350" s="40" t="e">
        <f>VLOOKUP($B350,期貨大額交易人未沖銷部位!$A$4:$O$499,15,FALSE)</f>
        <v>#N/A</v>
      </c>
      <c r="AD350" s="33" t="e">
        <f>VLOOKUP($B350,三大美股走勢!$A$4:$J$495,4,FALSE)</f>
        <v>#N/A</v>
      </c>
      <c r="AE350" s="33" t="e">
        <f>VLOOKUP($B350,三大美股走勢!$A$4:$J$495,7,FALSE)</f>
        <v>#N/A</v>
      </c>
      <c r="AF350" s="33" t="e">
        <f>VLOOKUP($B350,三大美股走勢!$A$4:$J$495,10,FALSE)</f>
        <v>#N/A</v>
      </c>
    </row>
    <row r="351" spans="2:32">
      <c r="B351" s="32">
        <v>43130</v>
      </c>
      <c r="C351" s="33" t="e">
        <f>VLOOKUP($B351,大盤與近月台指!$A$4:$I$499,2,FALSE)</f>
        <v>#N/A</v>
      </c>
      <c r="D351" s="34" t="e">
        <f>VLOOKUP($B351,大盤與近月台指!$A$4:$I$499,3,FALSE)</f>
        <v>#N/A</v>
      </c>
      <c r="E351" s="35" t="e">
        <f>VLOOKUP($B351,大盤與近月台指!$A$4:$I$499,4,FALSE)</f>
        <v>#N/A</v>
      </c>
      <c r="F351" s="33" t="e">
        <f>VLOOKUP($B351,大盤與近月台指!$A$4:$I$499,5,FALSE)</f>
        <v>#N/A</v>
      </c>
      <c r="G351" s="49" t="e">
        <f>VLOOKUP($B351,三大法人買賣超!$A$4:$I$500,3,FALSE)</f>
        <v>#N/A</v>
      </c>
      <c r="H351" s="34" t="e">
        <f>VLOOKUP($B351,三大法人買賣超!$A$4:$I$500,5,FALSE)</f>
        <v>#N/A</v>
      </c>
      <c r="I351" s="27" t="e">
        <f>VLOOKUP($B351,三大法人買賣超!$A$4:$I$500,7,FALSE)</f>
        <v>#N/A</v>
      </c>
      <c r="J351" s="27" t="e">
        <f>VLOOKUP($B351,三大法人買賣超!$A$4:$I$500,9,FALSE)</f>
        <v>#N/A</v>
      </c>
      <c r="K351" s="37">
        <f>新台幣匯率美元指數!B352</f>
        <v>0</v>
      </c>
      <c r="L351" s="38">
        <f>新台幣匯率美元指數!C352</f>
        <v>0</v>
      </c>
      <c r="M351" s="39">
        <f>新台幣匯率美元指數!D352</f>
        <v>0</v>
      </c>
      <c r="N351" s="27" t="e">
        <f>VLOOKUP($B351,外資期貨未平倉口數!$A$4:$M$499,4,FALSE)</f>
        <v>#N/A</v>
      </c>
      <c r="O351" s="27" t="e">
        <f>VLOOKUP($B351,外資期貨未平倉口數!$A$4:$M$499,9,FALSE)</f>
        <v>#N/A</v>
      </c>
      <c r="P351" s="27" t="e">
        <f>VLOOKUP($B351,外資期貨未平倉口數!$A$4:$M$499,10,FALSE)</f>
        <v>#N/A</v>
      </c>
      <c r="Q351" s="27" t="e">
        <f>VLOOKUP($B351,外資期貨未平倉口數!$A$4:$M$499,11,FALSE)</f>
        <v>#N/A</v>
      </c>
      <c r="R351" s="64" t="e">
        <f>VLOOKUP($B351,選擇權未平倉餘額!$A$4:$I$500,6,FALSE)</f>
        <v>#N/A</v>
      </c>
      <c r="S351" s="64" t="e">
        <f>VLOOKUP($B351,選擇權未平倉餘額!$A$4:$I$500,7,FALSE)</f>
        <v>#N/A</v>
      </c>
      <c r="T351" s="64" t="e">
        <f>VLOOKUP($B351,選擇權未平倉餘額!$A$4:$I$500,8,FALSE)</f>
        <v>#N/A</v>
      </c>
      <c r="U351" s="64" t="e">
        <f>VLOOKUP($B351,選擇權未平倉餘額!$A$4:$I$500,9,FALSE)</f>
        <v>#N/A</v>
      </c>
      <c r="V351" s="39" t="e">
        <f>VLOOKUP($B351,臺指選擇權P_C_Ratios!$A$4:$C$500,3,FALSE)</f>
        <v>#N/A</v>
      </c>
      <c r="W351" s="41" t="e">
        <f>VLOOKUP($B351,散戶多空比!$A$6:$L$500,12,FALSE)</f>
        <v>#N/A</v>
      </c>
      <c r="X351" s="40" t="e">
        <f>VLOOKUP($B351,期貨大額交易人未沖銷部位!$A$4:$O$499,4,FALSE)</f>
        <v>#N/A</v>
      </c>
      <c r="Y351" s="40" t="e">
        <f>VLOOKUP($B351,期貨大額交易人未沖銷部位!$A$4:$O$499,7,FALSE)</f>
        <v>#N/A</v>
      </c>
      <c r="Z351" s="40" t="e">
        <f>VLOOKUP($B351,期貨大額交易人未沖銷部位!$A$4:$O$499,10,FALSE)</f>
        <v>#N/A</v>
      </c>
      <c r="AA351" s="40" t="e">
        <f>VLOOKUP($B351,期貨大額交易人未沖銷部位!$A$4:$O$499,13,FALSE)</f>
        <v>#N/A</v>
      </c>
      <c r="AB351" s="40" t="e">
        <f>VLOOKUP($B351,期貨大額交易人未沖銷部位!$A$4:$O$499,14,FALSE)</f>
        <v>#N/A</v>
      </c>
      <c r="AC351" s="40" t="e">
        <f>VLOOKUP($B351,期貨大額交易人未沖銷部位!$A$4:$O$499,15,FALSE)</f>
        <v>#N/A</v>
      </c>
      <c r="AD351" s="33" t="e">
        <f>VLOOKUP($B351,三大美股走勢!$A$4:$J$495,4,FALSE)</f>
        <v>#N/A</v>
      </c>
      <c r="AE351" s="33" t="e">
        <f>VLOOKUP($B351,三大美股走勢!$A$4:$J$495,7,FALSE)</f>
        <v>#N/A</v>
      </c>
      <c r="AF351" s="33" t="e">
        <f>VLOOKUP($B351,三大美股走勢!$A$4:$J$495,10,FALSE)</f>
        <v>#N/A</v>
      </c>
    </row>
    <row r="352" spans="2:32">
      <c r="B352" s="32">
        <v>43131</v>
      </c>
      <c r="C352" s="33" t="e">
        <f>VLOOKUP($B352,大盤與近月台指!$A$4:$I$499,2,FALSE)</f>
        <v>#N/A</v>
      </c>
      <c r="D352" s="34" t="e">
        <f>VLOOKUP($B352,大盤與近月台指!$A$4:$I$499,3,FALSE)</f>
        <v>#N/A</v>
      </c>
      <c r="E352" s="35" t="e">
        <f>VLOOKUP($B352,大盤與近月台指!$A$4:$I$499,4,FALSE)</f>
        <v>#N/A</v>
      </c>
      <c r="F352" s="33" t="e">
        <f>VLOOKUP($B352,大盤與近月台指!$A$4:$I$499,5,FALSE)</f>
        <v>#N/A</v>
      </c>
      <c r="G352" s="49" t="e">
        <f>VLOOKUP($B352,三大法人買賣超!$A$4:$I$500,3,FALSE)</f>
        <v>#N/A</v>
      </c>
      <c r="H352" s="34" t="e">
        <f>VLOOKUP($B352,三大法人買賣超!$A$4:$I$500,5,FALSE)</f>
        <v>#N/A</v>
      </c>
      <c r="I352" s="27" t="e">
        <f>VLOOKUP($B352,三大法人買賣超!$A$4:$I$500,7,FALSE)</f>
        <v>#N/A</v>
      </c>
      <c r="J352" s="27" t="e">
        <f>VLOOKUP($B352,三大法人買賣超!$A$4:$I$500,9,FALSE)</f>
        <v>#N/A</v>
      </c>
      <c r="K352" s="37">
        <f>新台幣匯率美元指數!B353</f>
        <v>0</v>
      </c>
      <c r="L352" s="38">
        <f>新台幣匯率美元指數!C353</f>
        <v>0</v>
      </c>
      <c r="M352" s="39">
        <f>新台幣匯率美元指數!D353</f>
        <v>0</v>
      </c>
      <c r="N352" s="27" t="e">
        <f>VLOOKUP($B352,外資期貨未平倉口數!$A$4:$M$499,4,FALSE)</f>
        <v>#N/A</v>
      </c>
      <c r="O352" s="27" t="e">
        <f>VLOOKUP($B352,外資期貨未平倉口數!$A$4:$M$499,9,FALSE)</f>
        <v>#N/A</v>
      </c>
      <c r="P352" s="27" t="e">
        <f>VLOOKUP($B352,外資期貨未平倉口數!$A$4:$M$499,10,FALSE)</f>
        <v>#N/A</v>
      </c>
      <c r="Q352" s="27" t="e">
        <f>VLOOKUP($B352,外資期貨未平倉口數!$A$4:$M$499,11,FALSE)</f>
        <v>#N/A</v>
      </c>
      <c r="R352" s="64" t="e">
        <f>VLOOKUP($B352,選擇權未平倉餘額!$A$4:$I$500,6,FALSE)</f>
        <v>#N/A</v>
      </c>
      <c r="S352" s="64" t="e">
        <f>VLOOKUP($B352,選擇權未平倉餘額!$A$4:$I$500,7,FALSE)</f>
        <v>#N/A</v>
      </c>
      <c r="T352" s="64" t="e">
        <f>VLOOKUP($B352,選擇權未平倉餘額!$A$4:$I$500,8,FALSE)</f>
        <v>#N/A</v>
      </c>
      <c r="U352" s="64" t="e">
        <f>VLOOKUP($B352,選擇權未平倉餘額!$A$4:$I$500,9,FALSE)</f>
        <v>#N/A</v>
      </c>
      <c r="V352" s="39" t="e">
        <f>VLOOKUP($B352,臺指選擇權P_C_Ratios!$A$4:$C$500,3,FALSE)</f>
        <v>#N/A</v>
      </c>
      <c r="W352" s="41" t="e">
        <f>VLOOKUP($B352,散戶多空比!$A$6:$L$500,12,FALSE)</f>
        <v>#N/A</v>
      </c>
      <c r="X352" s="40" t="e">
        <f>VLOOKUP($B352,期貨大額交易人未沖銷部位!$A$4:$O$499,4,FALSE)</f>
        <v>#N/A</v>
      </c>
      <c r="Y352" s="40" t="e">
        <f>VLOOKUP($B352,期貨大額交易人未沖銷部位!$A$4:$O$499,7,FALSE)</f>
        <v>#N/A</v>
      </c>
      <c r="Z352" s="40" t="e">
        <f>VLOOKUP($B352,期貨大額交易人未沖銷部位!$A$4:$O$499,10,FALSE)</f>
        <v>#N/A</v>
      </c>
      <c r="AA352" s="40" t="e">
        <f>VLOOKUP($B352,期貨大額交易人未沖銷部位!$A$4:$O$499,13,FALSE)</f>
        <v>#N/A</v>
      </c>
      <c r="AB352" s="40" t="e">
        <f>VLOOKUP($B352,期貨大額交易人未沖銷部位!$A$4:$O$499,14,FALSE)</f>
        <v>#N/A</v>
      </c>
      <c r="AC352" s="40" t="e">
        <f>VLOOKUP($B352,期貨大額交易人未沖銷部位!$A$4:$O$499,15,FALSE)</f>
        <v>#N/A</v>
      </c>
      <c r="AD352" s="33" t="e">
        <f>VLOOKUP($B352,三大美股走勢!$A$4:$J$495,4,FALSE)</f>
        <v>#N/A</v>
      </c>
      <c r="AE352" s="33" t="e">
        <f>VLOOKUP($B352,三大美股走勢!$A$4:$J$495,7,FALSE)</f>
        <v>#N/A</v>
      </c>
      <c r="AF352" s="33" t="e">
        <f>VLOOKUP($B352,三大美股走勢!$A$4:$J$495,10,FALSE)</f>
        <v>#N/A</v>
      </c>
    </row>
    <row r="353" spans="2:32">
      <c r="B353" s="32">
        <v>43132</v>
      </c>
      <c r="C353" s="33" t="e">
        <f>VLOOKUP($B353,大盤與近月台指!$A$4:$I$499,2,FALSE)</f>
        <v>#N/A</v>
      </c>
      <c r="D353" s="34" t="e">
        <f>VLOOKUP($B353,大盤與近月台指!$A$4:$I$499,3,FALSE)</f>
        <v>#N/A</v>
      </c>
      <c r="E353" s="35" t="e">
        <f>VLOOKUP($B353,大盤與近月台指!$A$4:$I$499,4,FALSE)</f>
        <v>#N/A</v>
      </c>
      <c r="F353" s="33" t="e">
        <f>VLOOKUP($B353,大盤與近月台指!$A$4:$I$499,5,FALSE)</f>
        <v>#N/A</v>
      </c>
      <c r="G353" s="49" t="e">
        <f>VLOOKUP($B353,三大法人買賣超!$A$4:$I$500,3,FALSE)</f>
        <v>#N/A</v>
      </c>
      <c r="H353" s="34" t="e">
        <f>VLOOKUP($B353,三大法人買賣超!$A$4:$I$500,5,FALSE)</f>
        <v>#N/A</v>
      </c>
      <c r="I353" s="27" t="e">
        <f>VLOOKUP($B353,三大法人買賣超!$A$4:$I$500,7,FALSE)</f>
        <v>#N/A</v>
      </c>
      <c r="J353" s="27" t="e">
        <f>VLOOKUP($B353,三大法人買賣超!$A$4:$I$500,9,FALSE)</f>
        <v>#N/A</v>
      </c>
      <c r="K353" s="37">
        <f>新台幣匯率美元指數!B354</f>
        <v>0</v>
      </c>
      <c r="L353" s="38">
        <f>新台幣匯率美元指數!C354</f>
        <v>0</v>
      </c>
      <c r="M353" s="39">
        <f>新台幣匯率美元指數!D354</f>
        <v>0</v>
      </c>
      <c r="N353" s="27" t="e">
        <f>VLOOKUP($B353,外資期貨未平倉口數!$A$4:$M$499,4,FALSE)</f>
        <v>#N/A</v>
      </c>
      <c r="O353" s="27" t="e">
        <f>VLOOKUP($B353,外資期貨未平倉口數!$A$4:$M$499,9,FALSE)</f>
        <v>#N/A</v>
      </c>
      <c r="P353" s="27" t="e">
        <f>VLOOKUP($B353,外資期貨未平倉口數!$A$4:$M$499,10,FALSE)</f>
        <v>#N/A</v>
      </c>
      <c r="Q353" s="27" t="e">
        <f>VLOOKUP($B353,外資期貨未平倉口數!$A$4:$M$499,11,FALSE)</f>
        <v>#N/A</v>
      </c>
      <c r="R353" s="64" t="e">
        <f>VLOOKUP($B353,選擇權未平倉餘額!$A$4:$I$500,6,FALSE)</f>
        <v>#N/A</v>
      </c>
      <c r="S353" s="64" t="e">
        <f>VLOOKUP($B353,選擇權未平倉餘額!$A$4:$I$500,7,FALSE)</f>
        <v>#N/A</v>
      </c>
      <c r="T353" s="64" t="e">
        <f>VLOOKUP($B353,選擇權未平倉餘額!$A$4:$I$500,8,FALSE)</f>
        <v>#N/A</v>
      </c>
      <c r="U353" s="64" t="e">
        <f>VLOOKUP($B353,選擇權未平倉餘額!$A$4:$I$500,9,FALSE)</f>
        <v>#N/A</v>
      </c>
      <c r="V353" s="39" t="e">
        <f>VLOOKUP($B353,臺指選擇權P_C_Ratios!$A$4:$C$500,3,FALSE)</f>
        <v>#N/A</v>
      </c>
      <c r="W353" s="41" t="e">
        <f>VLOOKUP($B353,散戶多空比!$A$6:$L$500,12,FALSE)</f>
        <v>#N/A</v>
      </c>
      <c r="X353" s="40" t="e">
        <f>VLOOKUP($B353,期貨大額交易人未沖銷部位!$A$4:$O$499,4,FALSE)</f>
        <v>#N/A</v>
      </c>
      <c r="Y353" s="40" t="e">
        <f>VLOOKUP($B353,期貨大額交易人未沖銷部位!$A$4:$O$499,7,FALSE)</f>
        <v>#N/A</v>
      </c>
      <c r="Z353" s="40" t="e">
        <f>VLOOKUP($B353,期貨大額交易人未沖銷部位!$A$4:$O$499,10,FALSE)</f>
        <v>#N/A</v>
      </c>
      <c r="AA353" s="40" t="e">
        <f>VLOOKUP($B353,期貨大額交易人未沖銷部位!$A$4:$O$499,13,FALSE)</f>
        <v>#N/A</v>
      </c>
      <c r="AB353" s="40" t="e">
        <f>VLOOKUP($B353,期貨大額交易人未沖銷部位!$A$4:$O$499,14,FALSE)</f>
        <v>#N/A</v>
      </c>
      <c r="AC353" s="40" t="e">
        <f>VLOOKUP($B353,期貨大額交易人未沖銷部位!$A$4:$O$499,15,FALSE)</f>
        <v>#N/A</v>
      </c>
      <c r="AD353" s="33" t="e">
        <f>VLOOKUP($B353,三大美股走勢!$A$4:$J$495,4,FALSE)</f>
        <v>#N/A</v>
      </c>
      <c r="AE353" s="33" t="e">
        <f>VLOOKUP($B353,三大美股走勢!$A$4:$J$495,7,FALSE)</f>
        <v>#N/A</v>
      </c>
      <c r="AF353" s="33" t="e">
        <f>VLOOKUP($B353,三大美股走勢!$A$4:$J$495,10,FALSE)</f>
        <v>#N/A</v>
      </c>
    </row>
    <row r="354" spans="2:32">
      <c r="B354" s="32">
        <v>43133</v>
      </c>
      <c r="C354" s="33" t="e">
        <f>VLOOKUP($B354,大盤與近月台指!$A$4:$I$499,2,FALSE)</f>
        <v>#N/A</v>
      </c>
      <c r="D354" s="34" t="e">
        <f>VLOOKUP($B354,大盤與近月台指!$A$4:$I$499,3,FALSE)</f>
        <v>#N/A</v>
      </c>
      <c r="E354" s="35" t="e">
        <f>VLOOKUP($B354,大盤與近月台指!$A$4:$I$499,4,FALSE)</f>
        <v>#N/A</v>
      </c>
      <c r="F354" s="33" t="e">
        <f>VLOOKUP($B354,大盤與近月台指!$A$4:$I$499,5,FALSE)</f>
        <v>#N/A</v>
      </c>
      <c r="G354" s="49" t="e">
        <f>VLOOKUP($B354,三大法人買賣超!$A$4:$I$500,3,FALSE)</f>
        <v>#N/A</v>
      </c>
      <c r="H354" s="34" t="e">
        <f>VLOOKUP($B354,三大法人買賣超!$A$4:$I$500,5,FALSE)</f>
        <v>#N/A</v>
      </c>
      <c r="I354" s="27" t="e">
        <f>VLOOKUP($B354,三大法人買賣超!$A$4:$I$500,7,FALSE)</f>
        <v>#N/A</v>
      </c>
      <c r="J354" s="27" t="e">
        <f>VLOOKUP($B354,三大法人買賣超!$A$4:$I$500,9,FALSE)</f>
        <v>#N/A</v>
      </c>
      <c r="K354" s="37">
        <f>新台幣匯率美元指數!B355</f>
        <v>0</v>
      </c>
      <c r="L354" s="38">
        <f>新台幣匯率美元指數!C355</f>
        <v>0</v>
      </c>
      <c r="M354" s="39">
        <f>新台幣匯率美元指數!D355</f>
        <v>0</v>
      </c>
      <c r="N354" s="27" t="e">
        <f>VLOOKUP($B354,外資期貨未平倉口數!$A$4:$M$499,4,FALSE)</f>
        <v>#N/A</v>
      </c>
      <c r="O354" s="27" t="e">
        <f>VLOOKUP($B354,外資期貨未平倉口數!$A$4:$M$499,9,FALSE)</f>
        <v>#N/A</v>
      </c>
      <c r="P354" s="27" t="e">
        <f>VLOOKUP($B354,外資期貨未平倉口數!$A$4:$M$499,10,FALSE)</f>
        <v>#N/A</v>
      </c>
      <c r="Q354" s="27" t="e">
        <f>VLOOKUP($B354,外資期貨未平倉口數!$A$4:$M$499,11,FALSE)</f>
        <v>#N/A</v>
      </c>
      <c r="R354" s="64" t="e">
        <f>VLOOKUP($B354,選擇權未平倉餘額!$A$4:$I$500,6,FALSE)</f>
        <v>#N/A</v>
      </c>
      <c r="S354" s="64" t="e">
        <f>VLOOKUP($B354,選擇權未平倉餘額!$A$4:$I$500,7,FALSE)</f>
        <v>#N/A</v>
      </c>
      <c r="T354" s="64" t="e">
        <f>VLOOKUP($B354,選擇權未平倉餘額!$A$4:$I$500,8,FALSE)</f>
        <v>#N/A</v>
      </c>
      <c r="U354" s="64" t="e">
        <f>VLOOKUP($B354,選擇權未平倉餘額!$A$4:$I$500,9,FALSE)</f>
        <v>#N/A</v>
      </c>
      <c r="V354" s="39" t="e">
        <f>VLOOKUP($B354,臺指選擇權P_C_Ratios!$A$4:$C$500,3,FALSE)</f>
        <v>#N/A</v>
      </c>
      <c r="W354" s="41" t="e">
        <f>VLOOKUP($B354,散戶多空比!$A$6:$L$500,12,FALSE)</f>
        <v>#N/A</v>
      </c>
      <c r="X354" s="40" t="e">
        <f>VLOOKUP($B354,期貨大額交易人未沖銷部位!$A$4:$O$499,4,FALSE)</f>
        <v>#N/A</v>
      </c>
      <c r="Y354" s="40" t="e">
        <f>VLOOKUP($B354,期貨大額交易人未沖銷部位!$A$4:$O$499,7,FALSE)</f>
        <v>#N/A</v>
      </c>
      <c r="Z354" s="40" t="e">
        <f>VLOOKUP($B354,期貨大額交易人未沖銷部位!$A$4:$O$499,10,FALSE)</f>
        <v>#N/A</v>
      </c>
      <c r="AA354" s="40" t="e">
        <f>VLOOKUP($B354,期貨大額交易人未沖銷部位!$A$4:$O$499,13,FALSE)</f>
        <v>#N/A</v>
      </c>
      <c r="AB354" s="40" t="e">
        <f>VLOOKUP($B354,期貨大額交易人未沖銷部位!$A$4:$O$499,14,FALSE)</f>
        <v>#N/A</v>
      </c>
      <c r="AC354" s="40" t="e">
        <f>VLOOKUP($B354,期貨大額交易人未沖銷部位!$A$4:$O$499,15,FALSE)</f>
        <v>#N/A</v>
      </c>
      <c r="AD354" s="33" t="e">
        <f>VLOOKUP($B354,三大美股走勢!$A$4:$J$495,4,FALSE)</f>
        <v>#N/A</v>
      </c>
      <c r="AE354" s="33" t="e">
        <f>VLOOKUP($B354,三大美股走勢!$A$4:$J$495,7,FALSE)</f>
        <v>#N/A</v>
      </c>
      <c r="AF354" s="33" t="e">
        <f>VLOOKUP($B354,三大美股走勢!$A$4:$J$495,10,FALSE)</f>
        <v>#N/A</v>
      </c>
    </row>
    <row r="355" spans="2:32">
      <c r="B355" s="32">
        <v>43134</v>
      </c>
      <c r="C355" s="33" t="e">
        <f>VLOOKUP($B355,大盤與近月台指!$A$4:$I$499,2,FALSE)</f>
        <v>#N/A</v>
      </c>
      <c r="D355" s="34" t="e">
        <f>VLOOKUP($B355,大盤與近月台指!$A$4:$I$499,3,FALSE)</f>
        <v>#N/A</v>
      </c>
      <c r="E355" s="35" t="e">
        <f>VLOOKUP($B355,大盤與近月台指!$A$4:$I$499,4,FALSE)</f>
        <v>#N/A</v>
      </c>
      <c r="F355" s="33" t="e">
        <f>VLOOKUP($B355,大盤與近月台指!$A$4:$I$499,5,FALSE)</f>
        <v>#N/A</v>
      </c>
      <c r="G355" s="49" t="e">
        <f>VLOOKUP($B355,三大法人買賣超!$A$4:$I$500,3,FALSE)</f>
        <v>#N/A</v>
      </c>
      <c r="H355" s="34" t="e">
        <f>VLOOKUP($B355,三大法人買賣超!$A$4:$I$500,5,FALSE)</f>
        <v>#N/A</v>
      </c>
      <c r="I355" s="27" t="e">
        <f>VLOOKUP($B355,三大法人買賣超!$A$4:$I$500,7,FALSE)</f>
        <v>#N/A</v>
      </c>
      <c r="J355" s="27" t="e">
        <f>VLOOKUP($B355,三大法人買賣超!$A$4:$I$500,9,FALSE)</f>
        <v>#N/A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 t="e">
        <f>VLOOKUP($B355,外資期貨未平倉口數!$A$4:$M$499,4,FALSE)</f>
        <v>#N/A</v>
      </c>
      <c r="O355" s="27" t="e">
        <f>VLOOKUP($B355,外資期貨未平倉口數!$A$4:$M$499,9,FALSE)</f>
        <v>#N/A</v>
      </c>
      <c r="P355" s="27" t="e">
        <f>VLOOKUP($B355,外資期貨未平倉口數!$A$4:$M$499,10,FALSE)</f>
        <v>#N/A</v>
      </c>
      <c r="Q355" s="27" t="e">
        <f>VLOOKUP($B355,外資期貨未平倉口數!$A$4:$M$499,11,FALSE)</f>
        <v>#N/A</v>
      </c>
      <c r="R355" s="64" t="e">
        <f>VLOOKUP($B355,選擇權未平倉餘額!$A$4:$I$500,6,FALSE)</f>
        <v>#N/A</v>
      </c>
      <c r="S355" s="64" t="e">
        <f>VLOOKUP($B355,選擇權未平倉餘額!$A$4:$I$500,7,FALSE)</f>
        <v>#N/A</v>
      </c>
      <c r="T355" s="64" t="e">
        <f>VLOOKUP($B355,選擇權未平倉餘額!$A$4:$I$500,8,FALSE)</f>
        <v>#N/A</v>
      </c>
      <c r="U355" s="64" t="e">
        <f>VLOOKUP($B355,選擇權未平倉餘額!$A$4:$I$500,9,FALSE)</f>
        <v>#N/A</v>
      </c>
      <c r="V355" s="39" t="e">
        <f>VLOOKUP($B355,臺指選擇權P_C_Ratios!$A$4:$C$500,3,FALSE)</f>
        <v>#N/A</v>
      </c>
      <c r="W355" s="41" t="e">
        <f>VLOOKUP($B355,散戶多空比!$A$6:$L$500,12,FALSE)</f>
        <v>#N/A</v>
      </c>
      <c r="X355" s="40" t="e">
        <f>VLOOKUP($B355,期貨大額交易人未沖銷部位!$A$4:$O$499,4,FALSE)</f>
        <v>#N/A</v>
      </c>
      <c r="Y355" s="40" t="e">
        <f>VLOOKUP($B355,期貨大額交易人未沖銷部位!$A$4:$O$499,7,FALSE)</f>
        <v>#N/A</v>
      </c>
      <c r="Z355" s="40" t="e">
        <f>VLOOKUP($B355,期貨大額交易人未沖銷部位!$A$4:$O$499,10,FALSE)</f>
        <v>#N/A</v>
      </c>
      <c r="AA355" s="40" t="e">
        <f>VLOOKUP($B355,期貨大額交易人未沖銷部位!$A$4:$O$499,13,FALSE)</f>
        <v>#N/A</v>
      </c>
      <c r="AB355" s="40" t="e">
        <f>VLOOKUP($B355,期貨大額交易人未沖銷部位!$A$4:$O$499,14,FALSE)</f>
        <v>#N/A</v>
      </c>
      <c r="AC355" s="40" t="e">
        <f>VLOOKUP($B355,期貨大額交易人未沖銷部位!$A$4:$O$499,15,FALSE)</f>
        <v>#N/A</v>
      </c>
      <c r="AD355" s="33" t="e">
        <f>VLOOKUP($B355,三大美股走勢!$A$4:$J$495,4,FALSE)</f>
        <v>#N/A</v>
      </c>
      <c r="AE355" s="33" t="e">
        <f>VLOOKUP($B355,三大美股走勢!$A$4:$J$495,7,FALSE)</f>
        <v>#N/A</v>
      </c>
      <c r="AF355" s="33" t="e">
        <f>VLOOKUP($B355,三大美股走勢!$A$4:$J$495,10,FALSE)</f>
        <v>#N/A</v>
      </c>
    </row>
    <row r="356" spans="2:32">
      <c r="B356" s="32">
        <v>43135</v>
      </c>
      <c r="C356" s="33" t="e">
        <f>VLOOKUP($B356,大盤與近月台指!$A$4:$I$499,2,FALSE)</f>
        <v>#N/A</v>
      </c>
      <c r="D356" s="34" t="e">
        <f>VLOOKUP($B356,大盤與近月台指!$A$4:$I$499,3,FALSE)</f>
        <v>#N/A</v>
      </c>
      <c r="E356" s="35" t="e">
        <f>VLOOKUP($B356,大盤與近月台指!$A$4:$I$499,4,FALSE)</f>
        <v>#N/A</v>
      </c>
      <c r="F356" s="33" t="e">
        <f>VLOOKUP($B356,大盤與近月台指!$A$4:$I$499,5,FALSE)</f>
        <v>#N/A</v>
      </c>
      <c r="G356" s="49" t="e">
        <f>VLOOKUP($B356,三大法人買賣超!$A$4:$I$500,3,FALSE)</f>
        <v>#N/A</v>
      </c>
      <c r="H356" s="34" t="e">
        <f>VLOOKUP($B356,三大法人買賣超!$A$4:$I$500,5,FALSE)</f>
        <v>#N/A</v>
      </c>
      <c r="I356" s="27" t="e">
        <f>VLOOKUP($B356,三大法人買賣超!$A$4:$I$500,7,FALSE)</f>
        <v>#N/A</v>
      </c>
      <c r="J356" s="27" t="e">
        <f>VLOOKUP($B356,三大法人買賣超!$A$4:$I$500,9,FALSE)</f>
        <v>#N/A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 t="e">
        <f>VLOOKUP($B356,外資期貨未平倉口數!$A$4:$M$499,4,FALSE)</f>
        <v>#N/A</v>
      </c>
      <c r="O356" s="27" t="e">
        <f>VLOOKUP($B356,外資期貨未平倉口數!$A$4:$M$499,9,FALSE)</f>
        <v>#N/A</v>
      </c>
      <c r="P356" s="27" t="e">
        <f>VLOOKUP($B356,外資期貨未平倉口數!$A$4:$M$499,10,FALSE)</f>
        <v>#N/A</v>
      </c>
      <c r="Q356" s="27" t="e">
        <f>VLOOKUP($B356,外資期貨未平倉口數!$A$4:$M$499,11,FALSE)</f>
        <v>#N/A</v>
      </c>
      <c r="R356" s="64" t="e">
        <f>VLOOKUP($B356,選擇權未平倉餘額!$A$4:$I$500,6,FALSE)</f>
        <v>#N/A</v>
      </c>
      <c r="S356" s="64" t="e">
        <f>VLOOKUP($B356,選擇權未平倉餘額!$A$4:$I$500,7,FALSE)</f>
        <v>#N/A</v>
      </c>
      <c r="T356" s="64" t="e">
        <f>VLOOKUP($B356,選擇權未平倉餘額!$A$4:$I$500,8,FALSE)</f>
        <v>#N/A</v>
      </c>
      <c r="U356" s="64" t="e">
        <f>VLOOKUP($B356,選擇權未平倉餘額!$A$4:$I$500,9,FALSE)</f>
        <v>#N/A</v>
      </c>
      <c r="V356" s="39" t="e">
        <f>VLOOKUP($B356,臺指選擇權P_C_Ratios!$A$4:$C$500,3,FALSE)</f>
        <v>#N/A</v>
      </c>
      <c r="W356" s="41" t="e">
        <f>VLOOKUP($B356,散戶多空比!$A$6:$L$500,12,FALSE)</f>
        <v>#N/A</v>
      </c>
      <c r="X356" s="40" t="e">
        <f>VLOOKUP($B356,期貨大額交易人未沖銷部位!$A$4:$O$499,4,FALSE)</f>
        <v>#N/A</v>
      </c>
      <c r="Y356" s="40" t="e">
        <f>VLOOKUP($B356,期貨大額交易人未沖銷部位!$A$4:$O$499,7,FALSE)</f>
        <v>#N/A</v>
      </c>
      <c r="Z356" s="40" t="e">
        <f>VLOOKUP($B356,期貨大額交易人未沖銷部位!$A$4:$O$499,10,FALSE)</f>
        <v>#N/A</v>
      </c>
      <c r="AA356" s="40" t="e">
        <f>VLOOKUP($B356,期貨大額交易人未沖銷部位!$A$4:$O$499,13,FALSE)</f>
        <v>#N/A</v>
      </c>
      <c r="AB356" s="40" t="e">
        <f>VLOOKUP($B356,期貨大額交易人未沖銷部位!$A$4:$O$499,14,FALSE)</f>
        <v>#N/A</v>
      </c>
      <c r="AC356" s="40" t="e">
        <f>VLOOKUP($B356,期貨大額交易人未沖銷部位!$A$4:$O$499,15,FALSE)</f>
        <v>#N/A</v>
      </c>
      <c r="AD356" s="33" t="e">
        <f>VLOOKUP($B356,三大美股走勢!$A$4:$J$495,4,FALSE)</f>
        <v>#N/A</v>
      </c>
      <c r="AE356" s="33" t="e">
        <f>VLOOKUP($B356,三大美股走勢!$A$4:$J$495,7,FALSE)</f>
        <v>#N/A</v>
      </c>
      <c r="AF356" s="33" t="e">
        <f>VLOOKUP($B356,三大美股走勢!$A$4:$J$495,10,FALSE)</f>
        <v>#N/A</v>
      </c>
    </row>
    <row r="357" spans="2:32">
      <c r="B357" s="32">
        <v>43136</v>
      </c>
      <c r="C357" s="33" t="e">
        <f>VLOOKUP($B357,大盤與近月台指!$A$4:$I$499,2,FALSE)</f>
        <v>#N/A</v>
      </c>
      <c r="D357" s="34" t="e">
        <f>VLOOKUP($B357,大盤與近月台指!$A$4:$I$499,3,FALSE)</f>
        <v>#N/A</v>
      </c>
      <c r="E357" s="35" t="e">
        <f>VLOOKUP($B357,大盤與近月台指!$A$4:$I$499,4,FALSE)</f>
        <v>#N/A</v>
      </c>
      <c r="F357" s="33" t="e">
        <f>VLOOKUP($B357,大盤與近月台指!$A$4:$I$499,5,FALSE)</f>
        <v>#N/A</v>
      </c>
      <c r="G357" s="49" t="e">
        <f>VLOOKUP($B357,三大法人買賣超!$A$4:$I$500,3,FALSE)</f>
        <v>#N/A</v>
      </c>
      <c r="H357" s="34" t="e">
        <f>VLOOKUP($B357,三大法人買賣超!$A$4:$I$500,5,FALSE)</f>
        <v>#N/A</v>
      </c>
      <c r="I357" s="27" t="e">
        <f>VLOOKUP($B357,三大法人買賣超!$A$4:$I$500,7,FALSE)</f>
        <v>#N/A</v>
      </c>
      <c r="J357" s="27" t="e">
        <f>VLOOKUP($B357,三大法人買賣超!$A$4:$I$500,9,FALSE)</f>
        <v>#N/A</v>
      </c>
      <c r="K357" s="37">
        <f>新台幣匯率美元指數!B358</f>
        <v>0</v>
      </c>
      <c r="L357" s="38">
        <f>新台幣匯率美元指數!C358</f>
        <v>0</v>
      </c>
      <c r="M357" s="39">
        <f>新台幣匯率美元指數!D358</f>
        <v>0</v>
      </c>
      <c r="N357" s="27" t="e">
        <f>VLOOKUP($B357,外資期貨未平倉口數!$A$4:$M$499,4,FALSE)</f>
        <v>#N/A</v>
      </c>
      <c r="O357" s="27" t="e">
        <f>VLOOKUP($B357,外資期貨未平倉口數!$A$4:$M$499,9,FALSE)</f>
        <v>#N/A</v>
      </c>
      <c r="P357" s="27" t="e">
        <f>VLOOKUP($B357,外資期貨未平倉口數!$A$4:$M$499,10,FALSE)</f>
        <v>#N/A</v>
      </c>
      <c r="Q357" s="27" t="e">
        <f>VLOOKUP($B357,外資期貨未平倉口數!$A$4:$M$499,11,FALSE)</f>
        <v>#N/A</v>
      </c>
      <c r="R357" s="64" t="e">
        <f>VLOOKUP($B357,選擇權未平倉餘額!$A$4:$I$500,6,FALSE)</f>
        <v>#N/A</v>
      </c>
      <c r="S357" s="64" t="e">
        <f>VLOOKUP($B357,選擇權未平倉餘額!$A$4:$I$500,7,FALSE)</f>
        <v>#N/A</v>
      </c>
      <c r="T357" s="64" t="e">
        <f>VLOOKUP($B357,選擇權未平倉餘額!$A$4:$I$500,8,FALSE)</f>
        <v>#N/A</v>
      </c>
      <c r="U357" s="64" t="e">
        <f>VLOOKUP($B357,選擇權未平倉餘額!$A$4:$I$500,9,FALSE)</f>
        <v>#N/A</v>
      </c>
      <c r="V357" s="39" t="e">
        <f>VLOOKUP($B357,臺指選擇權P_C_Ratios!$A$4:$C$500,3,FALSE)</f>
        <v>#N/A</v>
      </c>
      <c r="W357" s="41" t="e">
        <f>VLOOKUP($B357,散戶多空比!$A$6:$L$500,12,FALSE)</f>
        <v>#N/A</v>
      </c>
      <c r="X357" s="40" t="e">
        <f>VLOOKUP($B357,期貨大額交易人未沖銷部位!$A$4:$O$499,4,FALSE)</f>
        <v>#N/A</v>
      </c>
      <c r="Y357" s="40" t="e">
        <f>VLOOKUP($B357,期貨大額交易人未沖銷部位!$A$4:$O$499,7,FALSE)</f>
        <v>#N/A</v>
      </c>
      <c r="Z357" s="40" t="e">
        <f>VLOOKUP($B357,期貨大額交易人未沖銷部位!$A$4:$O$499,10,FALSE)</f>
        <v>#N/A</v>
      </c>
      <c r="AA357" s="40" t="e">
        <f>VLOOKUP($B357,期貨大額交易人未沖銷部位!$A$4:$O$499,13,FALSE)</f>
        <v>#N/A</v>
      </c>
      <c r="AB357" s="40" t="e">
        <f>VLOOKUP($B357,期貨大額交易人未沖銷部位!$A$4:$O$499,14,FALSE)</f>
        <v>#N/A</v>
      </c>
      <c r="AC357" s="40" t="e">
        <f>VLOOKUP($B357,期貨大額交易人未沖銷部位!$A$4:$O$499,15,FALSE)</f>
        <v>#N/A</v>
      </c>
      <c r="AD357" s="33" t="e">
        <f>VLOOKUP($B357,三大美股走勢!$A$4:$J$495,4,FALSE)</f>
        <v>#N/A</v>
      </c>
      <c r="AE357" s="33" t="e">
        <f>VLOOKUP($B357,三大美股走勢!$A$4:$J$495,7,FALSE)</f>
        <v>#N/A</v>
      </c>
      <c r="AF357" s="33" t="e">
        <f>VLOOKUP($B357,三大美股走勢!$A$4:$J$495,10,FALSE)</f>
        <v>#N/A</v>
      </c>
    </row>
    <row r="358" spans="2:32">
      <c r="B358" s="32">
        <v>43137</v>
      </c>
      <c r="C358" s="33" t="e">
        <f>VLOOKUP($B358,大盤與近月台指!$A$4:$I$499,2,FALSE)</f>
        <v>#N/A</v>
      </c>
      <c r="D358" s="34" t="e">
        <f>VLOOKUP($B358,大盤與近月台指!$A$4:$I$499,3,FALSE)</f>
        <v>#N/A</v>
      </c>
      <c r="E358" s="35" t="e">
        <f>VLOOKUP($B358,大盤與近月台指!$A$4:$I$499,4,FALSE)</f>
        <v>#N/A</v>
      </c>
      <c r="F358" s="33" t="e">
        <f>VLOOKUP($B358,大盤與近月台指!$A$4:$I$499,5,FALSE)</f>
        <v>#N/A</v>
      </c>
      <c r="G358" s="49" t="e">
        <f>VLOOKUP($B358,三大法人買賣超!$A$4:$I$500,3,FALSE)</f>
        <v>#N/A</v>
      </c>
      <c r="H358" s="34" t="e">
        <f>VLOOKUP($B358,三大法人買賣超!$A$4:$I$500,5,FALSE)</f>
        <v>#N/A</v>
      </c>
      <c r="I358" s="27" t="e">
        <f>VLOOKUP($B358,三大法人買賣超!$A$4:$I$500,7,FALSE)</f>
        <v>#N/A</v>
      </c>
      <c r="J358" s="27" t="e">
        <f>VLOOKUP($B358,三大法人買賣超!$A$4:$I$500,9,FALSE)</f>
        <v>#N/A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 t="e">
        <f>VLOOKUP($B358,外資期貨未平倉口數!$A$4:$M$499,4,FALSE)</f>
        <v>#N/A</v>
      </c>
      <c r="O358" s="27" t="e">
        <f>VLOOKUP($B358,外資期貨未平倉口數!$A$4:$M$499,9,FALSE)</f>
        <v>#N/A</v>
      </c>
      <c r="P358" s="27" t="e">
        <f>VLOOKUP($B358,外資期貨未平倉口數!$A$4:$M$499,10,FALSE)</f>
        <v>#N/A</v>
      </c>
      <c r="Q358" s="27" t="e">
        <f>VLOOKUP($B358,外資期貨未平倉口數!$A$4:$M$499,11,FALSE)</f>
        <v>#N/A</v>
      </c>
      <c r="R358" s="64" t="e">
        <f>VLOOKUP($B358,選擇權未平倉餘額!$A$4:$I$500,6,FALSE)</f>
        <v>#N/A</v>
      </c>
      <c r="S358" s="64" t="e">
        <f>VLOOKUP($B358,選擇權未平倉餘額!$A$4:$I$500,7,FALSE)</f>
        <v>#N/A</v>
      </c>
      <c r="T358" s="64" t="e">
        <f>VLOOKUP($B358,選擇權未平倉餘額!$A$4:$I$500,8,FALSE)</f>
        <v>#N/A</v>
      </c>
      <c r="U358" s="64" t="e">
        <f>VLOOKUP($B358,選擇權未平倉餘額!$A$4:$I$500,9,FALSE)</f>
        <v>#N/A</v>
      </c>
      <c r="V358" s="39" t="e">
        <f>VLOOKUP($B358,臺指選擇權P_C_Ratios!$A$4:$C$500,3,FALSE)</f>
        <v>#N/A</v>
      </c>
      <c r="W358" s="41" t="e">
        <f>VLOOKUP($B358,散戶多空比!$A$6:$L$500,12,FALSE)</f>
        <v>#N/A</v>
      </c>
      <c r="X358" s="40" t="e">
        <f>VLOOKUP($B358,期貨大額交易人未沖銷部位!$A$4:$O$499,4,FALSE)</f>
        <v>#N/A</v>
      </c>
      <c r="Y358" s="40" t="e">
        <f>VLOOKUP($B358,期貨大額交易人未沖銷部位!$A$4:$O$499,7,FALSE)</f>
        <v>#N/A</v>
      </c>
      <c r="Z358" s="40" t="e">
        <f>VLOOKUP($B358,期貨大額交易人未沖銷部位!$A$4:$O$499,10,FALSE)</f>
        <v>#N/A</v>
      </c>
      <c r="AA358" s="40" t="e">
        <f>VLOOKUP($B358,期貨大額交易人未沖銷部位!$A$4:$O$499,13,FALSE)</f>
        <v>#N/A</v>
      </c>
      <c r="AB358" s="40" t="e">
        <f>VLOOKUP($B358,期貨大額交易人未沖銷部位!$A$4:$O$499,14,FALSE)</f>
        <v>#N/A</v>
      </c>
      <c r="AC358" s="40" t="e">
        <f>VLOOKUP($B358,期貨大額交易人未沖銷部位!$A$4:$O$499,15,FALSE)</f>
        <v>#N/A</v>
      </c>
      <c r="AD358" s="33" t="e">
        <f>VLOOKUP($B358,三大美股走勢!$A$4:$J$495,4,FALSE)</f>
        <v>#N/A</v>
      </c>
      <c r="AE358" s="33" t="e">
        <f>VLOOKUP($B358,三大美股走勢!$A$4:$J$495,7,FALSE)</f>
        <v>#N/A</v>
      </c>
      <c r="AF358" s="33" t="e">
        <f>VLOOKUP($B358,三大美股走勢!$A$4:$J$495,10,FALSE)</f>
        <v>#N/A</v>
      </c>
    </row>
    <row r="359" spans="2:32">
      <c r="B359" s="32">
        <v>43138</v>
      </c>
      <c r="C359" s="33" t="e">
        <f>VLOOKUP($B359,大盤與近月台指!$A$4:$I$499,2,FALSE)</f>
        <v>#N/A</v>
      </c>
      <c r="D359" s="34" t="e">
        <f>VLOOKUP($B359,大盤與近月台指!$A$4:$I$499,3,FALSE)</f>
        <v>#N/A</v>
      </c>
      <c r="E359" s="35" t="e">
        <f>VLOOKUP($B359,大盤與近月台指!$A$4:$I$499,4,FALSE)</f>
        <v>#N/A</v>
      </c>
      <c r="F359" s="33" t="e">
        <f>VLOOKUP($B359,大盤與近月台指!$A$4:$I$499,5,FALSE)</f>
        <v>#N/A</v>
      </c>
      <c r="G359" s="49" t="e">
        <f>VLOOKUP($B359,三大法人買賣超!$A$4:$I$500,3,FALSE)</f>
        <v>#N/A</v>
      </c>
      <c r="H359" s="34" t="e">
        <f>VLOOKUP($B359,三大法人買賣超!$A$4:$I$500,5,FALSE)</f>
        <v>#N/A</v>
      </c>
      <c r="I359" s="27" t="e">
        <f>VLOOKUP($B359,三大法人買賣超!$A$4:$I$500,7,FALSE)</f>
        <v>#N/A</v>
      </c>
      <c r="J359" s="27" t="e">
        <f>VLOOKUP($B359,三大法人買賣超!$A$4:$I$500,9,FALSE)</f>
        <v>#N/A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 t="e">
        <f>VLOOKUP($B359,外資期貨未平倉口數!$A$4:$M$499,4,FALSE)</f>
        <v>#N/A</v>
      </c>
      <c r="O359" s="27" t="e">
        <f>VLOOKUP($B359,外資期貨未平倉口數!$A$4:$M$499,9,FALSE)</f>
        <v>#N/A</v>
      </c>
      <c r="P359" s="27" t="e">
        <f>VLOOKUP($B359,外資期貨未平倉口數!$A$4:$M$499,10,FALSE)</f>
        <v>#N/A</v>
      </c>
      <c r="Q359" s="27" t="e">
        <f>VLOOKUP($B359,外資期貨未平倉口數!$A$4:$M$499,11,FALSE)</f>
        <v>#N/A</v>
      </c>
      <c r="R359" s="64" t="e">
        <f>VLOOKUP($B359,選擇權未平倉餘額!$A$4:$I$500,6,FALSE)</f>
        <v>#N/A</v>
      </c>
      <c r="S359" s="64" t="e">
        <f>VLOOKUP($B359,選擇權未平倉餘額!$A$4:$I$500,7,FALSE)</f>
        <v>#N/A</v>
      </c>
      <c r="T359" s="64" t="e">
        <f>VLOOKUP($B359,選擇權未平倉餘額!$A$4:$I$500,8,FALSE)</f>
        <v>#N/A</v>
      </c>
      <c r="U359" s="64" t="e">
        <f>VLOOKUP($B359,選擇權未平倉餘額!$A$4:$I$500,9,FALSE)</f>
        <v>#N/A</v>
      </c>
      <c r="V359" s="39" t="e">
        <f>VLOOKUP($B359,臺指選擇權P_C_Ratios!$A$4:$C$500,3,FALSE)</f>
        <v>#N/A</v>
      </c>
      <c r="W359" s="41" t="e">
        <f>VLOOKUP($B359,散戶多空比!$A$6:$L$500,12,FALSE)</f>
        <v>#N/A</v>
      </c>
      <c r="X359" s="40" t="e">
        <f>VLOOKUP($B359,期貨大額交易人未沖銷部位!$A$4:$O$499,4,FALSE)</f>
        <v>#N/A</v>
      </c>
      <c r="Y359" s="40" t="e">
        <f>VLOOKUP($B359,期貨大額交易人未沖銷部位!$A$4:$O$499,7,FALSE)</f>
        <v>#N/A</v>
      </c>
      <c r="Z359" s="40" t="e">
        <f>VLOOKUP($B359,期貨大額交易人未沖銷部位!$A$4:$O$499,10,FALSE)</f>
        <v>#N/A</v>
      </c>
      <c r="AA359" s="40" t="e">
        <f>VLOOKUP($B359,期貨大額交易人未沖銷部位!$A$4:$O$499,13,FALSE)</f>
        <v>#N/A</v>
      </c>
      <c r="AB359" s="40" t="e">
        <f>VLOOKUP($B359,期貨大額交易人未沖銷部位!$A$4:$O$499,14,FALSE)</f>
        <v>#N/A</v>
      </c>
      <c r="AC359" s="40" t="e">
        <f>VLOOKUP($B359,期貨大額交易人未沖銷部位!$A$4:$O$499,15,FALSE)</f>
        <v>#N/A</v>
      </c>
      <c r="AD359" s="33" t="e">
        <f>VLOOKUP($B359,三大美股走勢!$A$4:$J$495,4,FALSE)</f>
        <v>#N/A</v>
      </c>
      <c r="AE359" s="33" t="e">
        <f>VLOOKUP($B359,三大美股走勢!$A$4:$J$495,7,FALSE)</f>
        <v>#N/A</v>
      </c>
      <c r="AF359" s="33" t="e">
        <f>VLOOKUP($B359,三大美股走勢!$A$4:$J$495,10,FALSE)</f>
        <v>#N/A</v>
      </c>
    </row>
    <row r="360" spans="2:32">
      <c r="B360" s="32">
        <v>43139</v>
      </c>
      <c r="C360" s="33" t="e">
        <f>VLOOKUP($B360,大盤與近月台指!$A$4:$I$499,2,FALSE)</f>
        <v>#N/A</v>
      </c>
      <c r="D360" s="34" t="e">
        <f>VLOOKUP($B360,大盤與近月台指!$A$4:$I$499,3,FALSE)</f>
        <v>#N/A</v>
      </c>
      <c r="E360" s="35" t="e">
        <f>VLOOKUP($B360,大盤與近月台指!$A$4:$I$499,4,FALSE)</f>
        <v>#N/A</v>
      </c>
      <c r="F360" s="33" t="e">
        <f>VLOOKUP($B360,大盤與近月台指!$A$4:$I$499,5,FALSE)</f>
        <v>#N/A</v>
      </c>
      <c r="G360" s="49" t="e">
        <f>VLOOKUP($B360,三大法人買賣超!$A$4:$I$500,3,FALSE)</f>
        <v>#N/A</v>
      </c>
      <c r="H360" s="34" t="e">
        <f>VLOOKUP($B360,三大法人買賣超!$A$4:$I$500,5,FALSE)</f>
        <v>#N/A</v>
      </c>
      <c r="I360" s="27" t="e">
        <f>VLOOKUP($B360,三大法人買賣超!$A$4:$I$500,7,FALSE)</f>
        <v>#N/A</v>
      </c>
      <c r="J360" s="27" t="e">
        <f>VLOOKUP($B360,三大法人買賣超!$A$4:$I$500,9,FALSE)</f>
        <v>#N/A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0</v>
      </c>
      <c r="N360" s="27" t="e">
        <f>VLOOKUP($B360,外資期貨未平倉口數!$A$4:$M$499,4,FALSE)</f>
        <v>#N/A</v>
      </c>
      <c r="O360" s="27" t="e">
        <f>VLOOKUP($B360,外資期貨未平倉口數!$A$4:$M$499,9,FALSE)</f>
        <v>#N/A</v>
      </c>
      <c r="P360" s="27" t="e">
        <f>VLOOKUP($B360,外資期貨未平倉口數!$A$4:$M$499,10,FALSE)</f>
        <v>#N/A</v>
      </c>
      <c r="Q360" s="27" t="e">
        <f>VLOOKUP($B360,外資期貨未平倉口數!$A$4:$M$499,11,FALSE)</f>
        <v>#N/A</v>
      </c>
      <c r="R360" s="64" t="e">
        <f>VLOOKUP($B360,選擇權未平倉餘額!$A$4:$I$500,6,FALSE)</f>
        <v>#N/A</v>
      </c>
      <c r="S360" s="64" t="e">
        <f>VLOOKUP($B360,選擇權未平倉餘額!$A$4:$I$500,7,FALSE)</f>
        <v>#N/A</v>
      </c>
      <c r="T360" s="64" t="e">
        <f>VLOOKUP($B360,選擇權未平倉餘額!$A$4:$I$500,8,FALSE)</f>
        <v>#N/A</v>
      </c>
      <c r="U360" s="64" t="e">
        <f>VLOOKUP($B360,選擇權未平倉餘額!$A$4:$I$500,9,FALSE)</f>
        <v>#N/A</v>
      </c>
      <c r="V360" s="39" t="e">
        <f>VLOOKUP($B360,臺指選擇權P_C_Ratios!$A$4:$C$500,3,FALSE)</f>
        <v>#N/A</v>
      </c>
      <c r="W360" s="41" t="e">
        <f>VLOOKUP($B360,散戶多空比!$A$6:$L$500,12,FALSE)</f>
        <v>#N/A</v>
      </c>
      <c r="X360" s="40" t="e">
        <f>VLOOKUP($B360,期貨大額交易人未沖銷部位!$A$4:$O$499,4,FALSE)</f>
        <v>#N/A</v>
      </c>
      <c r="Y360" s="40" t="e">
        <f>VLOOKUP($B360,期貨大額交易人未沖銷部位!$A$4:$O$499,7,FALSE)</f>
        <v>#N/A</v>
      </c>
      <c r="Z360" s="40" t="e">
        <f>VLOOKUP($B360,期貨大額交易人未沖銷部位!$A$4:$O$499,10,FALSE)</f>
        <v>#N/A</v>
      </c>
      <c r="AA360" s="40" t="e">
        <f>VLOOKUP($B360,期貨大額交易人未沖銷部位!$A$4:$O$499,13,FALSE)</f>
        <v>#N/A</v>
      </c>
      <c r="AB360" s="40" t="e">
        <f>VLOOKUP($B360,期貨大額交易人未沖銷部位!$A$4:$O$499,14,FALSE)</f>
        <v>#N/A</v>
      </c>
      <c r="AC360" s="40" t="e">
        <f>VLOOKUP($B360,期貨大額交易人未沖銷部位!$A$4:$O$499,15,FALSE)</f>
        <v>#N/A</v>
      </c>
      <c r="AD360" s="33" t="e">
        <f>VLOOKUP($B360,三大美股走勢!$A$4:$J$495,4,FALSE)</f>
        <v>#N/A</v>
      </c>
      <c r="AE360" s="33" t="e">
        <f>VLOOKUP($B360,三大美股走勢!$A$4:$J$495,7,FALSE)</f>
        <v>#N/A</v>
      </c>
      <c r="AF360" s="33" t="e">
        <f>VLOOKUP($B360,三大美股走勢!$A$4:$J$495,10,FALSE)</f>
        <v>#N/A</v>
      </c>
    </row>
    <row r="361" spans="2:32">
      <c r="B361" s="32">
        <v>43140</v>
      </c>
      <c r="C361" s="33" t="e">
        <f>VLOOKUP($B361,大盤與近月台指!$A$4:$I$499,2,FALSE)</f>
        <v>#N/A</v>
      </c>
      <c r="D361" s="34" t="e">
        <f>VLOOKUP($B361,大盤與近月台指!$A$4:$I$499,3,FALSE)</f>
        <v>#N/A</v>
      </c>
      <c r="E361" s="35" t="e">
        <f>VLOOKUP($B361,大盤與近月台指!$A$4:$I$499,4,FALSE)</f>
        <v>#N/A</v>
      </c>
      <c r="F361" s="33" t="e">
        <f>VLOOKUP($B361,大盤與近月台指!$A$4:$I$499,5,FALSE)</f>
        <v>#N/A</v>
      </c>
      <c r="G361" s="49" t="e">
        <f>VLOOKUP($B361,三大法人買賣超!$A$4:$I$500,3,FALSE)</f>
        <v>#N/A</v>
      </c>
      <c r="H361" s="34" t="e">
        <f>VLOOKUP($B361,三大法人買賣超!$A$4:$I$500,5,FALSE)</f>
        <v>#N/A</v>
      </c>
      <c r="I361" s="27" t="e">
        <f>VLOOKUP($B361,三大法人買賣超!$A$4:$I$500,7,FALSE)</f>
        <v>#N/A</v>
      </c>
      <c r="J361" s="27" t="e">
        <f>VLOOKUP($B361,三大法人買賣超!$A$4:$I$500,9,FALSE)</f>
        <v>#N/A</v>
      </c>
      <c r="K361" s="37">
        <f>新台幣匯率美元指數!B362</f>
        <v>0</v>
      </c>
      <c r="L361" s="38">
        <f>新台幣匯率美元指數!C362</f>
        <v>0</v>
      </c>
      <c r="M361" s="39">
        <f>新台幣匯率美元指數!D362</f>
        <v>0</v>
      </c>
      <c r="N361" s="27" t="e">
        <f>VLOOKUP($B361,外資期貨未平倉口數!$A$4:$M$499,4,FALSE)</f>
        <v>#N/A</v>
      </c>
      <c r="O361" s="27" t="e">
        <f>VLOOKUP($B361,外資期貨未平倉口數!$A$4:$M$499,9,FALSE)</f>
        <v>#N/A</v>
      </c>
      <c r="P361" s="27" t="e">
        <f>VLOOKUP($B361,外資期貨未平倉口數!$A$4:$M$499,10,FALSE)</f>
        <v>#N/A</v>
      </c>
      <c r="Q361" s="27" t="e">
        <f>VLOOKUP($B361,外資期貨未平倉口數!$A$4:$M$499,11,FALSE)</f>
        <v>#N/A</v>
      </c>
      <c r="R361" s="64" t="e">
        <f>VLOOKUP($B361,選擇權未平倉餘額!$A$4:$I$500,6,FALSE)</f>
        <v>#N/A</v>
      </c>
      <c r="S361" s="64" t="e">
        <f>VLOOKUP($B361,選擇權未平倉餘額!$A$4:$I$500,7,FALSE)</f>
        <v>#N/A</v>
      </c>
      <c r="T361" s="64" t="e">
        <f>VLOOKUP($B361,選擇權未平倉餘額!$A$4:$I$500,8,FALSE)</f>
        <v>#N/A</v>
      </c>
      <c r="U361" s="64" t="e">
        <f>VLOOKUP($B361,選擇權未平倉餘額!$A$4:$I$500,9,FALSE)</f>
        <v>#N/A</v>
      </c>
      <c r="V361" s="39" t="e">
        <f>VLOOKUP($B361,臺指選擇權P_C_Ratios!$A$4:$C$500,3,FALSE)</f>
        <v>#N/A</v>
      </c>
      <c r="W361" s="41" t="e">
        <f>VLOOKUP($B361,散戶多空比!$A$6:$L$500,12,FALSE)</f>
        <v>#N/A</v>
      </c>
      <c r="X361" s="40" t="e">
        <f>VLOOKUP($B361,期貨大額交易人未沖銷部位!$A$4:$O$499,4,FALSE)</f>
        <v>#N/A</v>
      </c>
      <c r="Y361" s="40" t="e">
        <f>VLOOKUP($B361,期貨大額交易人未沖銷部位!$A$4:$O$499,7,FALSE)</f>
        <v>#N/A</v>
      </c>
      <c r="Z361" s="40" t="e">
        <f>VLOOKUP($B361,期貨大額交易人未沖銷部位!$A$4:$O$499,10,FALSE)</f>
        <v>#N/A</v>
      </c>
      <c r="AA361" s="40" t="e">
        <f>VLOOKUP($B361,期貨大額交易人未沖銷部位!$A$4:$O$499,13,FALSE)</f>
        <v>#N/A</v>
      </c>
      <c r="AB361" s="40" t="e">
        <f>VLOOKUP($B361,期貨大額交易人未沖銷部位!$A$4:$O$499,14,FALSE)</f>
        <v>#N/A</v>
      </c>
      <c r="AC361" s="40" t="e">
        <f>VLOOKUP($B361,期貨大額交易人未沖銷部位!$A$4:$O$499,15,FALSE)</f>
        <v>#N/A</v>
      </c>
      <c r="AD361" s="33" t="e">
        <f>VLOOKUP($B361,三大美股走勢!$A$4:$J$495,4,FALSE)</f>
        <v>#N/A</v>
      </c>
      <c r="AE361" s="33" t="e">
        <f>VLOOKUP($B361,三大美股走勢!$A$4:$J$495,7,FALSE)</f>
        <v>#N/A</v>
      </c>
      <c r="AF361" s="33" t="e">
        <f>VLOOKUP($B361,三大美股走勢!$A$4:$J$495,10,FALSE)</f>
        <v>#N/A</v>
      </c>
    </row>
    <row r="362" spans="2:32">
      <c r="B362" s="32">
        <v>43141</v>
      </c>
      <c r="C362" s="33" t="e">
        <f>VLOOKUP($B362,大盤與近月台指!$A$4:$I$499,2,FALSE)</f>
        <v>#N/A</v>
      </c>
      <c r="D362" s="34" t="e">
        <f>VLOOKUP($B362,大盤與近月台指!$A$4:$I$499,3,FALSE)</f>
        <v>#N/A</v>
      </c>
      <c r="E362" s="35" t="e">
        <f>VLOOKUP($B362,大盤與近月台指!$A$4:$I$499,4,FALSE)</f>
        <v>#N/A</v>
      </c>
      <c r="F362" s="33" t="e">
        <f>VLOOKUP($B362,大盤與近月台指!$A$4:$I$499,5,FALSE)</f>
        <v>#N/A</v>
      </c>
      <c r="G362" s="49" t="e">
        <f>VLOOKUP($B362,三大法人買賣超!$A$4:$I$500,3,FALSE)</f>
        <v>#N/A</v>
      </c>
      <c r="H362" s="34" t="e">
        <f>VLOOKUP($B362,三大法人買賣超!$A$4:$I$500,5,FALSE)</f>
        <v>#N/A</v>
      </c>
      <c r="I362" s="27" t="e">
        <f>VLOOKUP($B362,三大法人買賣超!$A$4:$I$500,7,FALSE)</f>
        <v>#N/A</v>
      </c>
      <c r="J362" s="27" t="e">
        <f>VLOOKUP($B362,三大法人買賣超!$A$4:$I$500,9,FALSE)</f>
        <v>#N/A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 t="e">
        <f>VLOOKUP($B362,外資期貨未平倉口數!$A$4:$M$499,4,FALSE)</f>
        <v>#N/A</v>
      </c>
      <c r="O362" s="27" t="e">
        <f>VLOOKUP($B362,外資期貨未平倉口數!$A$4:$M$499,9,FALSE)</f>
        <v>#N/A</v>
      </c>
      <c r="P362" s="27" t="e">
        <f>VLOOKUP($B362,外資期貨未平倉口數!$A$4:$M$499,10,FALSE)</f>
        <v>#N/A</v>
      </c>
      <c r="Q362" s="27" t="e">
        <f>VLOOKUP($B362,外資期貨未平倉口數!$A$4:$M$499,11,FALSE)</f>
        <v>#N/A</v>
      </c>
      <c r="R362" s="64" t="e">
        <f>VLOOKUP($B362,選擇權未平倉餘額!$A$4:$I$500,6,FALSE)</f>
        <v>#N/A</v>
      </c>
      <c r="S362" s="64" t="e">
        <f>VLOOKUP($B362,選擇權未平倉餘額!$A$4:$I$500,7,FALSE)</f>
        <v>#N/A</v>
      </c>
      <c r="T362" s="64" t="e">
        <f>VLOOKUP($B362,選擇權未平倉餘額!$A$4:$I$500,8,FALSE)</f>
        <v>#N/A</v>
      </c>
      <c r="U362" s="64" t="e">
        <f>VLOOKUP($B362,選擇權未平倉餘額!$A$4:$I$500,9,FALSE)</f>
        <v>#N/A</v>
      </c>
      <c r="V362" s="39" t="e">
        <f>VLOOKUP($B362,臺指選擇權P_C_Ratios!$A$4:$C$500,3,FALSE)</f>
        <v>#N/A</v>
      </c>
      <c r="W362" s="41" t="e">
        <f>VLOOKUP($B362,散戶多空比!$A$6:$L$500,12,FALSE)</f>
        <v>#N/A</v>
      </c>
      <c r="X362" s="40" t="e">
        <f>VLOOKUP($B362,期貨大額交易人未沖銷部位!$A$4:$O$499,4,FALSE)</f>
        <v>#N/A</v>
      </c>
      <c r="Y362" s="40" t="e">
        <f>VLOOKUP($B362,期貨大額交易人未沖銷部位!$A$4:$O$499,7,FALSE)</f>
        <v>#N/A</v>
      </c>
      <c r="Z362" s="40" t="e">
        <f>VLOOKUP($B362,期貨大額交易人未沖銷部位!$A$4:$O$499,10,FALSE)</f>
        <v>#N/A</v>
      </c>
      <c r="AA362" s="40" t="e">
        <f>VLOOKUP($B362,期貨大額交易人未沖銷部位!$A$4:$O$499,13,FALSE)</f>
        <v>#N/A</v>
      </c>
      <c r="AB362" s="40" t="e">
        <f>VLOOKUP($B362,期貨大額交易人未沖銷部位!$A$4:$O$499,14,FALSE)</f>
        <v>#N/A</v>
      </c>
      <c r="AC362" s="40" t="e">
        <f>VLOOKUP($B362,期貨大額交易人未沖銷部位!$A$4:$O$499,15,FALSE)</f>
        <v>#N/A</v>
      </c>
      <c r="AD362" s="33" t="e">
        <f>VLOOKUP($B362,三大美股走勢!$A$4:$J$495,4,FALSE)</f>
        <v>#N/A</v>
      </c>
      <c r="AE362" s="33" t="e">
        <f>VLOOKUP($B362,三大美股走勢!$A$4:$J$495,7,FALSE)</f>
        <v>#N/A</v>
      </c>
      <c r="AF362" s="33" t="e">
        <f>VLOOKUP($B362,三大美股走勢!$A$4:$J$495,10,FALSE)</f>
        <v>#N/A</v>
      </c>
    </row>
    <row r="363" spans="2:32">
      <c r="B363" s="32">
        <v>43142</v>
      </c>
      <c r="C363" s="33" t="e">
        <f>VLOOKUP($B363,大盤與近月台指!$A$4:$I$499,2,FALSE)</f>
        <v>#N/A</v>
      </c>
      <c r="D363" s="34" t="e">
        <f>VLOOKUP($B363,大盤與近月台指!$A$4:$I$499,3,FALSE)</f>
        <v>#N/A</v>
      </c>
      <c r="E363" s="35" t="e">
        <f>VLOOKUP($B363,大盤與近月台指!$A$4:$I$499,4,FALSE)</f>
        <v>#N/A</v>
      </c>
      <c r="F363" s="33" t="e">
        <f>VLOOKUP($B363,大盤與近月台指!$A$4:$I$499,5,FALSE)</f>
        <v>#N/A</v>
      </c>
      <c r="G363" s="49" t="e">
        <f>VLOOKUP($B363,三大法人買賣超!$A$4:$I$500,3,FALSE)</f>
        <v>#N/A</v>
      </c>
      <c r="H363" s="34" t="e">
        <f>VLOOKUP($B363,三大法人買賣超!$A$4:$I$500,5,FALSE)</f>
        <v>#N/A</v>
      </c>
      <c r="I363" s="27" t="e">
        <f>VLOOKUP($B363,三大法人買賣超!$A$4:$I$500,7,FALSE)</f>
        <v>#N/A</v>
      </c>
      <c r="J363" s="27" t="e">
        <f>VLOOKUP($B363,三大法人買賣超!$A$4:$I$500,9,FALSE)</f>
        <v>#N/A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 t="e">
        <f>VLOOKUP($B363,外資期貨未平倉口數!$A$4:$M$499,4,FALSE)</f>
        <v>#N/A</v>
      </c>
      <c r="O363" s="27" t="e">
        <f>VLOOKUP($B363,外資期貨未平倉口數!$A$4:$M$499,9,FALSE)</f>
        <v>#N/A</v>
      </c>
      <c r="P363" s="27" t="e">
        <f>VLOOKUP($B363,外資期貨未平倉口數!$A$4:$M$499,10,FALSE)</f>
        <v>#N/A</v>
      </c>
      <c r="Q363" s="27" t="e">
        <f>VLOOKUP($B363,外資期貨未平倉口數!$A$4:$M$499,11,FALSE)</f>
        <v>#N/A</v>
      </c>
      <c r="R363" s="64" t="e">
        <f>VLOOKUP($B363,選擇權未平倉餘額!$A$4:$I$500,6,FALSE)</f>
        <v>#N/A</v>
      </c>
      <c r="S363" s="64" t="e">
        <f>VLOOKUP($B363,選擇權未平倉餘額!$A$4:$I$500,7,FALSE)</f>
        <v>#N/A</v>
      </c>
      <c r="T363" s="64" t="e">
        <f>VLOOKUP($B363,選擇權未平倉餘額!$A$4:$I$500,8,FALSE)</f>
        <v>#N/A</v>
      </c>
      <c r="U363" s="64" t="e">
        <f>VLOOKUP($B363,選擇權未平倉餘額!$A$4:$I$500,9,FALSE)</f>
        <v>#N/A</v>
      </c>
      <c r="V363" s="39" t="e">
        <f>VLOOKUP($B363,臺指選擇權P_C_Ratios!$A$4:$C$500,3,FALSE)</f>
        <v>#N/A</v>
      </c>
      <c r="W363" s="41" t="e">
        <f>VLOOKUP($B363,散戶多空比!$A$6:$L$500,12,FALSE)</f>
        <v>#N/A</v>
      </c>
      <c r="X363" s="40" t="e">
        <f>VLOOKUP($B363,期貨大額交易人未沖銷部位!$A$4:$O$499,4,FALSE)</f>
        <v>#N/A</v>
      </c>
      <c r="Y363" s="40" t="e">
        <f>VLOOKUP($B363,期貨大額交易人未沖銷部位!$A$4:$O$499,7,FALSE)</f>
        <v>#N/A</v>
      </c>
      <c r="Z363" s="40" t="e">
        <f>VLOOKUP($B363,期貨大額交易人未沖銷部位!$A$4:$O$499,10,FALSE)</f>
        <v>#N/A</v>
      </c>
      <c r="AA363" s="40" t="e">
        <f>VLOOKUP($B363,期貨大額交易人未沖銷部位!$A$4:$O$499,13,FALSE)</f>
        <v>#N/A</v>
      </c>
      <c r="AB363" s="40" t="e">
        <f>VLOOKUP($B363,期貨大額交易人未沖銷部位!$A$4:$O$499,14,FALSE)</f>
        <v>#N/A</v>
      </c>
      <c r="AC363" s="40" t="e">
        <f>VLOOKUP($B363,期貨大額交易人未沖銷部位!$A$4:$O$499,15,FALSE)</f>
        <v>#N/A</v>
      </c>
      <c r="AD363" s="33" t="e">
        <f>VLOOKUP($B363,三大美股走勢!$A$4:$J$495,4,FALSE)</f>
        <v>#N/A</v>
      </c>
      <c r="AE363" s="33" t="e">
        <f>VLOOKUP($B363,三大美股走勢!$A$4:$J$495,7,FALSE)</f>
        <v>#N/A</v>
      </c>
      <c r="AF363" s="33" t="e">
        <f>VLOOKUP($B363,三大美股走勢!$A$4:$J$495,10,FALSE)</f>
        <v>#N/A</v>
      </c>
    </row>
    <row r="364" spans="2:32">
      <c r="B364" s="32">
        <v>43143</v>
      </c>
      <c r="C364" s="33" t="e">
        <f>VLOOKUP($B364,大盤與近月台指!$A$4:$I$499,2,FALSE)</f>
        <v>#N/A</v>
      </c>
      <c r="D364" s="34" t="e">
        <f>VLOOKUP($B364,大盤與近月台指!$A$4:$I$499,3,FALSE)</f>
        <v>#N/A</v>
      </c>
      <c r="E364" s="35" t="e">
        <f>VLOOKUP($B364,大盤與近月台指!$A$4:$I$499,4,FALSE)</f>
        <v>#N/A</v>
      </c>
      <c r="F364" s="33" t="e">
        <f>VLOOKUP($B364,大盤與近月台指!$A$4:$I$499,5,FALSE)</f>
        <v>#N/A</v>
      </c>
      <c r="G364" s="49" t="e">
        <f>VLOOKUP($B364,三大法人買賣超!$A$4:$I$500,3,FALSE)</f>
        <v>#N/A</v>
      </c>
      <c r="H364" s="34" t="e">
        <f>VLOOKUP($B364,三大法人買賣超!$A$4:$I$500,5,FALSE)</f>
        <v>#N/A</v>
      </c>
      <c r="I364" s="27" t="e">
        <f>VLOOKUP($B364,三大法人買賣超!$A$4:$I$500,7,FALSE)</f>
        <v>#N/A</v>
      </c>
      <c r="J364" s="27" t="e">
        <f>VLOOKUP($B364,三大法人買賣超!$A$4:$I$500,9,FALSE)</f>
        <v>#N/A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 t="e">
        <f>VLOOKUP($B364,外資期貨未平倉口數!$A$4:$M$499,4,FALSE)</f>
        <v>#N/A</v>
      </c>
      <c r="O364" s="27" t="e">
        <f>VLOOKUP($B364,外資期貨未平倉口數!$A$4:$M$499,9,FALSE)</f>
        <v>#N/A</v>
      </c>
      <c r="P364" s="27" t="e">
        <f>VLOOKUP($B364,外資期貨未平倉口數!$A$4:$M$499,10,FALSE)</f>
        <v>#N/A</v>
      </c>
      <c r="Q364" s="27" t="e">
        <f>VLOOKUP($B364,外資期貨未平倉口數!$A$4:$M$499,11,FALSE)</f>
        <v>#N/A</v>
      </c>
      <c r="R364" s="64" t="e">
        <f>VLOOKUP($B364,選擇權未平倉餘額!$A$4:$I$500,6,FALSE)</f>
        <v>#N/A</v>
      </c>
      <c r="S364" s="64" t="e">
        <f>VLOOKUP($B364,選擇權未平倉餘額!$A$4:$I$500,7,FALSE)</f>
        <v>#N/A</v>
      </c>
      <c r="T364" s="64" t="e">
        <f>VLOOKUP($B364,選擇權未平倉餘額!$A$4:$I$500,8,FALSE)</f>
        <v>#N/A</v>
      </c>
      <c r="U364" s="64" t="e">
        <f>VLOOKUP($B364,選擇權未平倉餘額!$A$4:$I$500,9,FALSE)</f>
        <v>#N/A</v>
      </c>
      <c r="V364" s="39" t="e">
        <f>VLOOKUP($B364,臺指選擇權P_C_Ratios!$A$4:$C$500,3,FALSE)</f>
        <v>#N/A</v>
      </c>
      <c r="W364" s="41" t="e">
        <f>VLOOKUP($B364,散戶多空比!$A$6:$L$500,12,FALSE)</f>
        <v>#N/A</v>
      </c>
      <c r="X364" s="40" t="e">
        <f>VLOOKUP($B364,期貨大額交易人未沖銷部位!$A$4:$O$499,4,FALSE)</f>
        <v>#N/A</v>
      </c>
      <c r="Y364" s="40" t="e">
        <f>VLOOKUP($B364,期貨大額交易人未沖銷部位!$A$4:$O$499,7,FALSE)</f>
        <v>#N/A</v>
      </c>
      <c r="Z364" s="40" t="e">
        <f>VLOOKUP($B364,期貨大額交易人未沖銷部位!$A$4:$O$499,10,FALSE)</f>
        <v>#N/A</v>
      </c>
      <c r="AA364" s="40" t="e">
        <f>VLOOKUP($B364,期貨大額交易人未沖銷部位!$A$4:$O$499,13,FALSE)</f>
        <v>#N/A</v>
      </c>
      <c r="AB364" s="40" t="e">
        <f>VLOOKUP($B364,期貨大額交易人未沖銷部位!$A$4:$O$499,14,FALSE)</f>
        <v>#N/A</v>
      </c>
      <c r="AC364" s="40" t="e">
        <f>VLOOKUP($B364,期貨大額交易人未沖銷部位!$A$4:$O$499,15,FALSE)</f>
        <v>#N/A</v>
      </c>
      <c r="AD364" s="33" t="e">
        <f>VLOOKUP($B364,三大美股走勢!$A$4:$J$495,4,FALSE)</f>
        <v>#N/A</v>
      </c>
      <c r="AE364" s="33" t="e">
        <f>VLOOKUP($B364,三大美股走勢!$A$4:$J$495,7,FALSE)</f>
        <v>#N/A</v>
      </c>
      <c r="AF364" s="33" t="e">
        <f>VLOOKUP($B364,三大美股走勢!$A$4:$J$495,10,FALSE)</f>
        <v>#N/A</v>
      </c>
    </row>
    <row r="365" spans="2:32">
      <c r="B365" s="32">
        <v>43144</v>
      </c>
      <c r="C365" s="33" t="e">
        <f>VLOOKUP($B365,大盤與近月台指!$A$4:$I$499,2,FALSE)</f>
        <v>#N/A</v>
      </c>
      <c r="D365" s="34" t="e">
        <f>VLOOKUP($B365,大盤與近月台指!$A$4:$I$499,3,FALSE)</f>
        <v>#N/A</v>
      </c>
      <c r="E365" s="35" t="e">
        <f>VLOOKUP($B365,大盤與近月台指!$A$4:$I$499,4,FALSE)</f>
        <v>#N/A</v>
      </c>
      <c r="F365" s="33" t="e">
        <f>VLOOKUP($B365,大盤與近月台指!$A$4:$I$499,5,FALSE)</f>
        <v>#N/A</v>
      </c>
      <c r="G365" s="49" t="e">
        <f>VLOOKUP($B365,三大法人買賣超!$A$4:$I$500,3,FALSE)</f>
        <v>#N/A</v>
      </c>
      <c r="H365" s="34" t="e">
        <f>VLOOKUP($B365,三大法人買賣超!$A$4:$I$500,5,FALSE)</f>
        <v>#N/A</v>
      </c>
      <c r="I365" s="27" t="e">
        <f>VLOOKUP($B365,三大法人買賣超!$A$4:$I$500,7,FALSE)</f>
        <v>#N/A</v>
      </c>
      <c r="J365" s="27" t="e">
        <f>VLOOKUP($B365,三大法人買賣超!$A$4:$I$500,9,FALSE)</f>
        <v>#N/A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 t="e">
        <f>VLOOKUP($B365,外資期貨未平倉口數!$A$4:$M$499,4,FALSE)</f>
        <v>#N/A</v>
      </c>
      <c r="O365" s="27" t="e">
        <f>VLOOKUP($B365,外資期貨未平倉口數!$A$4:$M$499,9,FALSE)</f>
        <v>#N/A</v>
      </c>
      <c r="P365" s="27" t="e">
        <f>VLOOKUP($B365,外資期貨未平倉口數!$A$4:$M$499,10,FALSE)</f>
        <v>#N/A</v>
      </c>
      <c r="Q365" s="27" t="e">
        <f>VLOOKUP($B365,外資期貨未平倉口數!$A$4:$M$499,11,FALSE)</f>
        <v>#N/A</v>
      </c>
      <c r="R365" s="64" t="e">
        <f>VLOOKUP($B365,選擇權未平倉餘額!$A$4:$I$500,6,FALSE)</f>
        <v>#N/A</v>
      </c>
      <c r="S365" s="64" t="e">
        <f>VLOOKUP($B365,選擇權未平倉餘額!$A$4:$I$500,7,FALSE)</f>
        <v>#N/A</v>
      </c>
      <c r="T365" s="64" t="e">
        <f>VLOOKUP($B365,選擇權未平倉餘額!$A$4:$I$500,8,FALSE)</f>
        <v>#N/A</v>
      </c>
      <c r="U365" s="64" t="e">
        <f>VLOOKUP($B365,選擇權未平倉餘額!$A$4:$I$500,9,FALSE)</f>
        <v>#N/A</v>
      </c>
      <c r="V365" s="39" t="e">
        <f>VLOOKUP($B365,臺指選擇權P_C_Ratios!$A$4:$C$500,3,FALSE)</f>
        <v>#N/A</v>
      </c>
      <c r="W365" s="41" t="e">
        <f>VLOOKUP($B365,散戶多空比!$A$6:$L$500,12,FALSE)</f>
        <v>#N/A</v>
      </c>
      <c r="X365" s="40" t="e">
        <f>VLOOKUP($B365,期貨大額交易人未沖銷部位!$A$4:$O$499,4,FALSE)</f>
        <v>#N/A</v>
      </c>
      <c r="Y365" s="40" t="e">
        <f>VLOOKUP($B365,期貨大額交易人未沖銷部位!$A$4:$O$499,7,FALSE)</f>
        <v>#N/A</v>
      </c>
      <c r="Z365" s="40" t="e">
        <f>VLOOKUP($B365,期貨大額交易人未沖銷部位!$A$4:$O$499,10,FALSE)</f>
        <v>#N/A</v>
      </c>
      <c r="AA365" s="40" t="e">
        <f>VLOOKUP($B365,期貨大額交易人未沖銷部位!$A$4:$O$499,13,FALSE)</f>
        <v>#N/A</v>
      </c>
      <c r="AB365" s="40" t="e">
        <f>VLOOKUP($B365,期貨大額交易人未沖銷部位!$A$4:$O$499,14,FALSE)</f>
        <v>#N/A</v>
      </c>
      <c r="AC365" s="40" t="e">
        <f>VLOOKUP($B365,期貨大額交易人未沖銷部位!$A$4:$O$499,15,FALSE)</f>
        <v>#N/A</v>
      </c>
      <c r="AD365" s="33" t="e">
        <f>VLOOKUP($B365,三大美股走勢!$A$4:$J$495,4,FALSE)</f>
        <v>#N/A</v>
      </c>
      <c r="AE365" s="33" t="e">
        <f>VLOOKUP($B365,三大美股走勢!$A$4:$J$495,7,FALSE)</f>
        <v>#N/A</v>
      </c>
      <c r="AF365" s="33" t="e">
        <f>VLOOKUP($B365,三大美股走勢!$A$4:$J$495,10,FALSE)</f>
        <v>#N/A</v>
      </c>
    </row>
    <row r="366" spans="2:32">
      <c r="B366" s="32">
        <v>43145</v>
      </c>
      <c r="C366" s="33" t="e">
        <f>VLOOKUP($B366,大盤與近月台指!$A$4:$I$499,2,FALSE)</f>
        <v>#N/A</v>
      </c>
      <c r="D366" s="34" t="e">
        <f>VLOOKUP($B366,大盤與近月台指!$A$4:$I$499,3,FALSE)</f>
        <v>#N/A</v>
      </c>
      <c r="E366" s="35" t="e">
        <f>VLOOKUP($B366,大盤與近月台指!$A$4:$I$499,4,FALSE)</f>
        <v>#N/A</v>
      </c>
      <c r="F366" s="33" t="e">
        <f>VLOOKUP($B366,大盤與近月台指!$A$4:$I$499,5,FALSE)</f>
        <v>#N/A</v>
      </c>
      <c r="G366" s="49" t="e">
        <f>VLOOKUP($B366,三大法人買賣超!$A$4:$I$500,3,FALSE)</f>
        <v>#N/A</v>
      </c>
      <c r="H366" s="34" t="e">
        <f>VLOOKUP($B366,三大法人買賣超!$A$4:$I$500,5,FALSE)</f>
        <v>#N/A</v>
      </c>
      <c r="I366" s="27" t="e">
        <f>VLOOKUP($B366,三大法人買賣超!$A$4:$I$500,7,FALSE)</f>
        <v>#N/A</v>
      </c>
      <c r="J366" s="27" t="e">
        <f>VLOOKUP($B366,三大法人買賣超!$A$4:$I$500,9,FALSE)</f>
        <v>#N/A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 t="e">
        <f>VLOOKUP($B366,外資期貨未平倉口數!$A$4:$M$499,4,FALSE)</f>
        <v>#N/A</v>
      </c>
      <c r="O366" s="27" t="e">
        <f>VLOOKUP($B366,外資期貨未平倉口數!$A$4:$M$499,9,FALSE)</f>
        <v>#N/A</v>
      </c>
      <c r="P366" s="27" t="e">
        <f>VLOOKUP($B366,外資期貨未平倉口數!$A$4:$M$499,10,FALSE)</f>
        <v>#N/A</v>
      </c>
      <c r="Q366" s="27" t="e">
        <f>VLOOKUP($B366,外資期貨未平倉口數!$A$4:$M$499,11,FALSE)</f>
        <v>#N/A</v>
      </c>
      <c r="R366" s="64" t="e">
        <f>VLOOKUP($B366,選擇權未平倉餘額!$A$4:$I$500,6,FALSE)</f>
        <v>#N/A</v>
      </c>
      <c r="S366" s="64" t="e">
        <f>VLOOKUP($B366,選擇權未平倉餘額!$A$4:$I$500,7,FALSE)</f>
        <v>#N/A</v>
      </c>
      <c r="T366" s="64" t="e">
        <f>VLOOKUP($B366,選擇權未平倉餘額!$A$4:$I$500,8,FALSE)</f>
        <v>#N/A</v>
      </c>
      <c r="U366" s="64" t="e">
        <f>VLOOKUP($B366,選擇權未平倉餘額!$A$4:$I$500,9,FALSE)</f>
        <v>#N/A</v>
      </c>
      <c r="V366" s="39" t="e">
        <f>VLOOKUP($B366,臺指選擇權P_C_Ratios!$A$4:$C$500,3,FALSE)</f>
        <v>#N/A</v>
      </c>
      <c r="W366" s="41" t="e">
        <f>VLOOKUP($B366,散戶多空比!$A$6:$L$500,12,FALSE)</f>
        <v>#N/A</v>
      </c>
      <c r="X366" s="40" t="e">
        <f>VLOOKUP($B366,期貨大額交易人未沖銷部位!$A$4:$O$499,4,FALSE)</f>
        <v>#N/A</v>
      </c>
      <c r="Y366" s="40" t="e">
        <f>VLOOKUP($B366,期貨大額交易人未沖銷部位!$A$4:$O$499,7,FALSE)</f>
        <v>#N/A</v>
      </c>
      <c r="Z366" s="40" t="e">
        <f>VLOOKUP($B366,期貨大額交易人未沖銷部位!$A$4:$O$499,10,FALSE)</f>
        <v>#N/A</v>
      </c>
      <c r="AA366" s="40" t="e">
        <f>VLOOKUP($B366,期貨大額交易人未沖銷部位!$A$4:$O$499,13,FALSE)</f>
        <v>#N/A</v>
      </c>
      <c r="AB366" s="40" t="e">
        <f>VLOOKUP($B366,期貨大額交易人未沖銷部位!$A$4:$O$499,14,FALSE)</f>
        <v>#N/A</v>
      </c>
      <c r="AC366" s="40" t="e">
        <f>VLOOKUP($B366,期貨大額交易人未沖銷部位!$A$4:$O$499,15,FALSE)</f>
        <v>#N/A</v>
      </c>
      <c r="AD366" s="33" t="e">
        <f>VLOOKUP($B366,三大美股走勢!$A$4:$J$495,4,FALSE)</f>
        <v>#N/A</v>
      </c>
      <c r="AE366" s="33" t="e">
        <f>VLOOKUP($B366,三大美股走勢!$A$4:$J$495,7,FALSE)</f>
        <v>#N/A</v>
      </c>
      <c r="AF366" s="33" t="e">
        <f>VLOOKUP($B366,三大美股走勢!$A$4:$J$495,10,FALSE)</f>
        <v>#N/A</v>
      </c>
    </row>
    <row r="367" spans="2:32">
      <c r="B367" s="32">
        <v>43146</v>
      </c>
      <c r="C367" s="33" t="e">
        <f>VLOOKUP($B367,大盤與近月台指!$A$4:$I$499,2,FALSE)</f>
        <v>#N/A</v>
      </c>
      <c r="D367" s="34" t="e">
        <f>VLOOKUP($B367,大盤與近月台指!$A$4:$I$499,3,FALSE)</f>
        <v>#N/A</v>
      </c>
      <c r="E367" s="35" t="e">
        <f>VLOOKUP($B367,大盤與近月台指!$A$4:$I$499,4,FALSE)</f>
        <v>#N/A</v>
      </c>
      <c r="F367" s="33" t="e">
        <f>VLOOKUP($B367,大盤與近月台指!$A$4:$I$499,5,FALSE)</f>
        <v>#N/A</v>
      </c>
      <c r="G367" s="49" t="e">
        <f>VLOOKUP($B367,三大法人買賣超!$A$4:$I$500,3,FALSE)</f>
        <v>#N/A</v>
      </c>
      <c r="H367" s="34" t="e">
        <f>VLOOKUP($B367,三大法人買賣超!$A$4:$I$500,5,FALSE)</f>
        <v>#N/A</v>
      </c>
      <c r="I367" s="27" t="e">
        <f>VLOOKUP($B367,三大法人買賣超!$A$4:$I$500,7,FALSE)</f>
        <v>#N/A</v>
      </c>
      <c r="J367" s="27" t="e">
        <f>VLOOKUP($B367,三大法人買賣超!$A$4:$I$500,9,FALSE)</f>
        <v>#N/A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 t="e">
        <f>VLOOKUP($B367,外資期貨未平倉口數!$A$4:$M$499,4,FALSE)</f>
        <v>#N/A</v>
      </c>
      <c r="O367" s="27" t="e">
        <f>VLOOKUP($B367,外資期貨未平倉口數!$A$4:$M$499,9,FALSE)</f>
        <v>#N/A</v>
      </c>
      <c r="P367" s="27" t="e">
        <f>VLOOKUP($B367,外資期貨未平倉口數!$A$4:$M$499,10,FALSE)</f>
        <v>#N/A</v>
      </c>
      <c r="Q367" s="27" t="e">
        <f>VLOOKUP($B367,外資期貨未平倉口數!$A$4:$M$499,11,FALSE)</f>
        <v>#N/A</v>
      </c>
      <c r="R367" s="64" t="e">
        <f>VLOOKUP($B367,選擇權未平倉餘額!$A$4:$I$500,6,FALSE)</f>
        <v>#N/A</v>
      </c>
      <c r="S367" s="64" t="e">
        <f>VLOOKUP($B367,選擇權未平倉餘額!$A$4:$I$500,7,FALSE)</f>
        <v>#N/A</v>
      </c>
      <c r="T367" s="64" t="e">
        <f>VLOOKUP($B367,選擇權未平倉餘額!$A$4:$I$500,8,FALSE)</f>
        <v>#N/A</v>
      </c>
      <c r="U367" s="64" t="e">
        <f>VLOOKUP($B367,選擇權未平倉餘額!$A$4:$I$500,9,FALSE)</f>
        <v>#N/A</v>
      </c>
      <c r="V367" s="39" t="e">
        <f>VLOOKUP($B367,臺指選擇權P_C_Ratios!$A$4:$C$500,3,FALSE)</f>
        <v>#N/A</v>
      </c>
      <c r="W367" s="41" t="e">
        <f>VLOOKUP($B367,散戶多空比!$A$6:$L$500,12,FALSE)</f>
        <v>#N/A</v>
      </c>
      <c r="X367" s="40" t="e">
        <f>VLOOKUP($B367,期貨大額交易人未沖銷部位!$A$4:$O$499,4,FALSE)</f>
        <v>#N/A</v>
      </c>
      <c r="Y367" s="40" t="e">
        <f>VLOOKUP($B367,期貨大額交易人未沖銷部位!$A$4:$O$499,7,FALSE)</f>
        <v>#N/A</v>
      </c>
      <c r="Z367" s="40" t="e">
        <f>VLOOKUP($B367,期貨大額交易人未沖銷部位!$A$4:$O$499,10,FALSE)</f>
        <v>#N/A</v>
      </c>
      <c r="AA367" s="40" t="e">
        <f>VLOOKUP($B367,期貨大額交易人未沖銷部位!$A$4:$O$499,13,FALSE)</f>
        <v>#N/A</v>
      </c>
      <c r="AB367" s="40" t="e">
        <f>VLOOKUP($B367,期貨大額交易人未沖銷部位!$A$4:$O$499,14,FALSE)</f>
        <v>#N/A</v>
      </c>
      <c r="AC367" s="40" t="e">
        <f>VLOOKUP($B367,期貨大額交易人未沖銷部位!$A$4:$O$499,15,FALSE)</f>
        <v>#N/A</v>
      </c>
      <c r="AD367" s="33" t="e">
        <f>VLOOKUP($B367,三大美股走勢!$A$4:$J$495,4,FALSE)</f>
        <v>#N/A</v>
      </c>
      <c r="AE367" s="33" t="e">
        <f>VLOOKUP($B367,三大美股走勢!$A$4:$J$495,7,FALSE)</f>
        <v>#N/A</v>
      </c>
      <c r="AF367" s="33" t="e">
        <f>VLOOKUP($B367,三大美股走勢!$A$4:$J$495,10,FALSE)</f>
        <v>#N/A</v>
      </c>
    </row>
    <row r="368" spans="2:32">
      <c r="B368" s="32">
        <v>43147</v>
      </c>
      <c r="C368" s="33" t="e">
        <f>VLOOKUP($B368,大盤與近月台指!$A$4:$I$499,2,FALSE)</f>
        <v>#N/A</v>
      </c>
      <c r="D368" s="34" t="e">
        <f>VLOOKUP($B368,大盤與近月台指!$A$4:$I$499,3,FALSE)</f>
        <v>#N/A</v>
      </c>
      <c r="E368" s="35" t="e">
        <f>VLOOKUP($B368,大盤與近月台指!$A$4:$I$499,4,FALSE)</f>
        <v>#N/A</v>
      </c>
      <c r="F368" s="33" t="e">
        <f>VLOOKUP($B368,大盤與近月台指!$A$4:$I$499,5,FALSE)</f>
        <v>#N/A</v>
      </c>
      <c r="G368" s="49" t="e">
        <f>VLOOKUP($B368,三大法人買賣超!$A$4:$I$500,3,FALSE)</f>
        <v>#N/A</v>
      </c>
      <c r="H368" s="34" t="e">
        <f>VLOOKUP($B368,三大法人買賣超!$A$4:$I$500,5,FALSE)</f>
        <v>#N/A</v>
      </c>
      <c r="I368" s="27" t="e">
        <f>VLOOKUP($B368,三大法人買賣超!$A$4:$I$500,7,FALSE)</f>
        <v>#N/A</v>
      </c>
      <c r="J368" s="27" t="e">
        <f>VLOOKUP($B368,三大法人買賣超!$A$4:$I$500,9,FALSE)</f>
        <v>#N/A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 t="e">
        <f>VLOOKUP($B368,外資期貨未平倉口數!$A$4:$M$499,4,FALSE)</f>
        <v>#N/A</v>
      </c>
      <c r="O368" s="27" t="e">
        <f>VLOOKUP($B368,外資期貨未平倉口數!$A$4:$M$499,9,FALSE)</f>
        <v>#N/A</v>
      </c>
      <c r="P368" s="27" t="e">
        <f>VLOOKUP($B368,外資期貨未平倉口數!$A$4:$M$499,10,FALSE)</f>
        <v>#N/A</v>
      </c>
      <c r="Q368" s="27" t="e">
        <f>VLOOKUP($B368,外資期貨未平倉口數!$A$4:$M$499,11,FALSE)</f>
        <v>#N/A</v>
      </c>
      <c r="R368" s="64" t="e">
        <f>VLOOKUP($B368,選擇權未平倉餘額!$A$4:$I$500,6,FALSE)</f>
        <v>#N/A</v>
      </c>
      <c r="S368" s="64" t="e">
        <f>VLOOKUP($B368,選擇權未平倉餘額!$A$4:$I$500,7,FALSE)</f>
        <v>#N/A</v>
      </c>
      <c r="T368" s="64" t="e">
        <f>VLOOKUP($B368,選擇權未平倉餘額!$A$4:$I$500,8,FALSE)</f>
        <v>#N/A</v>
      </c>
      <c r="U368" s="64" t="e">
        <f>VLOOKUP($B368,選擇權未平倉餘額!$A$4:$I$500,9,FALSE)</f>
        <v>#N/A</v>
      </c>
      <c r="V368" s="39" t="e">
        <f>VLOOKUP($B368,臺指選擇權P_C_Ratios!$A$4:$C$500,3,FALSE)</f>
        <v>#N/A</v>
      </c>
      <c r="W368" s="41" t="e">
        <f>VLOOKUP($B368,散戶多空比!$A$6:$L$500,12,FALSE)</f>
        <v>#N/A</v>
      </c>
      <c r="X368" s="40" t="e">
        <f>VLOOKUP($B368,期貨大額交易人未沖銷部位!$A$4:$O$499,4,FALSE)</f>
        <v>#N/A</v>
      </c>
      <c r="Y368" s="40" t="e">
        <f>VLOOKUP($B368,期貨大額交易人未沖銷部位!$A$4:$O$499,7,FALSE)</f>
        <v>#N/A</v>
      </c>
      <c r="Z368" s="40" t="e">
        <f>VLOOKUP($B368,期貨大額交易人未沖銷部位!$A$4:$O$499,10,FALSE)</f>
        <v>#N/A</v>
      </c>
      <c r="AA368" s="40" t="e">
        <f>VLOOKUP($B368,期貨大額交易人未沖銷部位!$A$4:$O$499,13,FALSE)</f>
        <v>#N/A</v>
      </c>
      <c r="AB368" s="40" t="e">
        <f>VLOOKUP($B368,期貨大額交易人未沖銷部位!$A$4:$O$499,14,FALSE)</f>
        <v>#N/A</v>
      </c>
      <c r="AC368" s="40" t="e">
        <f>VLOOKUP($B368,期貨大額交易人未沖銷部位!$A$4:$O$499,15,FALSE)</f>
        <v>#N/A</v>
      </c>
      <c r="AD368" s="33" t="e">
        <f>VLOOKUP($B368,三大美股走勢!$A$4:$J$495,4,FALSE)</f>
        <v>#N/A</v>
      </c>
      <c r="AE368" s="33" t="e">
        <f>VLOOKUP($B368,三大美股走勢!$A$4:$J$495,7,FALSE)</f>
        <v>#N/A</v>
      </c>
      <c r="AF368" s="33" t="e">
        <f>VLOOKUP($B368,三大美股走勢!$A$4:$J$495,10,FALSE)</f>
        <v>#N/A</v>
      </c>
    </row>
    <row r="369" spans="2:32">
      <c r="B369" s="32">
        <v>43148</v>
      </c>
      <c r="C369" s="33" t="e">
        <f>VLOOKUP($B369,大盤與近月台指!$A$4:$I$499,2,FALSE)</f>
        <v>#N/A</v>
      </c>
      <c r="D369" s="34" t="e">
        <f>VLOOKUP($B369,大盤與近月台指!$A$4:$I$499,3,FALSE)</f>
        <v>#N/A</v>
      </c>
      <c r="E369" s="35" t="e">
        <f>VLOOKUP($B369,大盤與近月台指!$A$4:$I$499,4,FALSE)</f>
        <v>#N/A</v>
      </c>
      <c r="F369" s="33" t="e">
        <f>VLOOKUP($B369,大盤與近月台指!$A$4:$I$499,5,FALSE)</f>
        <v>#N/A</v>
      </c>
      <c r="G369" s="49" t="e">
        <f>VLOOKUP($B369,三大法人買賣超!$A$4:$I$500,3,FALSE)</f>
        <v>#N/A</v>
      </c>
      <c r="H369" s="34" t="e">
        <f>VLOOKUP($B369,三大法人買賣超!$A$4:$I$500,5,FALSE)</f>
        <v>#N/A</v>
      </c>
      <c r="I369" s="27" t="e">
        <f>VLOOKUP($B369,三大法人買賣超!$A$4:$I$500,7,FALSE)</f>
        <v>#N/A</v>
      </c>
      <c r="J369" s="27" t="e">
        <f>VLOOKUP($B369,三大法人買賣超!$A$4:$I$500,9,FALSE)</f>
        <v>#N/A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 t="e">
        <f>VLOOKUP($B369,外資期貨未平倉口數!$A$4:$M$499,4,FALSE)</f>
        <v>#N/A</v>
      </c>
      <c r="O369" s="27" t="e">
        <f>VLOOKUP($B369,外資期貨未平倉口數!$A$4:$M$499,9,FALSE)</f>
        <v>#N/A</v>
      </c>
      <c r="P369" s="27" t="e">
        <f>VLOOKUP($B369,外資期貨未平倉口數!$A$4:$M$499,10,FALSE)</f>
        <v>#N/A</v>
      </c>
      <c r="Q369" s="27" t="e">
        <f>VLOOKUP($B369,外資期貨未平倉口數!$A$4:$M$499,11,FALSE)</f>
        <v>#N/A</v>
      </c>
      <c r="R369" s="64" t="e">
        <f>VLOOKUP($B369,選擇權未平倉餘額!$A$4:$I$500,6,FALSE)</f>
        <v>#N/A</v>
      </c>
      <c r="S369" s="64" t="e">
        <f>VLOOKUP($B369,選擇權未平倉餘額!$A$4:$I$500,7,FALSE)</f>
        <v>#N/A</v>
      </c>
      <c r="T369" s="64" t="e">
        <f>VLOOKUP($B369,選擇權未平倉餘額!$A$4:$I$500,8,FALSE)</f>
        <v>#N/A</v>
      </c>
      <c r="U369" s="64" t="e">
        <f>VLOOKUP($B369,選擇權未平倉餘額!$A$4:$I$500,9,FALSE)</f>
        <v>#N/A</v>
      </c>
      <c r="V369" s="39" t="e">
        <f>VLOOKUP($B369,臺指選擇權P_C_Ratios!$A$4:$C$500,3,FALSE)</f>
        <v>#N/A</v>
      </c>
      <c r="W369" s="41" t="e">
        <f>VLOOKUP($B369,散戶多空比!$A$6:$L$500,12,FALSE)</f>
        <v>#N/A</v>
      </c>
      <c r="X369" s="40" t="e">
        <f>VLOOKUP($B369,期貨大額交易人未沖銷部位!$A$4:$O$499,4,FALSE)</f>
        <v>#N/A</v>
      </c>
      <c r="Y369" s="40" t="e">
        <f>VLOOKUP($B369,期貨大額交易人未沖銷部位!$A$4:$O$499,7,FALSE)</f>
        <v>#N/A</v>
      </c>
      <c r="Z369" s="40" t="e">
        <f>VLOOKUP($B369,期貨大額交易人未沖銷部位!$A$4:$O$499,10,FALSE)</f>
        <v>#N/A</v>
      </c>
      <c r="AA369" s="40" t="e">
        <f>VLOOKUP($B369,期貨大額交易人未沖銷部位!$A$4:$O$499,13,FALSE)</f>
        <v>#N/A</v>
      </c>
      <c r="AB369" s="40" t="e">
        <f>VLOOKUP($B369,期貨大額交易人未沖銷部位!$A$4:$O$499,14,FALSE)</f>
        <v>#N/A</v>
      </c>
      <c r="AC369" s="40" t="e">
        <f>VLOOKUP($B369,期貨大額交易人未沖銷部位!$A$4:$O$499,15,FALSE)</f>
        <v>#N/A</v>
      </c>
      <c r="AD369" s="33" t="e">
        <f>VLOOKUP($B369,三大美股走勢!$A$4:$J$495,4,FALSE)</f>
        <v>#N/A</v>
      </c>
      <c r="AE369" s="33" t="e">
        <f>VLOOKUP($B369,三大美股走勢!$A$4:$J$495,7,FALSE)</f>
        <v>#N/A</v>
      </c>
      <c r="AF369" s="33" t="e">
        <f>VLOOKUP($B369,三大美股走勢!$A$4:$J$495,10,FALSE)</f>
        <v>#N/A</v>
      </c>
    </row>
    <row r="370" spans="2:32">
      <c r="B370" s="32">
        <v>43149</v>
      </c>
      <c r="C370" s="33" t="e">
        <f>VLOOKUP($B370,大盤與近月台指!$A$4:$I$499,2,FALSE)</f>
        <v>#N/A</v>
      </c>
      <c r="D370" s="34" t="e">
        <f>VLOOKUP($B370,大盤與近月台指!$A$4:$I$499,3,FALSE)</f>
        <v>#N/A</v>
      </c>
      <c r="E370" s="35" t="e">
        <f>VLOOKUP($B370,大盤與近月台指!$A$4:$I$499,4,FALSE)</f>
        <v>#N/A</v>
      </c>
      <c r="F370" s="33" t="e">
        <f>VLOOKUP($B370,大盤與近月台指!$A$4:$I$499,5,FALSE)</f>
        <v>#N/A</v>
      </c>
      <c r="G370" s="49" t="e">
        <f>VLOOKUP($B370,三大法人買賣超!$A$4:$I$500,3,FALSE)</f>
        <v>#N/A</v>
      </c>
      <c r="H370" s="34" t="e">
        <f>VLOOKUP($B370,三大法人買賣超!$A$4:$I$500,5,FALSE)</f>
        <v>#N/A</v>
      </c>
      <c r="I370" s="27" t="e">
        <f>VLOOKUP($B370,三大法人買賣超!$A$4:$I$500,7,FALSE)</f>
        <v>#N/A</v>
      </c>
      <c r="J370" s="27" t="e">
        <f>VLOOKUP($B370,三大法人買賣超!$A$4:$I$500,9,FALSE)</f>
        <v>#N/A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 t="e">
        <f>VLOOKUP($B370,外資期貨未平倉口數!$A$4:$M$499,4,FALSE)</f>
        <v>#N/A</v>
      </c>
      <c r="O370" s="27" t="e">
        <f>VLOOKUP($B370,外資期貨未平倉口數!$A$4:$M$499,9,FALSE)</f>
        <v>#N/A</v>
      </c>
      <c r="P370" s="27" t="e">
        <f>VLOOKUP($B370,外資期貨未平倉口數!$A$4:$M$499,10,FALSE)</f>
        <v>#N/A</v>
      </c>
      <c r="Q370" s="27" t="e">
        <f>VLOOKUP($B370,外資期貨未平倉口數!$A$4:$M$499,11,FALSE)</f>
        <v>#N/A</v>
      </c>
      <c r="R370" s="64" t="e">
        <f>VLOOKUP($B370,選擇權未平倉餘額!$A$4:$I$500,6,FALSE)</f>
        <v>#N/A</v>
      </c>
      <c r="S370" s="64" t="e">
        <f>VLOOKUP($B370,選擇權未平倉餘額!$A$4:$I$500,7,FALSE)</f>
        <v>#N/A</v>
      </c>
      <c r="T370" s="64" t="e">
        <f>VLOOKUP($B370,選擇權未平倉餘額!$A$4:$I$500,8,FALSE)</f>
        <v>#N/A</v>
      </c>
      <c r="U370" s="64" t="e">
        <f>VLOOKUP($B370,選擇權未平倉餘額!$A$4:$I$500,9,FALSE)</f>
        <v>#N/A</v>
      </c>
      <c r="V370" s="39" t="e">
        <f>VLOOKUP($B370,臺指選擇權P_C_Ratios!$A$4:$C$500,3,FALSE)</f>
        <v>#N/A</v>
      </c>
      <c r="W370" s="41" t="e">
        <f>VLOOKUP($B370,散戶多空比!$A$6:$L$500,12,FALSE)</f>
        <v>#N/A</v>
      </c>
      <c r="X370" s="40" t="e">
        <f>VLOOKUP($B370,期貨大額交易人未沖銷部位!$A$4:$O$499,4,FALSE)</f>
        <v>#N/A</v>
      </c>
      <c r="Y370" s="40" t="e">
        <f>VLOOKUP($B370,期貨大額交易人未沖銷部位!$A$4:$O$499,7,FALSE)</f>
        <v>#N/A</v>
      </c>
      <c r="Z370" s="40" t="e">
        <f>VLOOKUP($B370,期貨大額交易人未沖銷部位!$A$4:$O$499,10,FALSE)</f>
        <v>#N/A</v>
      </c>
      <c r="AA370" s="40" t="e">
        <f>VLOOKUP($B370,期貨大額交易人未沖銷部位!$A$4:$O$499,13,FALSE)</f>
        <v>#N/A</v>
      </c>
      <c r="AB370" s="40" t="e">
        <f>VLOOKUP($B370,期貨大額交易人未沖銷部位!$A$4:$O$499,14,FALSE)</f>
        <v>#N/A</v>
      </c>
      <c r="AC370" s="40" t="e">
        <f>VLOOKUP($B370,期貨大額交易人未沖銷部位!$A$4:$O$499,15,FALSE)</f>
        <v>#N/A</v>
      </c>
      <c r="AD370" s="33" t="e">
        <f>VLOOKUP($B370,三大美股走勢!$A$4:$J$495,4,FALSE)</f>
        <v>#N/A</v>
      </c>
      <c r="AE370" s="33" t="e">
        <f>VLOOKUP($B370,三大美股走勢!$A$4:$J$495,7,FALSE)</f>
        <v>#N/A</v>
      </c>
      <c r="AF370" s="33" t="e">
        <f>VLOOKUP($B370,三大美股走勢!$A$4:$J$495,10,FALSE)</f>
        <v>#N/A</v>
      </c>
    </row>
    <row r="371" spans="2:32">
      <c r="B371" s="32">
        <v>43150</v>
      </c>
      <c r="C371" s="33" t="e">
        <f>VLOOKUP($B371,大盤與近月台指!$A$4:$I$499,2,FALSE)</f>
        <v>#N/A</v>
      </c>
      <c r="D371" s="34" t="e">
        <f>VLOOKUP($B371,大盤與近月台指!$A$4:$I$499,3,FALSE)</f>
        <v>#N/A</v>
      </c>
      <c r="E371" s="35" t="e">
        <f>VLOOKUP($B371,大盤與近月台指!$A$4:$I$499,4,FALSE)</f>
        <v>#N/A</v>
      </c>
      <c r="F371" s="33" t="e">
        <f>VLOOKUP($B371,大盤與近月台指!$A$4:$I$499,5,FALSE)</f>
        <v>#N/A</v>
      </c>
      <c r="G371" s="49" t="e">
        <f>VLOOKUP($B371,三大法人買賣超!$A$4:$I$500,3,FALSE)</f>
        <v>#N/A</v>
      </c>
      <c r="H371" s="34" t="e">
        <f>VLOOKUP($B371,三大法人買賣超!$A$4:$I$500,5,FALSE)</f>
        <v>#N/A</v>
      </c>
      <c r="I371" s="27" t="e">
        <f>VLOOKUP($B371,三大法人買賣超!$A$4:$I$500,7,FALSE)</f>
        <v>#N/A</v>
      </c>
      <c r="J371" s="27" t="e">
        <f>VLOOKUP($B371,三大法人買賣超!$A$4:$I$500,9,FALSE)</f>
        <v>#N/A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 t="e">
        <f>VLOOKUP($B371,外資期貨未平倉口數!$A$4:$M$499,4,FALSE)</f>
        <v>#N/A</v>
      </c>
      <c r="O371" s="27" t="e">
        <f>VLOOKUP($B371,外資期貨未平倉口數!$A$4:$M$499,9,FALSE)</f>
        <v>#N/A</v>
      </c>
      <c r="P371" s="27" t="e">
        <f>VLOOKUP($B371,外資期貨未平倉口數!$A$4:$M$499,10,FALSE)</f>
        <v>#N/A</v>
      </c>
      <c r="Q371" s="27" t="e">
        <f>VLOOKUP($B371,外資期貨未平倉口數!$A$4:$M$499,11,FALSE)</f>
        <v>#N/A</v>
      </c>
      <c r="R371" s="64" t="e">
        <f>VLOOKUP($B371,選擇權未平倉餘額!$A$4:$I$500,6,FALSE)</f>
        <v>#N/A</v>
      </c>
      <c r="S371" s="64" t="e">
        <f>VLOOKUP($B371,選擇權未平倉餘額!$A$4:$I$500,7,FALSE)</f>
        <v>#N/A</v>
      </c>
      <c r="T371" s="64" t="e">
        <f>VLOOKUP($B371,選擇權未平倉餘額!$A$4:$I$500,8,FALSE)</f>
        <v>#N/A</v>
      </c>
      <c r="U371" s="64" t="e">
        <f>VLOOKUP($B371,選擇權未平倉餘額!$A$4:$I$500,9,FALSE)</f>
        <v>#N/A</v>
      </c>
      <c r="V371" s="39" t="e">
        <f>VLOOKUP($B371,臺指選擇權P_C_Ratios!$A$4:$C$500,3,FALSE)</f>
        <v>#N/A</v>
      </c>
      <c r="W371" s="41" t="e">
        <f>VLOOKUP($B371,散戶多空比!$A$6:$L$500,12,FALSE)</f>
        <v>#N/A</v>
      </c>
      <c r="X371" s="40" t="e">
        <f>VLOOKUP($B371,期貨大額交易人未沖銷部位!$A$4:$O$499,4,FALSE)</f>
        <v>#N/A</v>
      </c>
      <c r="Y371" s="40" t="e">
        <f>VLOOKUP($B371,期貨大額交易人未沖銷部位!$A$4:$O$499,7,FALSE)</f>
        <v>#N/A</v>
      </c>
      <c r="Z371" s="40" t="e">
        <f>VLOOKUP($B371,期貨大額交易人未沖銷部位!$A$4:$O$499,10,FALSE)</f>
        <v>#N/A</v>
      </c>
      <c r="AA371" s="40" t="e">
        <f>VLOOKUP($B371,期貨大額交易人未沖銷部位!$A$4:$O$499,13,FALSE)</f>
        <v>#N/A</v>
      </c>
      <c r="AB371" s="40" t="e">
        <f>VLOOKUP($B371,期貨大額交易人未沖銷部位!$A$4:$O$499,14,FALSE)</f>
        <v>#N/A</v>
      </c>
      <c r="AC371" s="40" t="e">
        <f>VLOOKUP($B371,期貨大額交易人未沖銷部位!$A$4:$O$499,15,FALSE)</f>
        <v>#N/A</v>
      </c>
      <c r="AD371" s="33" t="e">
        <f>VLOOKUP($B371,三大美股走勢!$A$4:$J$495,4,FALSE)</f>
        <v>#N/A</v>
      </c>
      <c r="AE371" s="33" t="e">
        <f>VLOOKUP($B371,三大美股走勢!$A$4:$J$495,7,FALSE)</f>
        <v>#N/A</v>
      </c>
      <c r="AF371" s="33" t="e">
        <f>VLOOKUP($B371,三大美股走勢!$A$4:$J$495,10,FALSE)</f>
        <v>#N/A</v>
      </c>
    </row>
    <row r="372" spans="2:32">
      <c r="B372" s="32">
        <v>43151</v>
      </c>
      <c r="C372" s="33" t="e">
        <f>VLOOKUP($B372,大盤與近月台指!$A$4:$I$499,2,FALSE)</f>
        <v>#N/A</v>
      </c>
      <c r="D372" s="34" t="e">
        <f>VLOOKUP($B372,大盤與近月台指!$A$4:$I$499,3,FALSE)</f>
        <v>#N/A</v>
      </c>
      <c r="E372" s="35" t="e">
        <f>VLOOKUP($B372,大盤與近月台指!$A$4:$I$499,4,FALSE)</f>
        <v>#N/A</v>
      </c>
      <c r="F372" s="33" t="e">
        <f>VLOOKUP($B372,大盤與近月台指!$A$4:$I$499,5,FALSE)</f>
        <v>#N/A</v>
      </c>
      <c r="G372" s="49" t="e">
        <f>VLOOKUP($B372,三大法人買賣超!$A$4:$I$500,3,FALSE)</f>
        <v>#N/A</v>
      </c>
      <c r="H372" s="34" t="e">
        <f>VLOOKUP($B372,三大法人買賣超!$A$4:$I$500,5,FALSE)</f>
        <v>#N/A</v>
      </c>
      <c r="I372" s="27" t="e">
        <f>VLOOKUP($B372,三大法人買賣超!$A$4:$I$500,7,FALSE)</f>
        <v>#N/A</v>
      </c>
      <c r="J372" s="27" t="e">
        <f>VLOOKUP($B372,三大法人買賣超!$A$4:$I$500,9,FALSE)</f>
        <v>#N/A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0</v>
      </c>
      <c r="N372" s="27" t="e">
        <f>VLOOKUP($B372,外資期貨未平倉口數!$A$4:$M$499,4,FALSE)</f>
        <v>#N/A</v>
      </c>
      <c r="O372" s="27" t="e">
        <f>VLOOKUP($B372,外資期貨未平倉口數!$A$4:$M$499,9,FALSE)</f>
        <v>#N/A</v>
      </c>
      <c r="P372" s="27" t="e">
        <f>VLOOKUP($B372,外資期貨未平倉口數!$A$4:$M$499,10,FALSE)</f>
        <v>#N/A</v>
      </c>
      <c r="Q372" s="27" t="e">
        <f>VLOOKUP($B372,外資期貨未平倉口數!$A$4:$M$499,11,FALSE)</f>
        <v>#N/A</v>
      </c>
      <c r="R372" s="64" t="e">
        <f>VLOOKUP($B372,選擇權未平倉餘額!$A$4:$I$500,6,FALSE)</f>
        <v>#N/A</v>
      </c>
      <c r="S372" s="64" t="e">
        <f>VLOOKUP($B372,選擇權未平倉餘額!$A$4:$I$500,7,FALSE)</f>
        <v>#N/A</v>
      </c>
      <c r="T372" s="64" t="e">
        <f>VLOOKUP($B372,選擇權未平倉餘額!$A$4:$I$500,8,FALSE)</f>
        <v>#N/A</v>
      </c>
      <c r="U372" s="64" t="e">
        <f>VLOOKUP($B372,選擇權未平倉餘額!$A$4:$I$500,9,FALSE)</f>
        <v>#N/A</v>
      </c>
      <c r="V372" s="39" t="e">
        <f>VLOOKUP($B372,臺指選擇權P_C_Ratios!$A$4:$C$500,3,FALSE)</f>
        <v>#N/A</v>
      </c>
      <c r="W372" s="41" t="e">
        <f>VLOOKUP($B372,散戶多空比!$A$6:$L$500,12,FALSE)</f>
        <v>#N/A</v>
      </c>
      <c r="X372" s="40" t="e">
        <f>VLOOKUP($B372,期貨大額交易人未沖銷部位!$A$4:$O$499,4,FALSE)</f>
        <v>#N/A</v>
      </c>
      <c r="Y372" s="40" t="e">
        <f>VLOOKUP($B372,期貨大額交易人未沖銷部位!$A$4:$O$499,7,FALSE)</f>
        <v>#N/A</v>
      </c>
      <c r="Z372" s="40" t="e">
        <f>VLOOKUP($B372,期貨大額交易人未沖銷部位!$A$4:$O$499,10,FALSE)</f>
        <v>#N/A</v>
      </c>
      <c r="AA372" s="40" t="e">
        <f>VLOOKUP($B372,期貨大額交易人未沖銷部位!$A$4:$O$499,13,FALSE)</f>
        <v>#N/A</v>
      </c>
      <c r="AB372" s="40" t="e">
        <f>VLOOKUP($B372,期貨大額交易人未沖銷部位!$A$4:$O$499,14,FALSE)</f>
        <v>#N/A</v>
      </c>
      <c r="AC372" s="40" t="e">
        <f>VLOOKUP($B372,期貨大額交易人未沖銷部位!$A$4:$O$499,15,FALSE)</f>
        <v>#N/A</v>
      </c>
      <c r="AD372" s="33" t="e">
        <f>VLOOKUP($B372,三大美股走勢!$A$4:$J$495,4,FALSE)</f>
        <v>#N/A</v>
      </c>
      <c r="AE372" s="33" t="e">
        <f>VLOOKUP($B372,三大美股走勢!$A$4:$J$495,7,FALSE)</f>
        <v>#N/A</v>
      </c>
      <c r="AF372" s="33" t="e">
        <f>VLOOKUP($B372,三大美股走勢!$A$4:$J$495,10,FALSE)</f>
        <v>#N/A</v>
      </c>
    </row>
    <row r="373" spans="2:32">
      <c r="B373" s="32">
        <v>43152</v>
      </c>
      <c r="C373" s="33" t="e">
        <f>VLOOKUP($B373,大盤與近月台指!$A$4:$I$499,2,FALSE)</f>
        <v>#N/A</v>
      </c>
      <c r="D373" s="34" t="e">
        <f>VLOOKUP($B373,大盤與近月台指!$A$4:$I$499,3,FALSE)</f>
        <v>#N/A</v>
      </c>
      <c r="E373" s="35" t="e">
        <f>VLOOKUP($B373,大盤與近月台指!$A$4:$I$499,4,FALSE)</f>
        <v>#N/A</v>
      </c>
      <c r="F373" s="33" t="e">
        <f>VLOOKUP($B373,大盤與近月台指!$A$4:$I$499,5,FALSE)</f>
        <v>#N/A</v>
      </c>
      <c r="G373" s="49" t="e">
        <f>VLOOKUP($B373,三大法人買賣超!$A$4:$I$500,3,FALSE)</f>
        <v>#N/A</v>
      </c>
      <c r="H373" s="34" t="e">
        <f>VLOOKUP($B373,三大法人買賣超!$A$4:$I$500,5,FALSE)</f>
        <v>#N/A</v>
      </c>
      <c r="I373" s="27" t="e">
        <f>VLOOKUP($B373,三大法人買賣超!$A$4:$I$500,7,FALSE)</f>
        <v>#N/A</v>
      </c>
      <c r="J373" s="27" t="e">
        <f>VLOOKUP($B373,三大法人買賣超!$A$4:$I$500,9,FALSE)</f>
        <v>#N/A</v>
      </c>
      <c r="K373" s="37">
        <f>新台幣匯率美元指數!B374</f>
        <v>0</v>
      </c>
      <c r="L373" s="38">
        <f>新台幣匯率美元指數!C374</f>
        <v>0</v>
      </c>
      <c r="M373" s="39">
        <f>新台幣匯率美元指數!D374</f>
        <v>0</v>
      </c>
      <c r="N373" s="27" t="e">
        <f>VLOOKUP($B373,外資期貨未平倉口數!$A$4:$M$499,4,FALSE)</f>
        <v>#N/A</v>
      </c>
      <c r="O373" s="27" t="e">
        <f>VLOOKUP($B373,外資期貨未平倉口數!$A$4:$M$499,9,FALSE)</f>
        <v>#N/A</v>
      </c>
      <c r="P373" s="27" t="e">
        <f>VLOOKUP($B373,外資期貨未平倉口數!$A$4:$M$499,10,FALSE)</f>
        <v>#N/A</v>
      </c>
      <c r="Q373" s="27" t="e">
        <f>VLOOKUP($B373,外資期貨未平倉口數!$A$4:$M$499,11,FALSE)</f>
        <v>#N/A</v>
      </c>
      <c r="R373" s="64" t="e">
        <f>VLOOKUP($B373,選擇權未平倉餘額!$A$4:$I$500,6,FALSE)</f>
        <v>#N/A</v>
      </c>
      <c r="S373" s="64" t="e">
        <f>VLOOKUP($B373,選擇權未平倉餘額!$A$4:$I$500,7,FALSE)</f>
        <v>#N/A</v>
      </c>
      <c r="T373" s="64" t="e">
        <f>VLOOKUP($B373,選擇權未平倉餘額!$A$4:$I$500,8,FALSE)</f>
        <v>#N/A</v>
      </c>
      <c r="U373" s="64" t="e">
        <f>VLOOKUP($B373,選擇權未平倉餘額!$A$4:$I$500,9,FALSE)</f>
        <v>#N/A</v>
      </c>
      <c r="V373" s="39" t="e">
        <f>VLOOKUP($B373,臺指選擇權P_C_Ratios!$A$4:$C$500,3,FALSE)</f>
        <v>#N/A</v>
      </c>
      <c r="W373" s="41" t="e">
        <f>VLOOKUP($B373,散戶多空比!$A$6:$L$500,12,FALSE)</f>
        <v>#N/A</v>
      </c>
      <c r="X373" s="40" t="e">
        <f>VLOOKUP($B373,期貨大額交易人未沖銷部位!$A$4:$O$499,4,FALSE)</f>
        <v>#N/A</v>
      </c>
      <c r="Y373" s="40" t="e">
        <f>VLOOKUP($B373,期貨大額交易人未沖銷部位!$A$4:$O$499,7,FALSE)</f>
        <v>#N/A</v>
      </c>
      <c r="Z373" s="40" t="e">
        <f>VLOOKUP($B373,期貨大額交易人未沖銷部位!$A$4:$O$499,10,FALSE)</f>
        <v>#N/A</v>
      </c>
      <c r="AA373" s="40" t="e">
        <f>VLOOKUP($B373,期貨大額交易人未沖銷部位!$A$4:$O$499,13,FALSE)</f>
        <v>#N/A</v>
      </c>
      <c r="AB373" s="40" t="e">
        <f>VLOOKUP($B373,期貨大額交易人未沖銷部位!$A$4:$O$499,14,FALSE)</f>
        <v>#N/A</v>
      </c>
      <c r="AC373" s="40" t="e">
        <f>VLOOKUP($B373,期貨大額交易人未沖銷部位!$A$4:$O$499,15,FALSE)</f>
        <v>#N/A</v>
      </c>
      <c r="AD373" s="33" t="e">
        <f>VLOOKUP($B373,三大美股走勢!$A$4:$J$495,4,FALSE)</f>
        <v>#N/A</v>
      </c>
      <c r="AE373" s="33" t="e">
        <f>VLOOKUP($B373,三大美股走勢!$A$4:$J$495,7,FALSE)</f>
        <v>#N/A</v>
      </c>
      <c r="AF373" s="33" t="e">
        <f>VLOOKUP($B373,三大美股走勢!$A$4:$J$495,10,FALSE)</f>
        <v>#N/A</v>
      </c>
    </row>
    <row r="374" spans="2:32">
      <c r="B374" s="32">
        <v>43153</v>
      </c>
      <c r="C374" s="33" t="e">
        <f>VLOOKUP($B374,大盤與近月台指!$A$4:$I$499,2,FALSE)</f>
        <v>#N/A</v>
      </c>
      <c r="D374" s="34" t="e">
        <f>VLOOKUP($B374,大盤與近月台指!$A$4:$I$499,3,FALSE)</f>
        <v>#N/A</v>
      </c>
      <c r="E374" s="35" t="e">
        <f>VLOOKUP($B374,大盤與近月台指!$A$4:$I$499,4,FALSE)</f>
        <v>#N/A</v>
      </c>
      <c r="F374" s="33" t="e">
        <f>VLOOKUP($B374,大盤與近月台指!$A$4:$I$499,5,FALSE)</f>
        <v>#N/A</v>
      </c>
      <c r="G374" s="49" t="e">
        <f>VLOOKUP($B374,三大法人買賣超!$A$4:$I$500,3,FALSE)</f>
        <v>#N/A</v>
      </c>
      <c r="H374" s="34" t="e">
        <f>VLOOKUP($B374,三大法人買賣超!$A$4:$I$500,5,FALSE)</f>
        <v>#N/A</v>
      </c>
      <c r="I374" s="27" t="e">
        <f>VLOOKUP($B374,三大法人買賣超!$A$4:$I$500,7,FALSE)</f>
        <v>#N/A</v>
      </c>
      <c r="J374" s="27" t="e">
        <f>VLOOKUP($B374,三大法人買賣超!$A$4:$I$500,9,FALSE)</f>
        <v>#N/A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0</v>
      </c>
      <c r="N374" s="27" t="e">
        <f>VLOOKUP($B374,外資期貨未平倉口數!$A$4:$M$499,4,FALSE)</f>
        <v>#N/A</v>
      </c>
      <c r="O374" s="27" t="e">
        <f>VLOOKUP($B374,外資期貨未平倉口數!$A$4:$M$499,9,FALSE)</f>
        <v>#N/A</v>
      </c>
      <c r="P374" s="27" t="e">
        <f>VLOOKUP($B374,外資期貨未平倉口數!$A$4:$M$499,10,FALSE)</f>
        <v>#N/A</v>
      </c>
      <c r="Q374" s="27" t="e">
        <f>VLOOKUP($B374,外資期貨未平倉口數!$A$4:$M$499,11,FALSE)</f>
        <v>#N/A</v>
      </c>
      <c r="R374" s="64" t="e">
        <f>VLOOKUP($B374,選擇權未平倉餘額!$A$4:$I$500,6,FALSE)</f>
        <v>#N/A</v>
      </c>
      <c r="S374" s="64" t="e">
        <f>VLOOKUP($B374,選擇權未平倉餘額!$A$4:$I$500,7,FALSE)</f>
        <v>#N/A</v>
      </c>
      <c r="T374" s="64" t="e">
        <f>VLOOKUP($B374,選擇權未平倉餘額!$A$4:$I$500,8,FALSE)</f>
        <v>#N/A</v>
      </c>
      <c r="U374" s="64" t="e">
        <f>VLOOKUP($B374,選擇權未平倉餘額!$A$4:$I$500,9,FALSE)</f>
        <v>#N/A</v>
      </c>
      <c r="V374" s="39" t="e">
        <f>VLOOKUP($B374,臺指選擇權P_C_Ratios!$A$4:$C$500,3,FALSE)</f>
        <v>#N/A</v>
      </c>
      <c r="W374" s="41" t="e">
        <f>VLOOKUP($B374,散戶多空比!$A$6:$L$500,12,FALSE)</f>
        <v>#N/A</v>
      </c>
      <c r="X374" s="40" t="e">
        <f>VLOOKUP($B374,期貨大額交易人未沖銷部位!$A$4:$O$499,4,FALSE)</f>
        <v>#N/A</v>
      </c>
      <c r="Y374" s="40" t="e">
        <f>VLOOKUP($B374,期貨大額交易人未沖銷部位!$A$4:$O$499,7,FALSE)</f>
        <v>#N/A</v>
      </c>
      <c r="Z374" s="40" t="e">
        <f>VLOOKUP($B374,期貨大額交易人未沖銷部位!$A$4:$O$499,10,FALSE)</f>
        <v>#N/A</v>
      </c>
      <c r="AA374" s="40" t="e">
        <f>VLOOKUP($B374,期貨大額交易人未沖銷部位!$A$4:$O$499,13,FALSE)</f>
        <v>#N/A</v>
      </c>
      <c r="AB374" s="40" t="e">
        <f>VLOOKUP($B374,期貨大額交易人未沖銷部位!$A$4:$O$499,14,FALSE)</f>
        <v>#N/A</v>
      </c>
      <c r="AC374" s="40" t="e">
        <f>VLOOKUP($B374,期貨大額交易人未沖銷部位!$A$4:$O$499,15,FALSE)</f>
        <v>#N/A</v>
      </c>
      <c r="AD374" s="33" t="e">
        <f>VLOOKUP($B374,三大美股走勢!$A$4:$J$495,4,FALSE)</f>
        <v>#N/A</v>
      </c>
      <c r="AE374" s="33" t="e">
        <f>VLOOKUP($B374,三大美股走勢!$A$4:$J$495,7,FALSE)</f>
        <v>#N/A</v>
      </c>
      <c r="AF374" s="33" t="e">
        <f>VLOOKUP($B374,三大美股走勢!$A$4:$J$495,10,FALSE)</f>
        <v>#N/A</v>
      </c>
    </row>
    <row r="375" spans="2:32">
      <c r="B375" s="32">
        <v>43154</v>
      </c>
      <c r="C375" s="33" t="e">
        <f>VLOOKUP($B375,大盤與近月台指!$A$4:$I$499,2,FALSE)</f>
        <v>#N/A</v>
      </c>
      <c r="D375" s="34" t="e">
        <f>VLOOKUP($B375,大盤與近月台指!$A$4:$I$499,3,FALSE)</f>
        <v>#N/A</v>
      </c>
      <c r="E375" s="35" t="e">
        <f>VLOOKUP($B375,大盤與近月台指!$A$4:$I$499,4,FALSE)</f>
        <v>#N/A</v>
      </c>
      <c r="F375" s="33" t="e">
        <f>VLOOKUP($B375,大盤與近月台指!$A$4:$I$499,5,FALSE)</f>
        <v>#N/A</v>
      </c>
      <c r="G375" s="49" t="e">
        <f>VLOOKUP($B375,三大法人買賣超!$A$4:$I$500,3,FALSE)</f>
        <v>#N/A</v>
      </c>
      <c r="H375" s="34" t="e">
        <f>VLOOKUP($B375,三大法人買賣超!$A$4:$I$500,5,FALSE)</f>
        <v>#N/A</v>
      </c>
      <c r="I375" s="27" t="e">
        <f>VLOOKUP($B375,三大法人買賣超!$A$4:$I$500,7,FALSE)</f>
        <v>#N/A</v>
      </c>
      <c r="J375" s="27" t="e">
        <f>VLOOKUP($B375,三大法人買賣超!$A$4:$I$500,9,FALSE)</f>
        <v>#N/A</v>
      </c>
      <c r="K375" s="37">
        <f>新台幣匯率美元指數!B376</f>
        <v>0</v>
      </c>
      <c r="L375" s="38">
        <f>新台幣匯率美元指數!C376</f>
        <v>0</v>
      </c>
      <c r="M375" s="39">
        <f>新台幣匯率美元指數!D376</f>
        <v>0</v>
      </c>
      <c r="N375" s="27" t="e">
        <f>VLOOKUP($B375,外資期貨未平倉口數!$A$4:$M$499,4,FALSE)</f>
        <v>#N/A</v>
      </c>
      <c r="O375" s="27" t="e">
        <f>VLOOKUP($B375,外資期貨未平倉口數!$A$4:$M$499,9,FALSE)</f>
        <v>#N/A</v>
      </c>
      <c r="P375" s="27" t="e">
        <f>VLOOKUP($B375,外資期貨未平倉口數!$A$4:$M$499,10,FALSE)</f>
        <v>#N/A</v>
      </c>
      <c r="Q375" s="27" t="e">
        <f>VLOOKUP($B375,外資期貨未平倉口數!$A$4:$M$499,11,FALSE)</f>
        <v>#N/A</v>
      </c>
      <c r="R375" s="64" t="e">
        <f>VLOOKUP($B375,選擇權未平倉餘額!$A$4:$I$500,6,FALSE)</f>
        <v>#N/A</v>
      </c>
      <c r="S375" s="64" t="e">
        <f>VLOOKUP($B375,選擇權未平倉餘額!$A$4:$I$500,7,FALSE)</f>
        <v>#N/A</v>
      </c>
      <c r="T375" s="64" t="e">
        <f>VLOOKUP($B375,選擇權未平倉餘額!$A$4:$I$500,8,FALSE)</f>
        <v>#N/A</v>
      </c>
      <c r="U375" s="64" t="e">
        <f>VLOOKUP($B375,選擇權未平倉餘額!$A$4:$I$500,9,FALSE)</f>
        <v>#N/A</v>
      </c>
      <c r="V375" s="39" t="e">
        <f>VLOOKUP($B375,臺指選擇權P_C_Ratios!$A$4:$C$500,3,FALSE)</f>
        <v>#N/A</v>
      </c>
      <c r="W375" s="41" t="e">
        <f>VLOOKUP($B375,散戶多空比!$A$6:$L$500,12,FALSE)</f>
        <v>#N/A</v>
      </c>
      <c r="X375" s="40" t="e">
        <f>VLOOKUP($B375,期貨大額交易人未沖銷部位!$A$4:$O$499,4,FALSE)</f>
        <v>#N/A</v>
      </c>
      <c r="Y375" s="40" t="e">
        <f>VLOOKUP($B375,期貨大額交易人未沖銷部位!$A$4:$O$499,7,FALSE)</f>
        <v>#N/A</v>
      </c>
      <c r="Z375" s="40" t="e">
        <f>VLOOKUP($B375,期貨大額交易人未沖銷部位!$A$4:$O$499,10,FALSE)</f>
        <v>#N/A</v>
      </c>
      <c r="AA375" s="40" t="e">
        <f>VLOOKUP($B375,期貨大額交易人未沖銷部位!$A$4:$O$499,13,FALSE)</f>
        <v>#N/A</v>
      </c>
      <c r="AB375" s="40" t="e">
        <f>VLOOKUP($B375,期貨大額交易人未沖銷部位!$A$4:$O$499,14,FALSE)</f>
        <v>#N/A</v>
      </c>
      <c r="AC375" s="40" t="e">
        <f>VLOOKUP($B375,期貨大額交易人未沖銷部位!$A$4:$O$499,15,FALSE)</f>
        <v>#N/A</v>
      </c>
      <c r="AD375" s="33" t="e">
        <f>VLOOKUP($B375,三大美股走勢!$A$4:$J$495,4,FALSE)</f>
        <v>#N/A</v>
      </c>
      <c r="AE375" s="33" t="e">
        <f>VLOOKUP($B375,三大美股走勢!$A$4:$J$495,7,FALSE)</f>
        <v>#N/A</v>
      </c>
      <c r="AF375" s="33" t="e">
        <f>VLOOKUP($B375,三大美股走勢!$A$4:$J$495,10,FALSE)</f>
        <v>#N/A</v>
      </c>
    </row>
    <row r="376" spans="2:32">
      <c r="B376" s="32">
        <v>43155</v>
      </c>
      <c r="C376" s="33" t="e">
        <f>VLOOKUP($B376,大盤與近月台指!$A$4:$I$499,2,FALSE)</f>
        <v>#N/A</v>
      </c>
      <c r="D376" s="34" t="e">
        <f>VLOOKUP($B376,大盤與近月台指!$A$4:$I$499,3,FALSE)</f>
        <v>#N/A</v>
      </c>
      <c r="E376" s="35" t="e">
        <f>VLOOKUP($B376,大盤與近月台指!$A$4:$I$499,4,FALSE)</f>
        <v>#N/A</v>
      </c>
      <c r="F376" s="33" t="e">
        <f>VLOOKUP($B376,大盤與近月台指!$A$4:$I$499,5,FALSE)</f>
        <v>#N/A</v>
      </c>
      <c r="G376" s="49" t="e">
        <f>VLOOKUP($B376,三大法人買賣超!$A$4:$I$500,3,FALSE)</f>
        <v>#N/A</v>
      </c>
      <c r="H376" s="34" t="e">
        <f>VLOOKUP($B376,三大法人買賣超!$A$4:$I$500,5,FALSE)</f>
        <v>#N/A</v>
      </c>
      <c r="I376" s="27" t="e">
        <f>VLOOKUP($B376,三大法人買賣超!$A$4:$I$500,7,FALSE)</f>
        <v>#N/A</v>
      </c>
      <c r="J376" s="27" t="e">
        <f>VLOOKUP($B376,三大法人買賣超!$A$4:$I$500,9,FALSE)</f>
        <v>#N/A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 t="e">
        <f>VLOOKUP($B376,外資期貨未平倉口數!$A$4:$M$499,4,FALSE)</f>
        <v>#N/A</v>
      </c>
      <c r="O376" s="27" t="e">
        <f>VLOOKUP($B376,外資期貨未平倉口數!$A$4:$M$499,9,FALSE)</f>
        <v>#N/A</v>
      </c>
      <c r="P376" s="27" t="e">
        <f>VLOOKUP($B376,外資期貨未平倉口數!$A$4:$M$499,10,FALSE)</f>
        <v>#N/A</v>
      </c>
      <c r="Q376" s="27" t="e">
        <f>VLOOKUP($B376,外資期貨未平倉口數!$A$4:$M$499,11,FALSE)</f>
        <v>#N/A</v>
      </c>
      <c r="R376" s="64" t="e">
        <f>VLOOKUP($B376,選擇權未平倉餘額!$A$4:$I$500,6,FALSE)</f>
        <v>#N/A</v>
      </c>
      <c r="S376" s="64" t="e">
        <f>VLOOKUP($B376,選擇權未平倉餘額!$A$4:$I$500,7,FALSE)</f>
        <v>#N/A</v>
      </c>
      <c r="T376" s="64" t="e">
        <f>VLOOKUP($B376,選擇權未平倉餘額!$A$4:$I$500,8,FALSE)</f>
        <v>#N/A</v>
      </c>
      <c r="U376" s="64" t="e">
        <f>VLOOKUP($B376,選擇權未平倉餘額!$A$4:$I$500,9,FALSE)</f>
        <v>#N/A</v>
      </c>
      <c r="V376" s="39" t="e">
        <f>VLOOKUP($B376,臺指選擇權P_C_Ratios!$A$4:$C$500,3,FALSE)</f>
        <v>#N/A</v>
      </c>
      <c r="W376" s="41" t="e">
        <f>VLOOKUP($B376,散戶多空比!$A$6:$L$500,12,FALSE)</f>
        <v>#N/A</v>
      </c>
      <c r="X376" s="40" t="e">
        <f>VLOOKUP($B376,期貨大額交易人未沖銷部位!$A$4:$O$499,4,FALSE)</f>
        <v>#N/A</v>
      </c>
      <c r="Y376" s="40" t="e">
        <f>VLOOKUP($B376,期貨大額交易人未沖銷部位!$A$4:$O$499,7,FALSE)</f>
        <v>#N/A</v>
      </c>
      <c r="Z376" s="40" t="e">
        <f>VLOOKUP($B376,期貨大額交易人未沖銷部位!$A$4:$O$499,10,FALSE)</f>
        <v>#N/A</v>
      </c>
      <c r="AA376" s="40" t="e">
        <f>VLOOKUP($B376,期貨大額交易人未沖銷部位!$A$4:$O$499,13,FALSE)</f>
        <v>#N/A</v>
      </c>
      <c r="AB376" s="40" t="e">
        <f>VLOOKUP($B376,期貨大額交易人未沖銷部位!$A$4:$O$499,14,FALSE)</f>
        <v>#N/A</v>
      </c>
      <c r="AC376" s="40" t="e">
        <f>VLOOKUP($B376,期貨大額交易人未沖銷部位!$A$4:$O$499,15,FALSE)</f>
        <v>#N/A</v>
      </c>
      <c r="AD376" s="33" t="e">
        <f>VLOOKUP($B376,三大美股走勢!$A$4:$J$495,4,FALSE)</f>
        <v>#N/A</v>
      </c>
      <c r="AE376" s="33" t="e">
        <f>VLOOKUP($B376,三大美股走勢!$A$4:$J$495,7,FALSE)</f>
        <v>#N/A</v>
      </c>
      <c r="AF376" s="33" t="e">
        <f>VLOOKUP($B376,三大美股走勢!$A$4:$J$495,10,FALSE)</f>
        <v>#N/A</v>
      </c>
    </row>
    <row r="377" spans="2:32">
      <c r="B377" s="32">
        <v>43156</v>
      </c>
      <c r="C377" s="33" t="e">
        <f>VLOOKUP($B377,大盤與近月台指!$A$4:$I$499,2,FALSE)</f>
        <v>#N/A</v>
      </c>
      <c r="D377" s="34" t="e">
        <f>VLOOKUP($B377,大盤與近月台指!$A$4:$I$499,3,FALSE)</f>
        <v>#N/A</v>
      </c>
      <c r="E377" s="35" t="e">
        <f>VLOOKUP($B377,大盤與近月台指!$A$4:$I$499,4,FALSE)</f>
        <v>#N/A</v>
      </c>
      <c r="F377" s="33" t="e">
        <f>VLOOKUP($B377,大盤與近月台指!$A$4:$I$499,5,FALSE)</f>
        <v>#N/A</v>
      </c>
      <c r="G377" s="49" t="e">
        <f>VLOOKUP($B377,三大法人買賣超!$A$4:$I$500,3,FALSE)</f>
        <v>#N/A</v>
      </c>
      <c r="H377" s="34" t="e">
        <f>VLOOKUP($B377,三大法人買賣超!$A$4:$I$500,5,FALSE)</f>
        <v>#N/A</v>
      </c>
      <c r="I377" s="27" t="e">
        <f>VLOOKUP($B377,三大法人買賣超!$A$4:$I$500,7,FALSE)</f>
        <v>#N/A</v>
      </c>
      <c r="J377" s="27" t="e">
        <f>VLOOKUP($B377,三大法人買賣超!$A$4:$I$500,9,FALSE)</f>
        <v>#N/A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 t="e">
        <f>VLOOKUP($B377,外資期貨未平倉口數!$A$4:$M$499,4,FALSE)</f>
        <v>#N/A</v>
      </c>
      <c r="O377" s="27" t="e">
        <f>VLOOKUP($B377,外資期貨未平倉口數!$A$4:$M$499,9,FALSE)</f>
        <v>#N/A</v>
      </c>
      <c r="P377" s="27" t="e">
        <f>VLOOKUP($B377,外資期貨未平倉口數!$A$4:$M$499,10,FALSE)</f>
        <v>#N/A</v>
      </c>
      <c r="Q377" s="27" t="e">
        <f>VLOOKUP($B377,外資期貨未平倉口數!$A$4:$M$499,11,FALSE)</f>
        <v>#N/A</v>
      </c>
      <c r="R377" s="64" t="e">
        <f>VLOOKUP($B377,選擇權未平倉餘額!$A$4:$I$500,6,FALSE)</f>
        <v>#N/A</v>
      </c>
      <c r="S377" s="64" t="e">
        <f>VLOOKUP($B377,選擇權未平倉餘額!$A$4:$I$500,7,FALSE)</f>
        <v>#N/A</v>
      </c>
      <c r="T377" s="64" t="e">
        <f>VLOOKUP($B377,選擇權未平倉餘額!$A$4:$I$500,8,FALSE)</f>
        <v>#N/A</v>
      </c>
      <c r="U377" s="64" t="e">
        <f>VLOOKUP($B377,選擇權未平倉餘額!$A$4:$I$500,9,FALSE)</f>
        <v>#N/A</v>
      </c>
      <c r="V377" s="39" t="e">
        <f>VLOOKUP($B377,臺指選擇權P_C_Ratios!$A$4:$C$500,3,FALSE)</f>
        <v>#N/A</v>
      </c>
      <c r="W377" s="41" t="e">
        <f>VLOOKUP($B377,散戶多空比!$A$6:$L$500,12,FALSE)</f>
        <v>#N/A</v>
      </c>
      <c r="X377" s="40" t="e">
        <f>VLOOKUP($B377,期貨大額交易人未沖銷部位!$A$4:$O$499,4,FALSE)</f>
        <v>#N/A</v>
      </c>
      <c r="Y377" s="40" t="e">
        <f>VLOOKUP($B377,期貨大額交易人未沖銷部位!$A$4:$O$499,7,FALSE)</f>
        <v>#N/A</v>
      </c>
      <c r="Z377" s="40" t="e">
        <f>VLOOKUP($B377,期貨大額交易人未沖銷部位!$A$4:$O$499,10,FALSE)</f>
        <v>#N/A</v>
      </c>
      <c r="AA377" s="40" t="e">
        <f>VLOOKUP($B377,期貨大額交易人未沖銷部位!$A$4:$O$499,13,FALSE)</f>
        <v>#N/A</v>
      </c>
      <c r="AB377" s="40" t="e">
        <f>VLOOKUP($B377,期貨大額交易人未沖銷部位!$A$4:$O$499,14,FALSE)</f>
        <v>#N/A</v>
      </c>
      <c r="AC377" s="40" t="e">
        <f>VLOOKUP($B377,期貨大額交易人未沖銷部位!$A$4:$O$499,15,FALSE)</f>
        <v>#N/A</v>
      </c>
      <c r="AD377" s="33" t="e">
        <f>VLOOKUP($B377,三大美股走勢!$A$4:$J$495,4,FALSE)</f>
        <v>#N/A</v>
      </c>
      <c r="AE377" s="33" t="e">
        <f>VLOOKUP($B377,三大美股走勢!$A$4:$J$495,7,FALSE)</f>
        <v>#N/A</v>
      </c>
      <c r="AF377" s="33" t="e">
        <f>VLOOKUP($B377,三大美股走勢!$A$4:$J$495,10,FALSE)</f>
        <v>#N/A</v>
      </c>
    </row>
    <row r="378" spans="2:32">
      <c r="B378" s="32">
        <v>43157</v>
      </c>
      <c r="C378" s="33" t="e">
        <f>VLOOKUP($B378,大盤與近月台指!$A$4:$I$499,2,FALSE)</f>
        <v>#N/A</v>
      </c>
      <c r="D378" s="34" t="e">
        <f>VLOOKUP($B378,大盤與近月台指!$A$4:$I$499,3,FALSE)</f>
        <v>#N/A</v>
      </c>
      <c r="E378" s="35" t="e">
        <f>VLOOKUP($B378,大盤與近月台指!$A$4:$I$499,4,FALSE)</f>
        <v>#N/A</v>
      </c>
      <c r="F378" s="33" t="e">
        <f>VLOOKUP($B378,大盤與近月台指!$A$4:$I$499,5,FALSE)</f>
        <v>#N/A</v>
      </c>
      <c r="G378" s="49" t="e">
        <f>VLOOKUP($B378,三大法人買賣超!$A$4:$I$500,3,FALSE)</f>
        <v>#N/A</v>
      </c>
      <c r="H378" s="34" t="e">
        <f>VLOOKUP($B378,三大法人買賣超!$A$4:$I$500,5,FALSE)</f>
        <v>#N/A</v>
      </c>
      <c r="I378" s="27" t="e">
        <f>VLOOKUP($B378,三大法人買賣超!$A$4:$I$500,7,FALSE)</f>
        <v>#N/A</v>
      </c>
      <c r="J378" s="27" t="e">
        <f>VLOOKUP($B378,三大法人買賣超!$A$4:$I$500,9,FALSE)</f>
        <v>#N/A</v>
      </c>
      <c r="K378" s="37">
        <f>新台幣匯率美元指數!B379</f>
        <v>0</v>
      </c>
      <c r="L378" s="38">
        <f>新台幣匯率美元指數!C379</f>
        <v>0</v>
      </c>
      <c r="M378" s="39">
        <f>新台幣匯率美元指數!D379</f>
        <v>0</v>
      </c>
      <c r="N378" s="27" t="e">
        <f>VLOOKUP($B378,外資期貨未平倉口數!$A$4:$M$499,4,FALSE)</f>
        <v>#N/A</v>
      </c>
      <c r="O378" s="27" t="e">
        <f>VLOOKUP($B378,外資期貨未平倉口數!$A$4:$M$499,9,FALSE)</f>
        <v>#N/A</v>
      </c>
      <c r="P378" s="27" t="e">
        <f>VLOOKUP($B378,外資期貨未平倉口數!$A$4:$M$499,10,FALSE)</f>
        <v>#N/A</v>
      </c>
      <c r="Q378" s="27" t="e">
        <f>VLOOKUP($B378,外資期貨未平倉口數!$A$4:$M$499,11,FALSE)</f>
        <v>#N/A</v>
      </c>
      <c r="R378" s="64" t="e">
        <f>VLOOKUP($B378,選擇權未平倉餘額!$A$4:$I$500,6,FALSE)</f>
        <v>#N/A</v>
      </c>
      <c r="S378" s="64" t="e">
        <f>VLOOKUP($B378,選擇權未平倉餘額!$A$4:$I$500,7,FALSE)</f>
        <v>#N/A</v>
      </c>
      <c r="T378" s="64" t="e">
        <f>VLOOKUP($B378,選擇權未平倉餘額!$A$4:$I$500,8,FALSE)</f>
        <v>#N/A</v>
      </c>
      <c r="U378" s="64" t="e">
        <f>VLOOKUP($B378,選擇權未平倉餘額!$A$4:$I$500,9,FALSE)</f>
        <v>#N/A</v>
      </c>
      <c r="V378" s="39" t="e">
        <f>VLOOKUP($B378,臺指選擇權P_C_Ratios!$A$4:$C$500,3,FALSE)</f>
        <v>#N/A</v>
      </c>
      <c r="W378" s="41" t="e">
        <f>VLOOKUP($B378,散戶多空比!$A$6:$L$500,12,FALSE)</f>
        <v>#N/A</v>
      </c>
      <c r="X378" s="40" t="e">
        <f>VLOOKUP($B378,期貨大額交易人未沖銷部位!$A$4:$O$499,4,FALSE)</f>
        <v>#N/A</v>
      </c>
      <c r="Y378" s="40" t="e">
        <f>VLOOKUP($B378,期貨大額交易人未沖銷部位!$A$4:$O$499,7,FALSE)</f>
        <v>#N/A</v>
      </c>
      <c r="Z378" s="40" t="e">
        <f>VLOOKUP($B378,期貨大額交易人未沖銷部位!$A$4:$O$499,10,FALSE)</f>
        <v>#N/A</v>
      </c>
      <c r="AA378" s="40" t="e">
        <f>VLOOKUP($B378,期貨大額交易人未沖銷部位!$A$4:$O$499,13,FALSE)</f>
        <v>#N/A</v>
      </c>
      <c r="AB378" s="40" t="e">
        <f>VLOOKUP($B378,期貨大額交易人未沖銷部位!$A$4:$O$499,14,FALSE)</f>
        <v>#N/A</v>
      </c>
      <c r="AC378" s="40" t="e">
        <f>VLOOKUP($B378,期貨大額交易人未沖銷部位!$A$4:$O$499,15,FALSE)</f>
        <v>#N/A</v>
      </c>
      <c r="AD378" s="33" t="e">
        <f>VLOOKUP($B378,三大美股走勢!$A$4:$J$495,4,FALSE)</f>
        <v>#N/A</v>
      </c>
      <c r="AE378" s="33" t="e">
        <f>VLOOKUP($B378,三大美股走勢!$A$4:$J$495,7,FALSE)</f>
        <v>#N/A</v>
      </c>
      <c r="AF378" s="33" t="e">
        <f>VLOOKUP($B378,三大美股走勢!$A$4:$J$495,10,FALSE)</f>
        <v>#N/A</v>
      </c>
    </row>
    <row r="379" spans="2:32">
      <c r="B379" s="32">
        <v>43158</v>
      </c>
      <c r="C379" s="33" t="e">
        <f>VLOOKUP($B379,大盤與近月台指!$A$4:$I$499,2,FALSE)</f>
        <v>#N/A</v>
      </c>
      <c r="D379" s="34" t="e">
        <f>VLOOKUP($B379,大盤與近月台指!$A$4:$I$499,3,FALSE)</f>
        <v>#N/A</v>
      </c>
      <c r="E379" s="35" t="e">
        <f>VLOOKUP($B379,大盤與近月台指!$A$4:$I$499,4,FALSE)</f>
        <v>#N/A</v>
      </c>
      <c r="F379" s="33" t="e">
        <f>VLOOKUP($B379,大盤與近月台指!$A$4:$I$499,5,FALSE)</f>
        <v>#N/A</v>
      </c>
      <c r="G379" s="49" t="e">
        <f>VLOOKUP($B379,三大法人買賣超!$A$4:$I$500,3,FALSE)</f>
        <v>#N/A</v>
      </c>
      <c r="H379" s="34" t="e">
        <f>VLOOKUP($B379,三大法人買賣超!$A$4:$I$500,5,FALSE)</f>
        <v>#N/A</v>
      </c>
      <c r="I379" s="27" t="e">
        <f>VLOOKUP($B379,三大法人買賣超!$A$4:$I$500,7,FALSE)</f>
        <v>#N/A</v>
      </c>
      <c r="J379" s="27" t="e">
        <f>VLOOKUP($B379,三大法人買賣超!$A$4:$I$500,9,FALSE)</f>
        <v>#N/A</v>
      </c>
      <c r="K379" s="37">
        <f>新台幣匯率美元指數!B380</f>
        <v>0</v>
      </c>
      <c r="L379" s="38">
        <f>新台幣匯率美元指數!C380</f>
        <v>0</v>
      </c>
      <c r="M379" s="39">
        <f>新台幣匯率美元指數!D380</f>
        <v>0</v>
      </c>
      <c r="N379" s="27" t="e">
        <f>VLOOKUP($B379,外資期貨未平倉口數!$A$4:$M$499,4,FALSE)</f>
        <v>#N/A</v>
      </c>
      <c r="O379" s="27" t="e">
        <f>VLOOKUP($B379,外資期貨未平倉口數!$A$4:$M$499,9,FALSE)</f>
        <v>#N/A</v>
      </c>
      <c r="P379" s="27" t="e">
        <f>VLOOKUP($B379,外資期貨未平倉口數!$A$4:$M$499,10,FALSE)</f>
        <v>#N/A</v>
      </c>
      <c r="Q379" s="27" t="e">
        <f>VLOOKUP($B379,外資期貨未平倉口數!$A$4:$M$499,11,FALSE)</f>
        <v>#N/A</v>
      </c>
      <c r="R379" s="64" t="e">
        <f>VLOOKUP($B379,選擇權未平倉餘額!$A$4:$I$500,6,FALSE)</f>
        <v>#N/A</v>
      </c>
      <c r="S379" s="64" t="e">
        <f>VLOOKUP($B379,選擇權未平倉餘額!$A$4:$I$500,7,FALSE)</f>
        <v>#N/A</v>
      </c>
      <c r="T379" s="64" t="e">
        <f>VLOOKUP($B379,選擇權未平倉餘額!$A$4:$I$500,8,FALSE)</f>
        <v>#N/A</v>
      </c>
      <c r="U379" s="64" t="e">
        <f>VLOOKUP($B379,選擇權未平倉餘額!$A$4:$I$500,9,FALSE)</f>
        <v>#N/A</v>
      </c>
      <c r="V379" s="39" t="e">
        <f>VLOOKUP($B379,臺指選擇權P_C_Ratios!$A$4:$C$500,3,FALSE)</f>
        <v>#N/A</v>
      </c>
      <c r="W379" s="41" t="e">
        <f>VLOOKUP($B379,散戶多空比!$A$6:$L$500,12,FALSE)</f>
        <v>#N/A</v>
      </c>
      <c r="X379" s="40" t="e">
        <f>VLOOKUP($B379,期貨大額交易人未沖銷部位!$A$4:$O$499,4,FALSE)</f>
        <v>#N/A</v>
      </c>
      <c r="Y379" s="40" t="e">
        <f>VLOOKUP($B379,期貨大額交易人未沖銷部位!$A$4:$O$499,7,FALSE)</f>
        <v>#N/A</v>
      </c>
      <c r="Z379" s="40" t="e">
        <f>VLOOKUP($B379,期貨大額交易人未沖銷部位!$A$4:$O$499,10,FALSE)</f>
        <v>#N/A</v>
      </c>
      <c r="AA379" s="40" t="e">
        <f>VLOOKUP($B379,期貨大額交易人未沖銷部位!$A$4:$O$499,13,FALSE)</f>
        <v>#N/A</v>
      </c>
      <c r="AB379" s="40" t="e">
        <f>VLOOKUP($B379,期貨大額交易人未沖銷部位!$A$4:$O$499,14,FALSE)</f>
        <v>#N/A</v>
      </c>
      <c r="AC379" s="40" t="e">
        <f>VLOOKUP($B379,期貨大額交易人未沖銷部位!$A$4:$O$499,15,FALSE)</f>
        <v>#N/A</v>
      </c>
      <c r="AD379" s="33" t="e">
        <f>VLOOKUP($B379,三大美股走勢!$A$4:$J$495,4,FALSE)</f>
        <v>#N/A</v>
      </c>
      <c r="AE379" s="33" t="e">
        <f>VLOOKUP($B379,三大美股走勢!$A$4:$J$495,7,FALSE)</f>
        <v>#N/A</v>
      </c>
      <c r="AF379" s="33" t="e">
        <f>VLOOKUP($B379,三大美股走勢!$A$4:$J$495,10,FALSE)</f>
        <v>#N/A</v>
      </c>
    </row>
    <row r="380" spans="2:32">
      <c r="B380" s="32">
        <v>43159</v>
      </c>
      <c r="C380" s="33" t="e">
        <f>VLOOKUP($B380,大盤與近月台指!$A$4:$I$499,2,FALSE)</f>
        <v>#N/A</v>
      </c>
      <c r="D380" s="34" t="e">
        <f>VLOOKUP($B380,大盤與近月台指!$A$4:$I$499,3,FALSE)</f>
        <v>#N/A</v>
      </c>
      <c r="E380" s="35" t="e">
        <f>VLOOKUP($B380,大盤與近月台指!$A$4:$I$499,4,FALSE)</f>
        <v>#N/A</v>
      </c>
      <c r="F380" s="33" t="e">
        <f>VLOOKUP($B380,大盤與近月台指!$A$4:$I$499,5,FALSE)</f>
        <v>#N/A</v>
      </c>
      <c r="G380" s="49" t="e">
        <f>VLOOKUP($B380,三大法人買賣超!$A$4:$I$500,3,FALSE)</f>
        <v>#N/A</v>
      </c>
      <c r="H380" s="34" t="e">
        <f>VLOOKUP($B380,三大法人買賣超!$A$4:$I$500,5,FALSE)</f>
        <v>#N/A</v>
      </c>
      <c r="I380" s="27" t="e">
        <f>VLOOKUP($B380,三大法人買賣超!$A$4:$I$500,7,FALSE)</f>
        <v>#N/A</v>
      </c>
      <c r="J380" s="27" t="e">
        <f>VLOOKUP($B380,三大法人買賣超!$A$4:$I$500,9,FALSE)</f>
        <v>#N/A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0</v>
      </c>
      <c r="N380" s="27" t="e">
        <f>VLOOKUP($B380,外資期貨未平倉口數!$A$4:$M$499,4,FALSE)</f>
        <v>#N/A</v>
      </c>
      <c r="O380" s="27" t="e">
        <f>VLOOKUP($B380,外資期貨未平倉口數!$A$4:$M$499,9,FALSE)</f>
        <v>#N/A</v>
      </c>
      <c r="P380" s="27" t="e">
        <f>VLOOKUP($B380,外資期貨未平倉口數!$A$4:$M$499,10,FALSE)</f>
        <v>#N/A</v>
      </c>
      <c r="Q380" s="27" t="e">
        <f>VLOOKUP($B380,外資期貨未平倉口數!$A$4:$M$499,11,FALSE)</f>
        <v>#N/A</v>
      </c>
      <c r="R380" s="64" t="e">
        <f>VLOOKUP($B380,選擇權未平倉餘額!$A$4:$I$500,6,FALSE)</f>
        <v>#N/A</v>
      </c>
      <c r="S380" s="64" t="e">
        <f>VLOOKUP($B380,選擇權未平倉餘額!$A$4:$I$500,7,FALSE)</f>
        <v>#N/A</v>
      </c>
      <c r="T380" s="64" t="e">
        <f>VLOOKUP($B380,選擇權未平倉餘額!$A$4:$I$500,8,FALSE)</f>
        <v>#N/A</v>
      </c>
      <c r="U380" s="64" t="e">
        <f>VLOOKUP($B380,選擇權未平倉餘額!$A$4:$I$500,9,FALSE)</f>
        <v>#N/A</v>
      </c>
      <c r="V380" s="39" t="e">
        <f>VLOOKUP($B380,臺指選擇權P_C_Ratios!$A$4:$C$500,3,FALSE)</f>
        <v>#N/A</v>
      </c>
      <c r="W380" s="41" t="e">
        <f>VLOOKUP($B380,散戶多空比!$A$6:$L$500,12,FALSE)</f>
        <v>#N/A</v>
      </c>
      <c r="X380" s="40" t="e">
        <f>VLOOKUP($B380,期貨大額交易人未沖銷部位!$A$4:$O$499,4,FALSE)</f>
        <v>#N/A</v>
      </c>
      <c r="Y380" s="40" t="e">
        <f>VLOOKUP($B380,期貨大額交易人未沖銷部位!$A$4:$O$499,7,FALSE)</f>
        <v>#N/A</v>
      </c>
      <c r="Z380" s="40" t="e">
        <f>VLOOKUP($B380,期貨大額交易人未沖銷部位!$A$4:$O$499,10,FALSE)</f>
        <v>#N/A</v>
      </c>
      <c r="AA380" s="40" t="e">
        <f>VLOOKUP($B380,期貨大額交易人未沖銷部位!$A$4:$O$499,13,FALSE)</f>
        <v>#N/A</v>
      </c>
      <c r="AB380" s="40" t="e">
        <f>VLOOKUP($B380,期貨大額交易人未沖銷部位!$A$4:$O$499,14,FALSE)</f>
        <v>#N/A</v>
      </c>
      <c r="AC380" s="40" t="e">
        <f>VLOOKUP($B380,期貨大額交易人未沖銷部位!$A$4:$O$499,15,FALSE)</f>
        <v>#N/A</v>
      </c>
      <c r="AD380" s="33" t="e">
        <f>VLOOKUP($B380,三大美股走勢!$A$4:$J$495,4,FALSE)</f>
        <v>#N/A</v>
      </c>
      <c r="AE380" s="33" t="e">
        <f>VLOOKUP($B380,三大美股走勢!$A$4:$J$495,7,FALSE)</f>
        <v>#N/A</v>
      </c>
      <c r="AF380" s="33" t="e">
        <f>VLOOKUP($B380,三大美股走勢!$A$4:$J$495,10,FALSE)</f>
        <v>#N/A</v>
      </c>
    </row>
    <row r="381" spans="2:32">
      <c r="B381" s="32">
        <v>43160</v>
      </c>
      <c r="C381" s="33" t="e">
        <f>VLOOKUP($B381,大盤與近月台指!$A$4:$I$499,2,FALSE)</f>
        <v>#N/A</v>
      </c>
      <c r="D381" s="34" t="e">
        <f>VLOOKUP($B381,大盤與近月台指!$A$4:$I$499,3,FALSE)</f>
        <v>#N/A</v>
      </c>
      <c r="E381" s="35" t="e">
        <f>VLOOKUP($B381,大盤與近月台指!$A$4:$I$499,4,FALSE)</f>
        <v>#N/A</v>
      </c>
      <c r="F381" s="33" t="e">
        <f>VLOOKUP($B381,大盤與近月台指!$A$4:$I$499,5,FALSE)</f>
        <v>#N/A</v>
      </c>
      <c r="G381" s="49" t="e">
        <f>VLOOKUP($B381,三大法人買賣超!$A$4:$I$500,3,FALSE)</f>
        <v>#N/A</v>
      </c>
      <c r="H381" s="34" t="e">
        <f>VLOOKUP($B381,三大法人買賣超!$A$4:$I$500,5,FALSE)</f>
        <v>#N/A</v>
      </c>
      <c r="I381" s="27" t="e">
        <f>VLOOKUP($B381,三大法人買賣超!$A$4:$I$500,7,FALSE)</f>
        <v>#N/A</v>
      </c>
      <c r="J381" s="27" t="e">
        <f>VLOOKUP($B381,三大法人買賣超!$A$4:$I$500,9,FALSE)</f>
        <v>#N/A</v>
      </c>
      <c r="K381" s="37">
        <f>新台幣匯率美元指數!B382</f>
        <v>0</v>
      </c>
      <c r="L381" s="38">
        <f>新台幣匯率美元指數!C382</f>
        <v>0</v>
      </c>
      <c r="M381" s="39">
        <f>新台幣匯率美元指數!D382</f>
        <v>0</v>
      </c>
      <c r="N381" s="27" t="e">
        <f>VLOOKUP($B381,外資期貨未平倉口數!$A$4:$M$499,4,FALSE)</f>
        <v>#N/A</v>
      </c>
      <c r="O381" s="27" t="e">
        <f>VLOOKUP($B381,外資期貨未平倉口數!$A$4:$M$499,9,FALSE)</f>
        <v>#N/A</v>
      </c>
      <c r="P381" s="27" t="e">
        <f>VLOOKUP($B381,外資期貨未平倉口數!$A$4:$M$499,10,FALSE)</f>
        <v>#N/A</v>
      </c>
      <c r="Q381" s="27" t="e">
        <f>VLOOKUP($B381,外資期貨未平倉口數!$A$4:$M$499,11,FALSE)</f>
        <v>#N/A</v>
      </c>
      <c r="R381" s="64" t="e">
        <f>VLOOKUP($B381,選擇權未平倉餘額!$A$4:$I$500,6,FALSE)</f>
        <v>#N/A</v>
      </c>
      <c r="S381" s="64" t="e">
        <f>VLOOKUP($B381,選擇權未平倉餘額!$A$4:$I$500,7,FALSE)</f>
        <v>#N/A</v>
      </c>
      <c r="T381" s="64" t="e">
        <f>VLOOKUP($B381,選擇權未平倉餘額!$A$4:$I$500,8,FALSE)</f>
        <v>#N/A</v>
      </c>
      <c r="U381" s="64" t="e">
        <f>VLOOKUP($B381,選擇權未平倉餘額!$A$4:$I$500,9,FALSE)</f>
        <v>#N/A</v>
      </c>
      <c r="V381" s="39" t="e">
        <f>VLOOKUP($B381,臺指選擇權P_C_Ratios!$A$4:$C$500,3,FALSE)</f>
        <v>#N/A</v>
      </c>
      <c r="W381" s="41" t="e">
        <f>VLOOKUP($B381,散戶多空比!$A$6:$L$500,12,FALSE)</f>
        <v>#N/A</v>
      </c>
      <c r="X381" s="40" t="e">
        <f>VLOOKUP($B381,期貨大額交易人未沖銷部位!$A$4:$O$499,4,FALSE)</f>
        <v>#N/A</v>
      </c>
      <c r="Y381" s="40" t="e">
        <f>VLOOKUP($B381,期貨大額交易人未沖銷部位!$A$4:$O$499,7,FALSE)</f>
        <v>#N/A</v>
      </c>
      <c r="Z381" s="40" t="e">
        <f>VLOOKUP($B381,期貨大額交易人未沖銷部位!$A$4:$O$499,10,FALSE)</f>
        <v>#N/A</v>
      </c>
      <c r="AA381" s="40" t="e">
        <f>VLOOKUP($B381,期貨大額交易人未沖銷部位!$A$4:$O$499,13,FALSE)</f>
        <v>#N/A</v>
      </c>
      <c r="AB381" s="40" t="e">
        <f>VLOOKUP($B381,期貨大額交易人未沖銷部位!$A$4:$O$499,14,FALSE)</f>
        <v>#N/A</v>
      </c>
      <c r="AC381" s="40" t="e">
        <f>VLOOKUP($B381,期貨大額交易人未沖銷部位!$A$4:$O$499,15,FALSE)</f>
        <v>#N/A</v>
      </c>
      <c r="AD381" s="33" t="e">
        <f>VLOOKUP($B381,三大美股走勢!$A$4:$J$495,4,FALSE)</f>
        <v>#N/A</v>
      </c>
      <c r="AE381" s="33" t="e">
        <f>VLOOKUP($B381,三大美股走勢!$A$4:$J$495,7,FALSE)</f>
        <v>#N/A</v>
      </c>
      <c r="AF381" s="33" t="e">
        <f>VLOOKUP($B381,三大美股走勢!$A$4:$J$495,10,FALSE)</f>
        <v>#N/A</v>
      </c>
    </row>
    <row r="382" spans="2:32">
      <c r="B382" s="32">
        <v>43161</v>
      </c>
      <c r="C382" s="33" t="e">
        <f>VLOOKUP($B382,大盤與近月台指!$A$4:$I$499,2,FALSE)</f>
        <v>#N/A</v>
      </c>
      <c r="D382" s="34" t="e">
        <f>VLOOKUP($B382,大盤與近月台指!$A$4:$I$499,3,FALSE)</f>
        <v>#N/A</v>
      </c>
      <c r="E382" s="35" t="e">
        <f>VLOOKUP($B382,大盤與近月台指!$A$4:$I$499,4,FALSE)</f>
        <v>#N/A</v>
      </c>
      <c r="F382" s="33" t="e">
        <f>VLOOKUP($B382,大盤與近月台指!$A$4:$I$499,5,FALSE)</f>
        <v>#N/A</v>
      </c>
      <c r="G382" s="49" t="e">
        <f>VLOOKUP($B382,三大法人買賣超!$A$4:$I$500,3,FALSE)</f>
        <v>#N/A</v>
      </c>
      <c r="H382" s="34" t="e">
        <f>VLOOKUP($B382,三大法人買賣超!$A$4:$I$500,5,FALSE)</f>
        <v>#N/A</v>
      </c>
      <c r="I382" s="27" t="e">
        <f>VLOOKUP($B382,三大法人買賣超!$A$4:$I$500,7,FALSE)</f>
        <v>#N/A</v>
      </c>
      <c r="J382" s="27" t="e">
        <f>VLOOKUP($B382,三大法人買賣超!$A$4:$I$500,9,FALSE)</f>
        <v>#N/A</v>
      </c>
      <c r="K382" s="37">
        <f>新台幣匯率美元指數!B383</f>
        <v>0</v>
      </c>
      <c r="L382" s="38">
        <f>新台幣匯率美元指數!C383</f>
        <v>0</v>
      </c>
      <c r="M382" s="39">
        <f>新台幣匯率美元指數!D383</f>
        <v>0</v>
      </c>
      <c r="N382" s="27" t="e">
        <f>VLOOKUP($B382,外資期貨未平倉口數!$A$4:$M$499,4,FALSE)</f>
        <v>#N/A</v>
      </c>
      <c r="O382" s="27" t="e">
        <f>VLOOKUP($B382,外資期貨未平倉口數!$A$4:$M$499,9,FALSE)</f>
        <v>#N/A</v>
      </c>
      <c r="P382" s="27" t="e">
        <f>VLOOKUP($B382,外資期貨未平倉口數!$A$4:$M$499,10,FALSE)</f>
        <v>#N/A</v>
      </c>
      <c r="Q382" s="27" t="e">
        <f>VLOOKUP($B382,外資期貨未平倉口數!$A$4:$M$499,11,FALSE)</f>
        <v>#N/A</v>
      </c>
      <c r="R382" s="64" t="e">
        <f>VLOOKUP($B382,選擇權未平倉餘額!$A$4:$I$500,6,FALSE)</f>
        <v>#N/A</v>
      </c>
      <c r="S382" s="64" t="e">
        <f>VLOOKUP($B382,選擇權未平倉餘額!$A$4:$I$500,7,FALSE)</f>
        <v>#N/A</v>
      </c>
      <c r="T382" s="64" t="e">
        <f>VLOOKUP($B382,選擇權未平倉餘額!$A$4:$I$500,8,FALSE)</f>
        <v>#N/A</v>
      </c>
      <c r="U382" s="64" t="e">
        <f>VLOOKUP($B382,選擇權未平倉餘額!$A$4:$I$500,9,FALSE)</f>
        <v>#N/A</v>
      </c>
      <c r="V382" s="39" t="e">
        <f>VLOOKUP($B382,臺指選擇權P_C_Ratios!$A$4:$C$500,3,FALSE)</f>
        <v>#N/A</v>
      </c>
      <c r="W382" s="41" t="e">
        <f>VLOOKUP($B382,散戶多空比!$A$6:$L$500,12,FALSE)</f>
        <v>#N/A</v>
      </c>
      <c r="X382" s="40" t="e">
        <f>VLOOKUP($B382,期貨大額交易人未沖銷部位!$A$4:$O$499,4,FALSE)</f>
        <v>#N/A</v>
      </c>
      <c r="Y382" s="40" t="e">
        <f>VLOOKUP($B382,期貨大額交易人未沖銷部位!$A$4:$O$499,7,FALSE)</f>
        <v>#N/A</v>
      </c>
      <c r="Z382" s="40" t="e">
        <f>VLOOKUP($B382,期貨大額交易人未沖銷部位!$A$4:$O$499,10,FALSE)</f>
        <v>#N/A</v>
      </c>
      <c r="AA382" s="40" t="e">
        <f>VLOOKUP($B382,期貨大額交易人未沖銷部位!$A$4:$O$499,13,FALSE)</f>
        <v>#N/A</v>
      </c>
      <c r="AB382" s="40" t="e">
        <f>VLOOKUP($B382,期貨大額交易人未沖銷部位!$A$4:$O$499,14,FALSE)</f>
        <v>#N/A</v>
      </c>
      <c r="AC382" s="40" t="e">
        <f>VLOOKUP($B382,期貨大額交易人未沖銷部位!$A$4:$O$499,15,FALSE)</f>
        <v>#N/A</v>
      </c>
      <c r="AD382" s="33" t="e">
        <f>VLOOKUP($B382,三大美股走勢!$A$4:$J$495,4,FALSE)</f>
        <v>#N/A</v>
      </c>
      <c r="AE382" s="33" t="e">
        <f>VLOOKUP($B382,三大美股走勢!$A$4:$J$495,7,FALSE)</f>
        <v>#N/A</v>
      </c>
      <c r="AF382" s="33" t="e">
        <f>VLOOKUP($B382,三大美股走勢!$A$4:$J$495,10,FALSE)</f>
        <v>#N/A</v>
      </c>
    </row>
    <row r="383" spans="2:32">
      <c r="B383" s="32">
        <v>43162</v>
      </c>
      <c r="C383" s="33" t="e">
        <f>VLOOKUP($B383,大盤與近月台指!$A$4:$I$499,2,FALSE)</f>
        <v>#N/A</v>
      </c>
      <c r="D383" s="34" t="e">
        <f>VLOOKUP($B383,大盤與近月台指!$A$4:$I$499,3,FALSE)</f>
        <v>#N/A</v>
      </c>
      <c r="E383" s="35" t="e">
        <f>VLOOKUP($B383,大盤與近月台指!$A$4:$I$499,4,FALSE)</f>
        <v>#N/A</v>
      </c>
      <c r="F383" s="33" t="e">
        <f>VLOOKUP($B383,大盤與近月台指!$A$4:$I$499,5,FALSE)</f>
        <v>#N/A</v>
      </c>
      <c r="G383" s="49" t="e">
        <f>VLOOKUP($B383,三大法人買賣超!$A$4:$I$500,3,FALSE)</f>
        <v>#N/A</v>
      </c>
      <c r="H383" s="34" t="e">
        <f>VLOOKUP($B383,三大法人買賣超!$A$4:$I$500,5,FALSE)</f>
        <v>#N/A</v>
      </c>
      <c r="I383" s="27" t="e">
        <f>VLOOKUP($B383,三大法人買賣超!$A$4:$I$500,7,FALSE)</f>
        <v>#N/A</v>
      </c>
      <c r="J383" s="27" t="e">
        <f>VLOOKUP($B383,三大法人買賣超!$A$4:$I$500,9,FALSE)</f>
        <v>#N/A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 t="e">
        <f>VLOOKUP($B383,外資期貨未平倉口數!$A$4:$M$499,4,FALSE)</f>
        <v>#N/A</v>
      </c>
      <c r="O383" s="27" t="e">
        <f>VLOOKUP($B383,外資期貨未平倉口數!$A$4:$M$499,9,FALSE)</f>
        <v>#N/A</v>
      </c>
      <c r="P383" s="27" t="e">
        <f>VLOOKUP($B383,外資期貨未平倉口數!$A$4:$M$499,10,FALSE)</f>
        <v>#N/A</v>
      </c>
      <c r="Q383" s="27" t="e">
        <f>VLOOKUP($B383,外資期貨未平倉口數!$A$4:$M$499,11,FALSE)</f>
        <v>#N/A</v>
      </c>
      <c r="R383" s="64" t="e">
        <f>VLOOKUP($B383,選擇權未平倉餘額!$A$4:$I$500,6,FALSE)</f>
        <v>#N/A</v>
      </c>
      <c r="S383" s="64" t="e">
        <f>VLOOKUP($B383,選擇權未平倉餘額!$A$4:$I$500,7,FALSE)</f>
        <v>#N/A</v>
      </c>
      <c r="T383" s="64" t="e">
        <f>VLOOKUP($B383,選擇權未平倉餘額!$A$4:$I$500,8,FALSE)</f>
        <v>#N/A</v>
      </c>
      <c r="U383" s="64" t="e">
        <f>VLOOKUP($B383,選擇權未平倉餘額!$A$4:$I$500,9,FALSE)</f>
        <v>#N/A</v>
      </c>
      <c r="V383" s="39" t="e">
        <f>VLOOKUP($B383,臺指選擇權P_C_Ratios!$A$4:$C$500,3,FALSE)</f>
        <v>#N/A</v>
      </c>
      <c r="W383" s="41" t="e">
        <f>VLOOKUP($B383,散戶多空比!$A$6:$L$500,12,FALSE)</f>
        <v>#N/A</v>
      </c>
      <c r="X383" s="40" t="e">
        <f>VLOOKUP($B383,期貨大額交易人未沖銷部位!$A$4:$O$499,4,FALSE)</f>
        <v>#N/A</v>
      </c>
      <c r="Y383" s="40" t="e">
        <f>VLOOKUP($B383,期貨大額交易人未沖銷部位!$A$4:$O$499,7,FALSE)</f>
        <v>#N/A</v>
      </c>
      <c r="Z383" s="40" t="e">
        <f>VLOOKUP($B383,期貨大額交易人未沖銷部位!$A$4:$O$499,10,FALSE)</f>
        <v>#N/A</v>
      </c>
      <c r="AA383" s="40" t="e">
        <f>VLOOKUP($B383,期貨大額交易人未沖銷部位!$A$4:$O$499,13,FALSE)</f>
        <v>#N/A</v>
      </c>
      <c r="AB383" s="40" t="e">
        <f>VLOOKUP($B383,期貨大額交易人未沖銷部位!$A$4:$O$499,14,FALSE)</f>
        <v>#N/A</v>
      </c>
      <c r="AC383" s="40" t="e">
        <f>VLOOKUP($B383,期貨大額交易人未沖銷部位!$A$4:$O$499,15,FALSE)</f>
        <v>#N/A</v>
      </c>
      <c r="AD383" s="33" t="e">
        <f>VLOOKUP($B383,三大美股走勢!$A$4:$J$495,4,FALSE)</f>
        <v>#N/A</v>
      </c>
      <c r="AE383" s="33" t="e">
        <f>VLOOKUP($B383,三大美股走勢!$A$4:$J$495,7,FALSE)</f>
        <v>#N/A</v>
      </c>
      <c r="AF383" s="33" t="e">
        <f>VLOOKUP($B383,三大美股走勢!$A$4:$J$495,10,FALSE)</f>
        <v>#N/A</v>
      </c>
    </row>
    <row r="384" spans="2:32">
      <c r="B384" s="32">
        <v>43163</v>
      </c>
      <c r="C384" s="33" t="e">
        <f>VLOOKUP($B384,大盤與近月台指!$A$4:$I$499,2,FALSE)</f>
        <v>#N/A</v>
      </c>
      <c r="D384" s="34" t="e">
        <f>VLOOKUP($B384,大盤與近月台指!$A$4:$I$499,3,FALSE)</f>
        <v>#N/A</v>
      </c>
      <c r="E384" s="35" t="e">
        <f>VLOOKUP($B384,大盤與近月台指!$A$4:$I$499,4,FALSE)</f>
        <v>#N/A</v>
      </c>
      <c r="F384" s="33" t="e">
        <f>VLOOKUP($B384,大盤與近月台指!$A$4:$I$499,5,FALSE)</f>
        <v>#N/A</v>
      </c>
      <c r="G384" s="49" t="e">
        <f>VLOOKUP($B384,三大法人買賣超!$A$4:$I$500,3,FALSE)</f>
        <v>#N/A</v>
      </c>
      <c r="H384" s="34" t="e">
        <f>VLOOKUP($B384,三大法人買賣超!$A$4:$I$500,5,FALSE)</f>
        <v>#N/A</v>
      </c>
      <c r="I384" s="27" t="e">
        <f>VLOOKUP($B384,三大法人買賣超!$A$4:$I$500,7,FALSE)</f>
        <v>#N/A</v>
      </c>
      <c r="J384" s="27" t="e">
        <f>VLOOKUP($B384,三大法人買賣超!$A$4:$I$500,9,FALSE)</f>
        <v>#N/A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 t="e">
        <f>VLOOKUP($B384,外資期貨未平倉口數!$A$4:$M$499,4,FALSE)</f>
        <v>#N/A</v>
      </c>
      <c r="O384" s="27" t="e">
        <f>VLOOKUP($B384,外資期貨未平倉口數!$A$4:$M$499,9,FALSE)</f>
        <v>#N/A</v>
      </c>
      <c r="P384" s="27" t="e">
        <f>VLOOKUP($B384,外資期貨未平倉口數!$A$4:$M$499,10,FALSE)</f>
        <v>#N/A</v>
      </c>
      <c r="Q384" s="27" t="e">
        <f>VLOOKUP($B384,外資期貨未平倉口數!$A$4:$M$499,11,FALSE)</f>
        <v>#N/A</v>
      </c>
      <c r="R384" s="64" t="e">
        <f>VLOOKUP($B384,選擇權未平倉餘額!$A$4:$I$500,6,FALSE)</f>
        <v>#N/A</v>
      </c>
      <c r="S384" s="64" t="e">
        <f>VLOOKUP($B384,選擇權未平倉餘額!$A$4:$I$500,7,FALSE)</f>
        <v>#N/A</v>
      </c>
      <c r="T384" s="64" t="e">
        <f>VLOOKUP($B384,選擇權未平倉餘額!$A$4:$I$500,8,FALSE)</f>
        <v>#N/A</v>
      </c>
      <c r="U384" s="64" t="e">
        <f>VLOOKUP($B384,選擇權未平倉餘額!$A$4:$I$500,9,FALSE)</f>
        <v>#N/A</v>
      </c>
      <c r="V384" s="39" t="e">
        <f>VLOOKUP($B384,臺指選擇權P_C_Ratios!$A$4:$C$500,3,FALSE)</f>
        <v>#N/A</v>
      </c>
      <c r="W384" s="41" t="e">
        <f>VLOOKUP($B384,散戶多空比!$A$6:$L$500,12,FALSE)</f>
        <v>#N/A</v>
      </c>
      <c r="X384" s="40" t="e">
        <f>VLOOKUP($B384,期貨大額交易人未沖銷部位!$A$4:$O$499,4,FALSE)</f>
        <v>#N/A</v>
      </c>
      <c r="Y384" s="40" t="e">
        <f>VLOOKUP($B384,期貨大額交易人未沖銷部位!$A$4:$O$499,7,FALSE)</f>
        <v>#N/A</v>
      </c>
      <c r="Z384" s="40" t="e">
        <f>VLOOKUP($B384,期貨大額交易人未沖銷部位!$A$4:$O$499,10,FALSE)</f>
        <v>#N/A</v>
      </c>
      <c r="AA384" s="40" t="e">
        <f>VLOOKUP($B384,期貨大額交易人未沖銷部位!$A$4:$O$499,13,FALSE)</f>
        <v>#N/A</v>
      </c>
      <c r="AB384" s="40" t="e">
        <f>VLOOKUP($B384,期貨大額交易人未沖銷部位!$A$4:$O$499,14,FALSE)</f>
        <v>#N/A</v>
      </c>
      <c r="AC384" s="40" t="e">
        <f>VLOOKUP($B384,期貨大額交易人未沖銷部位!$A$4:$O$499,15,FALSE)</f>
        <v>#N/A</v>
      </c>
      <c r="AD384" s="33" t="e">
        <f>VLOOKUP($B384,三大美股走勢!$A$4:$J$495,4,FALSE)</f>
        <v>#N/A</v>
      </c>
      <c r="AE384" s="33" t="e">
        <f>VLOOKUP($B384,三大美股走勢!$A$4:$J$495,7,FALSE)</f>
        <v>#N/A</v>
      </c>
      <c r="AF384" s="33" t="e">
        <f>VLOOKUP($B384,三大美股走勢!$A$4:$J$495,10,FALSE)</f>
        <v>#N/A</v>
      </c>
    </row>
    <row r="385" spans="2:32">
      <c r="B385" s="32">
        <v>43164</v>
      </c>
      <c r="C385" s="33" t="e">
        <f>VLOOKUP($B385,大盤與近月台指!$A$4:$I$499,2,FALSE)</f>
        <v>#N/A</v>
      </c>
      <c r="D385" s="34" t="e">
        <f>VLOOKUP($B385,大盤與近月台指!$A$4:$I$499,3,FALSE)</f>
        <v>#N/A</v>
      </c>
      <c r="E385" s="35" t="e">
        <f>VLOOKUP($B385,大盤與近月台指!$A$4:$I$499,4,FALSE)</f>
        <v>#N/A</v>
      </c>
      <c r="F385" s="33" t="e">
        <f>VLOOKUP($B385,大盤與近月台指!$A$4:$I$499,5,FALSE)</f>
        <v>#N/A</v>
      </c>
      <c r="G385" s="49" t="e">
        <f>VLOOKUP($B385,三大法人買賣超!$A$4:$I$500,3,FALSE)</f>
        <v>#N/A</v>
      </c>
      <c r="H385" s="34" t="e">
        <f>VLOOKUP($B385,三大法人買賣超!$A$4:$I$500,5,FALSE)</f>
        <v>#N/A</v>
      </c>
      <c r="I385" s="27" t="e">
        <f>VLOOKUP($B385,三大法人買賣超!$A$4:$I$500,7,FALSE)</f>
        <v>#N/A</v>
      </c>
      <c r="J385" s="27" t="e">
        <f>VLOOKUP($B385,三大法人買賣超!$A$4:$I$500,9,FALSE)</f>
        <v>#N/A</v>
      </c>
      <c r="K385" s="37">
        <f>新台幣匯率美元指數!B386</f>
        <v>0</v>
      </c>
      <c r="L385" s="38">
        <f>新台幣匯率美元指數!C386</f>
        <v>0</v>
      </c>
      <c r="M385" s="39">
        <f>新台幣匯率美元指數!D386</f>
        <v>0</v>
      </c>
      <c r="N385" s="27" t="e">
        <f>VLOOKUP($B385,外資期貨未平倉口數!$A$4:$M$499,4,FALSE)</f>
        <v>#N/A</v>
      </c>
      <c r="O385" s="27" t="e">
        <f>VLOOKUP($B385,外資期貨未平倉口數!$A$4:$M$499,9,FALSE)</f>
        <v>#N/A</v>
      </c>
      <c r="P385" s="27" t="e">
        <f>VLOOKUP($B385,外資期貨未平倉口數!$A$4:$M$499,10,FALSE)</f>
        <v>#N/A</v>
      </c>
      <c r="Q385" s="27" t="e">
        <f>VLOOKUP($B385,外資期貨未平倉口數!$A$4:$M$499,11,FALSE)</f>
        <v>#N/A</v>
      </c>
      <c r="R385" s="64" t="e">
        <f>VLOOKUP($B385,選擇權未平倉餘額!$A$4:$I$500,6,FALSE)</f>
        <v>#N/A</v>
      </c>
      <c r="S385" s="64" t="e">
        <f>VLOOKUP($B385,選擇權未平倉餘額!$A$4:$I$500,7,FALSE)</f>
        <v>#N/A</v>
      </c>
      <c r="T385" s="64" t="e">
        <f>VLOOKUP($B385,選擇權未平倉餘額!$A$4:$I$500,8,FALSE)</f>
        <v>#N/A</v>
      </c>
      <c r="U385" s="64" t="e">
        <f>VLOOKUP($B385,選擇權未平倉餘額!$A$4:$I$500,9,FALSE)</f>
        <v>#N/A</v>
      </c>
      <c r="V385" s="39" t="e">
        <f>VLOOKUP($B385,臺指選擇權P_C_Ratios!$A$4:$C$500,3,FALSE)</f>
        <v>#N/A</v>
      </c>
      <c r="W385" s="41" t="e">
        <f>VLOOKUP($B385,散戶多空比!$A$6:$L$500,12,FALSE)</f>
        <v>#N/A</v>
      </c>
      <c r="X385" s="40" t="e">
        <f>VLOOKUP($B385,期貨大額交易人未沖銷部位!$A$4:$O$499,4,FALSE)</f>
        <v>#N/A</v>
      </c>
      <c r="Y385" s="40" t="e">
        <f>VLOOKUP($B385,期貨大額交易人未沖銷部位!$A$4:$O$499,7,FALSE)</f>
        <v>#N/A</v>
      </c>
      <c r="Z385" s="40" t="e">
        <f>VLOOKUP($B385,期貨大額交易人未沖銷部位!$A$4:$O$499,10,FALSE)</f>
        <v>#N/A</v>
      </c>
      <c r="AA385" s="40" t="e">
        <f>VLOOKUP($B385,期貨大額交易人未沖銷部位!$A$4:$O$499,13,FALSE)</f>
        <v>#N/A</v>
      </c>
      <c r="AB385" s="40" t="e">
        <f>VLOOKUP($B385,期貨大額交易人未沖銷部位!$A$4:$O$499,14,FALSE)</f>
        <v>#N/A</v>
      </c>
      <c r="AC385" s="40" t="e">
        <f>VLOOKUP($B385,期貨大額交易人未沖銷部位!$A$4:$O$499,15,FALSE)</f>
        <v>#N/A</v>
      </c>
      <c r="AD385" s="33" t="e">
        <f>VLOOKUP($B385,三大美股走勢!$A$4:$J$495,4,FALSE)</f>
        <v>#N/A</v>
      </c>
      <c r="AE385" s="33" t="e">
        <f>VLOOKUP($B385,三大美股走勢!$A$4:$J$495,7,FALSE)</f>
        <v>#N/A</v>
      </c>
      <c r="AF385" s="33" t="e">
        <f>VLOOKUP($B385,三大美股走勢!$A$4:$J$495,10,FALSE)</f>
        <v>#N/A</v>
      </c>
    </row>
    <row r="386" spans="2:32">
      <c r="B386" s="32">
        <v>43165</v>
      </c>
      <c r="C386" s="33" t="e">
        <f>VLOOKUP($B386,大盤與近月台指!$A$4:$I$499,2,FALSE)</f>
        <v>#N/A</v>
      </c>
      <c r="D386" s="34" t="e">
        <f>VLOOKUP($B386,大盤與近月台指!$A$4:$I$499,3,FALSE)</f>
        <v>#N/A</v>
      </c>
      <c r="E386" s="35" t="e">
        <f>VLOOKUP($B386,大盤與近月台指!$A$4:$I$499,4,FALSE)</f>
        <v>#N/A</v>
      </c>
      <c r="F386" s="33" t="e">
        <f>VLOOKUP($B386,大盤與近月台指!$A$4:$I$499,5,FALSE)</f>
        <v>#N/A</v>
      </c>
      <c r="G386" s="49" t="e">
        <f>VLOOKUP($B386,三大法人買賣超!$A$4:$I$500,3,FALSE)</f>
        <v>#N/A</v>
      </c>
      <c r="H386" s="34" t="e">
        <f>VLOOKUP($B386,三大法人買賣超!$A$4:$I$500,5,FALSE)</f>
        <v>#N/A</v>
      </c>
      <c r="I386" s="27" t="e">
        <f>VLOOKUP($B386,三大法人買賣超!$A$4:$I$500,7,FALSE)</f>
        <v>#N/A</v>
      </c>
      <c r="J386" s="27" t="e">
        <f>VLOOKUP($B386,三大法人買賣超!$A$4:$I$500,9,FALSE)</f>
        <v>#N/A</v>
      </c>
      <c r="K386" s="37">
        <f>新台幣匯率美元指數!B387</f>
        <v>0</v>
      </c>
      <c r="L386" s="38">
        <f>新台幣匯率美元指數!C387</f>
        <v>0</v>
      </c>
      <c r="M386" s="39">
        <f>新台幣匯率美元指數!D387</f>
        <v>0</v>
      </c>
      <c r="N386" s="27" t="e">
        <f>VLOOKUP($B386,外資期貨未平倉口數!$A$4:$M$499,4,FALSE)</f>
        <v>#N/A</v>
      </c>
      <c r="O386" s="27" t="e">
        <f>VLOOKUP($B386,外資期貨未平倉口數!$A$4:$M$499,9,FALSE)</f>
        <v>#N/A</v>
      </c>
      <c r="P386" s="27" t="e">
        <f>VLOOKUP($B386,外資期貨未平倉口數!$A$4:$M$499,10,FALSE)</f>
        <v>#N/A</v>
      </c>
      <c r="Q386" s="27" t="e">
        <f>VLOOKUP($B386,外資期貨未平倉口數!$A$4:$M$499,11,FALSE)</f>
        <v>#N/A</v>
      </c>
      <c r="R386" s="64" t="e">
        <f>VLOOKUP($B386,選擇權未平倉餘額!$A$4:$I$500,6,FALSE)</f>
        <v>#N/A</v>
      </c>
      <c r="S386" s="64" t="e">
        <f>VLOOKUP($B386,選擇權未平倉餘額!$A$4:$I$500,7,FALSE)</f>
        <v>#N/A</v>
      </c>
      <c r="T386" s="64" t="e">
        <f>VLOOKUP($B386,選擇權未平倉餘額!$A$4:$I$500,8,FALSE)</f>
        <v>#N/A</v>
      </c>
      <c r="U386" s="64" t="e">
        <f>VLOOKUP($B386,選擇權未平倉餘額!$A$4:$I$500,9,FALSE)</f>
        <v>#N/A</v>
      </c>
      <c r="V386" s="39" t="e">
        <f>VLOOKUP($B386,臺指選擇權P_C_Ratios!$A$4:$C$500,3,FALSE)</f>
        <v>#N/A</v>
      </c>
      <c r="W386" s="41" t="e">
        <f>VLOOKUP($B386,散戶多空比!$A$6:$L$500,12,FALSE)</f>
        <v>#N/A</v>
      </c>
      <c r="X386" s="40" t="e">
        <f>VLOOKUP($B386,期貨大額交易人未沖銷部位!$A$4:$O$499,4,FALSE)</f>
        <v>#N/A</v>
      </c>
      <c r="Y386" s="40" t="e">
        <f>VLOOKUP($B386,期貨大額交易人未沖銷部位!$A$4:$O$499,7,FALSE)</f>
        <v>#N/A</v>
      </c>
      <c r="Z386" s="40" t="e">
        <f>VLOOKUP($B386,期貨大額交易人未沖銷部位!$A$4:$O$499,10,FALSE)</f>
        <v>#N/A</v>
      </c>
      <c r="AA386" s="40" t="e">
        <f>VLOOKUP($B386,期貨大額交易人未沖銷部位!$A$4:$O$499,13,FALSE)</f>
        <v>#N/A</v>
      </c>
      <c r="AB386" s="40" t="e">
        <f>VLOOKUP($B386,期貨大額交易人未沖銷部位!$A$4:$O$499,14,FALSE)</f>
        <v>#N/A</v>
      </c>
      <c r="AC386" s="40" t="e">
        <f>VLOOKUP($B386,期貨大額交易人未沖銷部位!$A$4:$O$499,15,FALSE)</f>
        <v>#N/A</v>
      </c>
      <c r="AD386" s="33" t="e">
        <f>VLOOKUP($B386,三大美股走勢!$A$4:$J$495,4,FALSE)</f>
        <v>#N/A</v>
      </c>
      <c r="AE386" s="33" t="e">
        <f>VLOOKUP($B386,三大美股走勢!$A$4:$J$495,7,FALSE)</f>
        <v>#N/A</v>
      </c>
      <c r="AF386" s="33" t="e">
        <f>VLOOKUP($B386,三大美股走勢!$A$4:$J$495,10,FALSE)</f>
        <v>#N/A</v>
      </c>
    </row>
    <row r="387" spans="2:32">
      <c r="B387" s="32">
        <v>43166</v>
      </c>
      <c r="C387" s="33" t="e">
        <f>VLOOKUP($B387,大盤與近月台指!$A$4:$I$499,2,FALSE)</f>
        <v>#N/A</v>
      </c>
      <c r="D387" s="34" t="e">
        <f>VLOOKUP($B387,大盤與近月台指!$A$4:$I$499,3,FALSE)</f>
        <v>#N/A</v>
      </c>
      <c r="E387" s="35" t="e">
        <f>VLOOKUP($B387,大盤與近月台指!$A$4:$I$499,4,FALSE)</f>
        <v>#N/A</v>
      </c>
      <c r="F387" s="33" t="e">
        <f>VLOOKUP($B387,大盤與近月台指!$A$4:$I$499,5,FALSE)</f>
        <v>#N/A</v>
      </c>
      <c r="G387" s="49" t="e">
        <f>VLOOKUP($B387,三大法人買賣超!$A$4:$I$500,3,FALSE)</f>
        <v>#N/A</v>
      </c>
      <c r="H387" s="34" t="e">
        <f>VLOOKUP($B387,三大法人買賣超!$A$4:$I$500,5,FALSE)</f>
        <v>#N/A</v>
      </c>
      <c r="I387" s="27" t="e">
        <f>VLOOKUP($B387,三大法人買賣超!$A$4:$I$500,7,FALSE)</f>
        <v>#N/A</v>
      </c>
      <c r="J387" s="27" t="e">
        <f>VLOOKUP($B387,三大法人買賣超!$A$4:$I$500,9,FALSE)</f>
        <v>#N/A</v>
      </c>
      <c r="K387" s="37">
        <f>新台幣匯率美元指數!B388</f>
        <v>0</v>
      </c>
      <c r="L387" s="38">
        <f>新台幣匯率美元指數!C388</f>
        <v>0</v>
      </c>
      <c r="M387" s="39">
        <f>新台幣匯率美元指數!D388</f>
        <v>0</v>
      </c>
      <c r="N387" s="27" t="e">
        <f>VLOOKUP($B387,外資期貨未平倉口數!$A$4:$M$499,4,FALSE)</f>
        <v>#N/A</v>
      </c>
      <c r="O387" s="27" t="e">
        <f>VLOOKUP($B387,外資期貨未平倉口數!$A$4:$M$499,9,FALSE)</f>
        <v>#N/A</v>
      </c>
      <c r="P387" s="27" t="e">
        <f>VLOOKUP($B387,外資期貨未平倉口數!$A$4:$M$499,10,FALSE)</f>
        <v>#N/A</v>
      </c>
      <c r="Q387" s="27" t="e">
        <f>VLOOKUP($B387,外資期貨未平倉口數!$A$4:$M$499,11,FALSE)</f>
        <v>#N/A</v>
      </c>
      <c r="R387" s="64" t="e">
        <f>VLOOKUP($B387,選擇權未平倉餘額!$A$4:$I$500,6,FALSE)</f>
        <v>#N/A</v>
      </c>
      <c r="S387" s="64" t="e">
        <f>VLOOKUP($B387,選擇權未平倉餘額!$A$4:$I$500,7,FALSE)</f>
        <v>#N/A</v>
      </c>
      <c r="T387" s="64" t="e">
        <f>VLOOKUP($B387,選擇權未平倉餘額!$A$4:$I$500,8,FALSE)</f>
        <v>#N/A</v>
      </c>
      <c r="U387" s="64" t="e">
        <f>VLOOKUP($B387,選擇權未平倉餘額!$A$4:$I$500,9,FALSE)</f>
        <v>#N/A</v>
      </c>
      <c r="V387" s="39" t="e">
        <f>VLOOKUP($B387,臺指選擇權P_C_Ratios!$A$4:$C$500,3,FALSE)</f>
        <v>#N/A</v>
      </c>
      <c r="W387" s="41" t="e">
        <f>VLOOKUP($B387,散戶多空比!$A$6:$L$500,12,FALSE)</f>
        <v>#N/A</v>
      </c>
      <c r="X387" s="40" t="e">
        <f>VLOOKUP($B387,期貨大額交易人未沖銷部位!$A$4:$O$499,4,FALSE)</f>
        <v>#N/A</v>
      </c>
      <c r="Y387" s="40" t="e">
        <f>VLOOKUP($B387,期貨大額交易人未沖銷部位!$A$4:$O$499,7,FALSE)</f>
        <v>#N/A</v>
      </c>
      <c r="Z387" s="40" t="e">
        <f>VLOOKUP($B387,期貨大額交易人未沖銷部位!$A$4:$O$499,10,FALSE)</f>
        <v>#N/A</v>
      </c>
      <c r="AA387" s="40" t="e">
        <f>VLOOKUP($B387,期貨大額交易人未沖銷部位!$A$4:$O$499,13,FALSE)</f>
        <v>#N/A</v>
      </c>
      <c r="AB387" s="40" t="e">
        <f>VLOOKUP($B387,期貨大額交易人未沖銷部位!$A$4:$O$499,14,FALSE)</f>
        <v>#N/A</v>
      </c>
      <c r="AC387" s="40" t="e">
        <f>VLOOKUP($B387,期貨大額交易人未沖銷部位!$A$4:$O$499,15,FALSE)</f>
        <v>#N/A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VLOOKUP($B388,外資期貨未平倉口數!$A$4:$M$499,4,FALSE)</f>
        <v>#N/A</v>
      </c>
      <c r="O388" s="27" t="e">
        <f>VLOOKUP($B388,外資期貨未平倉口數!$A$4:$M$499,9,FALSE)</f>
        <v>#N/A</v>
      </c>
      <c r="P388" s="27" t="e">
        <f>VLOOKUP($B388,外資期貨未平倉口數!$A$4:$M$499,10,FALSE)</f>
        <v>#N/A</v>
      </c>
      <c r="Q388" s="27" t="e">
        <f>VLOOKUP($B388,外資期貨未平倉口數!$A$4:$M$499,11,FALSE)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VLOOKUP($B389,外資期貨未平倉口數!$A$4:$M$499,4,FALSE)</f>
        <v>#N/A</v>
      </c>
      <c r="O389" s="27" t="e">
        <f>VLOOKUP($B389,外資期貨未平倉口數!$A$4:$M$499,9,FALSE)</f>
        <v>#N/A</v>
      </c>
      <c r="P389" s="27" t="e">
        <f>VLOOKUP($B389,外資期貨未平倉口數!$A$4:$M$499,10,FALSE)</f>
        <v>#N/A</v>
      </c>
      <c r="Q389" s="27" t="e">
        <f>VLOOKUP($B389,外資期貨未平倉口數!$A$4:$M$499,11,FALSE)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44"/>
  <sheetViews>
    <sheetView zoomScaleNormal="100" workbookViewId="0">
      <pane ySplit="3" topLeftCell="A339" activePane="bottomLeft" state="frozen"/>
      <selection pane="bottomLeft" activeCell="F352" sqref="F352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0" t="s">
        <v>40</v>
      </c>
      <c r="B2" s="121" t="s">
        <v>44</v>
      </c>
      <c r="C2" s="122"/>
      <c r="D2" s="122"/>
      <c r="E2" s="122"/>
      <c r="F2" s="122"/>
      <c r="G2" s="122"/>
      <c r="H2" s="122"/>
      <c r="I2" s="122"/>
    </row>
    <row r="3" spans="1:9">
      <c r="A3" s="120"/>
      <c r="B3" s="123" t="s">
        <v>41</v>
      </c>
      <c r="C3" s="120"/>
      <c r="D3" s="120"/>
      <c r="E3" s="120"/>
      <c r="F3" s="120"/>
      <c r="G3" s="120"/>
      <c r="H3" s="120"/>
      <c r="I3" s="120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230</v>
      </c>
      <c r="F332" s="72">
        <v>10774</v>
      </c>
      <c r="G332" s="21">
        <v>-36</v>
      </c>
      <c r="H332" s="44">
        <v>-3.3E-3</v>
      </c>
      <c r="I332" s="42" t="s">
        <v>231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232</v>
      </c>
      <c r="F333" s="72">
        <v>10792</v>
      </c>
      <c r="G333" s="21">
        <v>-7</v>
      </c>
      <c r="H333" s="44">
        <v>-5.9999999999999995E-4</v>
      </c>
      <c r="I333" s="42" t="s">
        <v>233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234</v>
      </c>
      <c r="F334" s="72">
        <v>10916</v>
      </c>
      <c r="G334" s="21">
        <v>40</v>
      </c>
      <c r="H334" s="44">
        <v>3.7000000000000002E-3</v>
      </c>
      <c r="I334" s="42" t="s">
        <v>235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236</v>
      </c>
      <c r="F337" s="72">
        <v>10943</v>
      </c>
      <c r="G337" s="21">
        <v>-13</v>
      </c>
      <c r="H337" s="44">
        <v>-1.1999999999999999E-3</v>
      </c>
      <c r="I337" s="42" t="s">
        <v>237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238</v>
      </c>
      <c r="F338" s="72">
        <v>11010</v>
      </c>
      <c r="G338" s="21">
        <v>27</v>
      </c>
      <c r="H338" s="44">
        <v>2.5000000000000001E-3</v>
      </c>
      <c r="I338" s="42" t="s">
        <v>239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240</v>
      </c>
      <c r="F339" s="72">
        <v>11008</v>
      </c>
      <c r="G339" s="21">
        <v>19</v>
      </c>
      <c r="H339" s="44">
        <v>1.6999999999999999E-3</v>
      </c>
      <c r="I339" s="42" t="s">
        <v>241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243</v>
      </c>
      <c r="F340" s="72">
        <v>11068</v>
      </c>
      <c r="G340" s="21">
        <v>10</v>
      </c>
      <c r="H340" s="44">
        <v>8.9999999999999998E-4</v>
      </c>
      <c r="I340" s="42" t="s">
        <v>244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245</v>
      </c>
      <c r="F341" s="72">
        <v>11180</v>
      </c>
      <c r="G341" s="21">
        <v>42</v>
      </c>
      <c r="H341" s="44">
        <v>3.8E-3</v>
      </c>
      <c r="I341" s="42" t="s">
        <v>246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256</v>
      </c>
      <c r="F344" s="72">
        <v>11201</v>
      </c>
      <c r="G344" s="21">
        <v>-21</v>
      </c>
      <c r="H344" s="44">
        <v>-1.9E-3</v>
      </c>
      <c r="I344" s="42" t="s">
        <v>257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47"/>
  <sheetViews>
    <sheetView topLeftCell="E1" workbookViewId="0">
      <pane ySplit="3" topLeftCell="A328" activePane="bottomLeft" state="frozen"/>
      <selection pane="bottomLeft" activeCell="K346" sqref="K346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7" t="s">
        <v>97</v>
      </c>
      <c r="C1" s="128"/>
      <c r="D1" s="128"/>
      <c r="E1" s="128"/>
      <c r="F1" s="128"/>
      <c r="G1" s="128"/>
      <c r="H1" s="128"/>
      <c r="I1" s="129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0" t="s">
        <v>45</v>
      </c>
      <c r="C2" s="131"/>
      <c r="D2" s="132" t="s">
        <v>6</v>
      </c>
      <c r="E2" s="133"/>
      <c r="F2" s="132" t="s">
        <v>7</v>
      </c>
      <c r="G2" s="133"/>
      <c r="H2" s="132" t="s">
        <v>242</v>
      </c>
      <c r="I2" s="133"/>
      <c r="J2" s="1">
        <v>1</v>
      </c>
      <c r="K2" s="1" t="s">
        <v>193</v>
      </c>
      <c r="L2" s="94" t="s">
        <v>249</v>
      </c>
    </row>
    <row r="3" spans="1:12" ht="16.8" thickBot="1">
      <c r="A3" s="59" t="s">
        <v>40</v>
      </c>
      <c r="B3" s="124" t="s">
        <v>132</v>
      </c>
      <c r="C3" s="125"/>
      <c r="D3" s="125"/>
      <c r="E3" s="125"/>
      <c r="F3" s="125"/>
      <c r="G3" s="125"/>
      <c r="H3" s="125"/>
      <c r="I3" s="126"/>
      <c r="K3" s="2" t="s">
        <v>248</v>
      </c>
      <c r="L3" s="2" t="s">
        <v>247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96">
        <v>-143377683</v>
      </c>
      <c r="C344" s="98">
        <f t="shared" si="228"/>
        <v>-1.43377683</v>
      </c>
      <c r="D344" s="97">
        <v>215596682</v>
      </c>
      <c r="E344" s="95">
        <f t="shared" si="229"/>
        <v>2.1559668200000002</v>
      </c>
      <c r="F344" s="96">
        <v>-401375019</v>
      </c>
      <c r="G344" s="98">
        <f t="shared" si="230"/>
        <v>-4.0137501899999997</v>
      </c>
      <c r="H344" s="96">
        <v>2554998464</v>
      </c>
      <c r="I344" s="98">
        <f t="shared" si="231"/>
        <v>25.549984640000002</v>
      </c>
    </row>
    <row r="345" spans="1:9">
      <c r="A345" s="92">
        <v>43123</v>
      </c>
      <c r="B345" s="96"/>
      <c r="C345" s="98">
        <f t="shared" si="228"/>
        <v>0</v>
      </c>
      <c r="D345" s="97"/>
      <c r="E345" s="95">
        <f t="shared" si="229"/>
        <v>0</v>
      </c>
      <c r="F345" s="96"/>
      <c r="G345" s="98">
        <f t="shared" si="230"/>
        <v>0</v>
      </c>
      <c r="H345" s="96"/>
      <c r="I345" s="98">
        <f t="shared" si="231"/>
        <v>0</v>
      </c>
    </row>
    <row r="346" spans="1:9">
      <c r="A346" s="92">
        <v>43124</v>
      </c>
      <c r="B346" s="96"/>
      <c r="C346" s="98">
        <f t="shared" si="228"/>
        <v>0</v>
      </c>
      <c r="D346" s="97"/>
      <c r="E346" s="95">
        <f t="shared" si="229"/>
        <v>0</v>
      </c>
      <c r="F346" s="96"/>
      <c r="G346" s="98">
        <f t="shared" si="230"/>
        <v>0</v>
      </c>
      <c r="H346" s="96"/>
      <c r="I346" s="98">
        <f t="shared" si="231"/>
        <v>0</v>
      </c>
    </row>
    <row r="347" spans="1:9">
      <c r="A347" s="92">
        <v>43125</v>
      </c>
      <c r="B347" s="96"/>
      <c r="C347" s="98">
        <f t="shared" si="228"/>
        <v>0</v>
      </c>
      <c r="D347" s="97"/>
      <c r="E347" s="95">
        <f t="shared" si="229"/>
        <v>0</v>
      </c>
      <c r="F347" s="96"/>
      <c r="G347" s="98">
        <f t="shared" si="230"/>
        <v>0</v>
      </c>
      <c r="H347" s="96"/>
      <c r="I347" s="98">
        <f t="shared" si="231"/>
        <v>0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45"/>
  <sheetViews>
    <sheetView zoomScale="85" zoomScaleNormal="85" workbookViewId="0">
      <pane ySplit="3" topLeftCell="A332" activePane="bottomLeft" state="frozen"/>
      <selection pane="bottomLeft" activeCell="J2" sqref="J2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4" t="s">
        <v>51</v>
      </c>
      <c r="C1" s="105"/>
      <c r="D1" s="105"/>
      <c r="E1" s="140" t="s">
        <v>49</v>
      </c>
      <c r="F1" s="140" t="s">
        <v>50</v>
      </c>
      <c r="G1" s="136" t="s">
        <v>255</v>
      </c>
      <c r="H1" s="137"/>
      <c r="I1" s="137"/>
      <c r="J1" s="138"/>
      <c r="K1" s="139"/>
      <c r="L1" s="140" t="s">
        <v>52</v>
      </c>
      <c r="M1" s="140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1"/>
      <c r="F2" s="141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1"/>
      <c r="M2" s="141"/>
      <c r="N2" s="1">
        <v>2</v>
      </c>
      <c r="O2" s="1" t="s">
        <v>253</v>
      </c>
      <c r="P2" s="94" t="s">
        <v>194</v>
      </c>
      <c r="Q2" s="94"/>
    </row>
    <row r="3" spans="1:17">
      <c r="A3" s="15" t="s">
        <v>40</v>
      </c>
      <c r="B3" s="123" t="s">
        <v>56</v>
      </c>
      <c r="C3" s="120"/>
      <c r="D3" s="120"/>
      <c r="E3" s="120"/>
      <c r="F3" s="120"/>
      <c r="G3" s="120"/>
      <c r="H3" s="120"/>
      <c r="I3" s="120"/>
      <c r="J3" s="135"/>
      <c r="K3" s="135"/>
      <c r="L3" s="135"/>
      <c r="M3" s="135"/>
      <c r="O3" s="2" t="s">
        <v>254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44"/>
  <sheetViews>
    <sheetView zoomScale="80" zoomScaleNormal="80" workbookViewId="0">
      <pane ySplit="3" topLeftCell="A340" activePane="bottomLeft" state="frozen"/>
      <selection pane="bottomLeft" activeCell="G360" sqref="G360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2" t="s">
        <v>73</v>
      </c>
      <c r="C1" s="108"/>
      <c r="D1" s="108"/>
      <c r="E1" s="143" t="s">
        <v>77</v>
      </c>
      <c r="F1" s="144"/>
      <c r="G1" s="144"/>
      <c r="H1" s="142" t="s">
        <v>78</v>
      </c>
      <c r="I1" s="108"/>
      <c r="J1" s="108"/>
      <c r="K1" s="143" t="s">
        <v>79</v>
      </c>
      <c r="L1" s="144"/>
      <c r="M1" s="144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262</v>
      </c>
      <c r="R2" s="94" t="s">
        <v>263</v>
      </c>
    </row>
    <row r="3" spans="1:18" ht="16.2">
      <c r="A3" s="15" t="s">
        <v>40</v>
      </c>
      <c r="B3" s="145" t="s">
        <v>229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7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44"/>
  <sheetViews>
    <sheetView zoomScale="85" zoomScaleNormal="85" workbookViewId="0">
      <pane ySplit="3" topLeftCell="A332" activePane="bottomLeft" state="frozen"/>
      <selection pane="bottomLeft" activeCell="I352" sqref="I352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3" t="s">
        <v>258</v>
      </c>
      <c r="C1" s="113"/>
      <c r="D1" s="113"/>
      <c r="E1" s="113"/>
      <c r="F1" s="148" t="s">
        <v>89</v>
      </c>
      <c r="G1" s="149"/>
      <c r="H1" s="149"/>
      <c r="I1" s="149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49"/>
      <c r="G2" s="149"/>
      <c r="H2" s="149"/>
      <c r="I2" s="149"/>
    </row>
    <row r="3" spans="1:9">
      <c r="A3" s="15" t="s">
        <v>40</v>
      </c>
      <c r="B3" s="123" t="s">
        <v>69</v>
      </c>
      <c r="C3" s="120"/>
      <c r="D3" s="120"/>
      <c r="E3" s="120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/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/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44"/>
  <sheetViews>
    <sheetView zoomScaleNormal="100" workbookViewId="0">
      <pane xSplit="1" ySplit="3" topLeftCell="B334" activePane="bottomRight" state="frozen"/>
      <selection pane="topRight" activeCell="B1" sqref="B1"/>
      <selection pane="bottomLeft" activeCell="A4" sqref="A4"/>
      <selection pane="bottomRight" activeCell="I258" sqref="I258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0" t="s">
        <v>70</v>
      </c>
      <c r="C1" s="147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0" t="s">
        <v>71</v>
      </c>
      <c r="C2" s="147"/>
      <c r="E2" s="1" t="s">
        <v>259</v>
      </c>
      <c r="F2" s="94" t="s">
        <v>261</v>
      </c>
    </row>
    <row r="3" spans="1:6">
      <c r="A3" s="15" t="s">
        <v>40</v>
      </c>
      <c r="B3" s="123" t="s">
        <v>72</v>
      </c>
      <c r="C3" s="120"/>
      <c r="E3" s="2" t="s">
        <v>260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44"/>
  <sheetViews>
    <sheetView workbookViewId="0">
      <pane ySplit="3" topLeftCell="A336" activePane="bottomLeft" state="frozen"/>
      <selection pane="bottomLeft" activeCell="F343" sqref="F343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0" t="s">
        <v>40</v>
      </c>
      <c r="B2" s="151"/>
      <c r="C2" s="120"/>
      <c r="D2" s="120"/>
      <c r="E2" s="1">
        <v>3</v>
      </c>
      <c r="F2" s="1" t="s">
        <v>250</v>
      </c>
      <c r="G2" s="94" t="s">
        <v>251</v>
      </c>
    </row>
    <row r="3" spans="1:7" ht="16.2">
      <c r="A3" s="120"/>
      <c r="B3" s="151" t="s">
        <v>149</v>
      </c>
      <c r="C3" s="120"/>
      <c r="D3" s="120"/>
      <c r="G3" s="2" t="s">
        <v>252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46"/>
  <sheetViews>
    <sheetView zoomScale="85" zoomScaleNormal="85" workbookViewId="0">
      <pane xSplit="1" ySplit="4" topLeftCell="B338" activePane="bottomRight" state="frozen"/>
      <selection pane="topRight" activeCell="B1" sqref="B1"/>
      <selection pane="bottomLeft" activeCell="A5" sqref="A5"/>
      <selection pane="bottomRight" activeCell="K355" sqref="K355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332031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5" t="s">
        <v>58</v>
      </c>
      <c r="C1" s="152" t="s">
        <v>59</v>
      </c>
      <c r="D1" s="109"/>
      <c r="E1" s="109"/>
      <c r="F1" s="77"/>
      <c r="G1" s="80"/>
      <c r="H1" s="153" t="s">
        <v>62</v>
      </c>
      <c r="I1" s="154"/>
      <c r="J1" s="154"/>
      <c r="K1" s="17"/>
      <c r="L1" s="157" t="s">
        <v>64</v>
      </c>
    </row>
    <row r="2" spans="1:12" s="1" customFormat="1">
      <c r="A2" s="15"/>
      <c r="B2" s="156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58"/>
    </row>
    <row r="3" spans="1:12">
      <c r="A3" s="15" t="s">
        <v>40</v>
      </c>
      <c r="B3" s="159" t="s">
        <v>99</v>
      </c>
      <c r="C3" s="160"/>
      <c r="D3" s="160"/>
      <c r="E3" s="160"/>
      <c r="F3" s="160"/>
      <c r="G3" s="160"/>
      <c r="H3" s="160"/>
      <c r="I3" s="160"/>
      <c r="J3" s="160"/>
      <c r="K3" s="160"/>
      <c r="L3" s="161"/>
    </row>
    <row r="4" spans="1:12">
      <c r="A4" s="15" t="s">
        <v>40</v>
      </c>
      <c r="B4" s="159" t="s">
        <v>56</v>
      </c>
      <c r="C4" s="160"/>
      <c r="D4" s="160"/>
      <c r="E4" s="160"/>
      <c r="F4" s="160"/>
      <c r="G4" s="160"/>
      <c r="H4" s="160"/>
      <c r="I4" s="160"/>
      <c r="J4" s="160"/>
      <c r="K4" s="160"/>
      <c r="L4" s="161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4: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4:K346" si="190">B346-SUM(H346:J346)</f>
        <v>38759</v>
      </c>
      <c r="L346" s="20">
        <f t="shared" ref="L344:L346" si="191">(F346-K346)/B346</f>
        <v>-0.26373107033513471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46"/>
  <sheetViews>
    <sheetView zoomScaleNormal="100" workbookViewId="0">
      <pane ySplit="3" topLeftCell="A334" activePane="bottomLeft" state="frozen"/>
      <selection pane="bottomLeft" activeCell="J350" sqref="J350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2" t="s">
        <v>84</v>
      </c>
      <c r="C1" s="163"/>
      <c r="D1" s="164"/>
      <c r="E1" s="162" t="s">
        <v>85</v>
      </c>
      <c r="F1" s="163"/>
      <c r="G1" s="164"/>
      <c r="H1" s="162" t="s">
        <v>86</v>
      </c>
      <c r="I1" s="163"/>
      <c r="J1" s="164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5" t="s">
        <v>144</v>
      </c>
      <c r="C3" s="166"/>
      <c r="D3" s="166"/>
      <c r="E3" s="166"/>
      <c r="F3" s="166"/>
      <c r="G3" s="166"/>
      <c r="H3" s="166"/>
      <c r="I3" s="166"/>
      <c r="J3" s="166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/>
      <c r="C344" s="27"/>
      <c r="D344" s="91"/>
      <c r="E344" s="89"/>
      <c r="F344" s="27"/>
      <c r="G344" s="91"/>
      <c r="H344" s="89"/>
      <c r="I344" s="27"/>
      <c r="J344" s="91"/>
    </row>
    <row r="345" spans="1:10">
      <c r="A345" s="92">
        <v>43123</v>
      </c>
      <c r="B345" s="89"/>
      <c r="C345" s="27"/>
      <c r="D345" s="91"/>
      <c r="E345" s="89"/>
      <c r="F345" s="27"/>
      <c r="G345" s="91"/>
      <c r="H345" s="89"/>
      <c r="I345" s="27"/>
      <c r="J345" s="91"/>
    </row>
    <row r="346" spans="1:10">
      <c r="A346" s="92">
        <v>43124</v>
      </c>
      <c r="B346" s="89"/>
      <c r="C346" s="27"/>
      <c r="D346" s="91"/>
      <c r="E346" s="89"/>
      <c r="F346" s="27"/>
      <c r="G346" s="91"/>
      <c r="H346" s="89"/>
      <c r="I346" s="27"/>
      <c r="J346" s="91"/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2018-01-22T12:20:53Z</dcterms:modified>
</cp:coreProperties>
</file>