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1" i="18" l="1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K276" i="15"/>
  <c r="L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J272" i="14" s="1"/>
  <c r="P270" i="1" s="1"/>
  <c r="K272" i="14"/>
  <c r="Q270" i="1" s="1"/>
  <c r="P271" i="1"/>
  <c r="Q271" i="1"/>
  <c r="P272" i="1"/>
  <c r="D275" i="14"/>
  <c r="I275" i="14"/>
  <c r="J275" i="14" s="1"/>
  <c r="P273" i="1" s="1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O270" i="18" s="1"/>
  <c r="AC269" i="1" s="1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W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4" i="18" l="1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N31" i="18" s="1"/>
  <c r="AB30" i="1" s="1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J34" i="18"/>
  <c r="M34" i="18"/>
  <c r="O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D44" i="18"/>
  <c r="G44" i="18"/>
  <c r="J44" i="18"/>
  <c r="M44" i="18"/>
  <c r="D45" i="18"/>
  <c r="X44" i="1" s="1"/>
  <c r="G45" i="18"/>
  <c r="J45" i="18"/>
  <c r="M45" i="18"/>
  <c r="N45" i="18"/>
  <c r="AB44" i="1" s="1"/>
  <c r="D46" i="18"/>
  <c r="G46" i="18"/>
  <c r="J46" i="18"/>
  <c r="M46" i="18"/>
  <c r="O46" i="18" s="1"/>
  <c r="D47" i="18"/>
  <c r="G47" i="18"/>
  <c r="J47" i="18"/>
  <c r="M47" i="18"/>
  <c r="O47" i="18" s="1"/>
  <c r="AC46" i="1" s="1"/>
  <c r="D48" i="18"/>
  <c r="G48" i="18"/>
  <c r="J48" i="18"/>
  <c r="M48" i="18"/>
  <c r="D49" i="18"/>
  <c r="G49" i="18"/>
  <c r="J49" i="18"/>
  <c r="M49" i="18"/>
  <c r="AA48" i="1" s="1"/>
  <c r="D50" i="18"/>
  <c r="G50" i="18"/>
  <c r="J50" i="18"/>
  <c r="M50" i="18"/>
  <c r="O50" i="18" s="1"/>
  <c r="AC49" i="1" s="1"/>
  <c r="D51" i="18"/>
  <c r="X50" i="1" s="1"/>
  <c r="G51" i="18"/>
  <c r="J51" i="18"/>
  <c r="N51" i="18" s="1"/>
  <c r="AB50" i="1" s="1"/>
  <c r="M51" i="18"/>
  <c r="O51" i="18" s="1"/>
  <c r="AC50" i="1" s="1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M54" i="18"/>
  <c r="D55" i="18"/>
  <c r="X54" i="1" s="1"/>
  <c r="G55" i="18"/>
  <c r="J55" i="18"/>
  <c r="N55" i="18" s="1"/>
  <c r="AB54" i="1" s="1"/>
  <c r="M55" i="18"/>
  <c r="D56" i="18"/>
  <c r="G56" i="18"/>
  <c r="J56" i="18"/>
  <c r="M56" i="18"/>
  <c r="D57" i="18"/>
  <c r="X56" i="1" s="1"/>
  <c r="G57" i="18"/>
  <c r="J57" i="18"/>
  <c r="M57" i="18"/>
  <c r="N57" i="18"/>
  <c r="AB56" i="1" s="1"/>
  <c r="D58" i="18"/>
  <c r="G58" i="18"/>
  <c r="J58" i="18"/>
  <c r="M58" i="18"/>
  <c r="O58" i="18" s="1"/>
  <c r="D59" i="18"/>
  <c r="X58" i="1" s="1"/>
  <c r="G59" i="18"/>
  <c r="J59" i="18"/>
  <c r="M59" i="18"/>
  <c r="O59" i="18" s="1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N63" i="18" s="1"/>
  <c r="M63" i="18"/>
  <c r="O63" i="18" s="1"/>
  <c r="AC62" i="1" s="1"/>
  <c r="D64" i="18"/>
  <c r="G64" i="18"/>
  <c r="J64" i="18"/>
  <c r="M64" i="18"/>
  <c r="D65" i="18"/>
  <c r="G65" i="18"/>
  <c r="J65" i="18"/>
  <c r="N65" i="18" s="1"/>
  <c r="M65" i="18"/>
  <c r="D66" i="18"/>
  <c r="G66" i="18"/>
  <c r="J66" i="18"/>
  <c r="M66" i="18"/>
  <c r="O66" i="18" s="1"/>
  <c r="D67" i="18"/>
  <c r="X66" i="1" s="1"/>
  <c r="G67" i="18"/>
  <c r="Y66" i="1" s="1"/>
  <c r="J67" i="18"/>
  <c r="N67" i="18" s="1"/>
  <c r="AB66" i="1" s="1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M73" i="18"/>
  <c r="N73" i="18"/>
  <c r="AB72" i="1" s="1"/>
  <c r="D74" i="18"/>
  <c r="G74" i="18"/>
  <c r="J74" i="18"/>
  <c r="M74" i="18"/>
  <c r="O74" i="18" s="1"/>
  <c r="D75" i="18"/>
  <c r="X74" i="1" s="1"/>
  <c r="G75" i="18"/>
  <c r="J75" i="18"/>
  <c r="N75" i="18" s="1"/>
  <c r="AB74" i="1" s="1"/>
  <c r="M75" i="18"/>
  <c r="O75" i="18" s="1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O82" i="18" s="1"/>
  <c r="D83" i="18"/>
  <c r="X82" i="1" s="1"/>
  <c r="G83" i="18"/>
  <c r="J83" i="18"/>
  <c r="M83" i="18"/>
  <c r="N83" i="18"/>
  <c r="AB82" i="1" s="1"/>
  <c r="D84" i="18"/>
  <c r="G84" i="18"/>
  <c r="J84" i="18"/>
  <c r="M84" i="18"/>
  <c r="O84" i="18" s="1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O87" i="18" s="1"/>
  <c r="AC86" i="1" s="1"/>
  <c r="N87" i="18"/>
  <c r="AB86" i="1" s="1"/>
  <c r="D88" i="18"/>
  <c r="G88" i="18"/>
  <c r="J88" i="18"/>
  <c r="N88" i="18" s="1"/>
  <c r="AB87" i="1" s="1"/>
  <c r="M88" i="18"/>
  <c r="O88" i="18" s="1"/>
  <c r="D89" i="18"/>
  <c r="X88" i="1" s="1"/>
  <c r="G89" i="18"/>
  <c r="J89" i="18"/>
  <c r="N89" i="18" s="1"/>
  <c r="AB88" i="1" s="1"/>
  <c r="M89" i="18"/>
  <c r="D90" i="18"/>
  <c r="G90" i="18"/>
  <c r="J90" i="18"/>
  <c r="M90" i="18"/>
  <c r="D91" i="18"/>
  <c r="X90" i="1" s="1"/>
  <c r="G91" i="18"/>
  <c r="J91" i="18"/>
  <c r="N91" i="18" s="1"/>
  <c r="AB90" i="1" s="1"/>
  <c r="M91" i="18"/>
  <c r="D92" i="18"/>
  <c r="G92" i="18"/>
  <c r="J92" i="18"/>
  <c r="M92" i="18"/>
  <c r="D93" i="18"/>
  <c r="X92" i="1" s="1"/>
  <c r="G93" i="18"/>
  <c r="J93" i="18"/>
  <c r="N93" i="18" s="1"/>
  <c r="AB92" i="1" s="1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M99" i="18"/>
  <c r="O99" i="18" s="1"/>
  <c r="AC98" i="1" s="1"/>
  <c r="N99" i="18"/>
  <c r="AB98" i="1" s="1"/>
  <c r="D100" i="18"/>
  <c r="G100" i="18"/>
  <c r="J100" i="18"/>
  <c r="M100" i="18"/>
  <c r="O100" i="18" s="1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O103" i="18" s="1"/>
  <c r="AC102" i="1" s="1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M107" i="18"/>
  <c r="D108" i="18"/>
  <c r="G108" i="18"/>
  <c r="J108" i="18"/>
  <c r="M108" i="18"/>
  <c r="D109" i="18"/>
  <c r="X108" i="1" s="1"/>
  <c r="G109" i="18"/>
  <c r="J109" i="18"/>
  <c r="M109" i="18"/>
  <c r="N109" i="18"/>
  <c r="AB108" i="1" s="1"/>
  <c r="D110" i="18"/>
  <c r="G110" i="18"/>
  <c r="J110" i="18"/>
  <c r="M110" i="18"/>
  <c r="O110" i="18" s="1"/>
  <c r="D111" i="18"/>
  <c r="G111" i="18"/>
  <c r="J111" i="18"/>
  <c r="M111" i="18"/>
  <c r="O111" i="18" s="1"/>
  <c r="AC110" i="1" s="1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O114" i="18" s="1"/>
  <c r="D115" i="18"/>
  <c r="X114" i="1" s="1"/>
  <c r="G115" i="18"/>
  <c r="J115" i="18"/>
  <c r="N115" i="18" s="1"/>
  <c r="AB114" i="1" s="1"/>
  <c r="M115" i="18"/>
  <c r="O115" i="18" s="1"/>
  <c r="AC114" i="1" s="1"/>
  <c r="D116" i="18"/>
  <c r="G116" i="18"/>
  <c r="J116" i="18"/>
  <c r="M116" i="18"/>
  <c r="D117" i="18"/>
  <c r="X116" i="1" s="1"/>
  <c r="G117" i="18"/>
  <c r="J117" i="18"/>
  <c r="N117" i="18" s="1"/>
  <c r="AB116" i="1" s="1"/>
  <c r="M117" i="18"/>
  <c r="D118" i="18"/>
  <c r="G118" i="18"/>
  <c r="O118" i="18" s="1"/>
  <c r="J118" i="18"/>
  <c r="M118" i="18"/>
  <c r="D119" i="18"/>
  <c r="X118" i="1" s="1"/>
  <c r="G119" i="18"/>
  <c r="J119" i="18"/>
  <c r="N119" i="18" s="1"/>
  <c r="AB118" i="1" s="1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O134" i="18" s="1"/>
  <c r="J134" i="18"/>
  <c r="M134" i="18"/>
  <c r="D135" i="18"/>
  <c r="X134" i="1" s="1"/>
  <c r="G135" i="18"/>
  <c r="J135" i="18"/>
  <c r="M135" i="18"/>
  <c r="N135" i="18"/>
  <c r="AB134" i="1" s="1"/>
  <c r="D136" i="18"/>
  <c r="G136" i="18"/>
  <c r="J136" i="18"/>
  <c r="M136" i="18"/>
  <c r="O136" i="18" s="1"/>
  <c r="D137" i="18"/>
  <c r="X136" i="1" s="1"/>
  <c r="G137" i="18"/>
  <c r="J137" i="18"/>
  <c r="M137" i="18"/>
  <c r="N137" i="18"/>
  <c r="AB136" i="1" s="1"/>
  <c r="D138" i="18"/>
  <c r="G138" i="18"/>
  <c r="J138" i="18"/>
  <c r="M138" i="18"/>
  <c r="O138" i="18" s="1"/>
  <c r="D139" i="18"/>
  <c r="X138" i="1" s="1"/>
  <c r="G139" i="18"/>
  <c r="J139" i="18"/>
  <c r="N139" i="18" s="1"/>
  <c r="AB138" i="1" s="1"/>
  <c r="M139" i="18"/>
  <c r="O139" i="18" s="1"/>
  <c r="D140" i="18"/>
  <c r="G140" i="18"/>
  <c r="J140" i="18"/>
  <c r="M140" i="18"/>
  <c r="D141" i="18"/>
  <c r="X140" i="1" s="1"/>
  <c r="G141" i="18"/>
  <c r="J141" i="18"/>
  <c r="N141" i="18" s="1"/>
  <c r="AB140" i="1" s="1"/>
  <c r="M141" i="18"/>
  <c r="D142" i="18"/>
  <c r="G142" i="18"/>
  <c r="J142" i="18"/>
  <c r="M142" i="18"/>
  <c r="D143" i="18"/>
  <c r="G143" i="18"/>
  <c r="J143" i="18"/>
  <c r="N143" i="18" s="1"/>
  <c r="M143" i="18"/>
  <c r="D144" i="18"/>
  <c r="G144" i="18"/>
  <c r="J144" i="18"/>
  <c r="M144" i="18"/>
  <c r="D145" i="18"/>
  <c r="G145" i="18"/>
  <c r="J145" i="18"/>
  <c r="N145" i="18" s="1"/>
  <c r="M145" i="18"/>
  <c r="D146" i="18"/>
  <c r="G146" i="18"/>
  <c r="J146" i="18"/>
  <c r="M146" i="18"/>
  <c r="O146" i="18" s="1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/>
  <c r="D163" i="18"/>
  <c r="X162" i="1" s="1"/>
  <c r="G163" i="18"/>
  <c r="J163" i="18"/>
  <c r="M163" i="18"/>
  <c r="O163" i="18" s="1"/>
  <c r="AC162" i="1" s="1"/>
  <c r="N163" i="18"/>
  <c r="AB162" i="1" s="1"/>
  <c r="D164" i="18"/>
  <c r="G164" i="18"/>
  <c r="J164" i="18"/>
  <c r="M164" i="18"/>
  <c r="O164" i="18" s="1"/>
  <c r="D165" i="18"/>
  <c r="X164" i="1" s="1"/>
  <c r="G165" i="18"/>
  <c r="J165" i="18"/>
  <c r="N165" i="18" s="1"/>
  <c r="AB164" i="1" s="1"/>
  <c r="M165" i="18"/>
  <c r="D166" i="18"/>
  <c r="G166" i="18"/>
  <c r="J166" i="18"/>
  <c r="M166" i="18"/>
  <c r="D167" i="18"/>
  <c r="X166" i="1" s="1"/>
  <c r="G167" i="18"/>
  <c r="J167" i="18"/>
  <c r="N167" i="18" s="1"/>
  <c r="AB166" i="1" s="1"/>
  <c r="M167" i="18"/>
  <c r="O167" i="18" s="1"/>
  <c r="AC166" i="1" s="1"/>
  <c r="D168" i="18"/>
  <c r="G168" i="18"/>
  <c r="J168" i="18"/>
  <c r="N168" i="18" s="1"/>
  <c r="AB167" i="1" s="1"/>
  <c r="M168" i="18"/>
  <c r="D169" i="18"/>
  <c r="X168" i="1" s="1"/>
  <c r="G169" i="18"/>
  <c r="J169" i="18"/>
  <c r="N169" i="18" s="1"/>
  <c r="AB168" i="1" s="1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N179" i="18" s="1"/>
  <c r="AB178" i="1" s="1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N181" i="18" s="1"/>
  <c r="AB180" i="1" s="1"/>
  <c r="M181" i="18"/>
  <c r="D182" i="18"/>
  <c r="G182" i="18"/>
  <c r="O182" i="18" s="1"/>
  <c r="J182" i="18"/>
  <c r="N182" i="18" s="1"/>
  <c r="AB181" i="1" s="1"/>
  <c r="M182" i="18"/>
  <c r="D183" i="18"/>
  <c r="X182" i="1" s="1"/>
  <c r="G183" i="18"/>
  <c r="J183" i="18"/>
  <c r="N183" i="18" s="1"/>
  <c r="AB182" i="1" s="1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O186" i="18" s="1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M191" i="18"/>
  <c r="N191" i="18"/>
  <c r="D192" i="18"/>
  <c r="G192" i="18"/>
  <c r="J192" i="18"/>
  <c r="M192" i="18"/>
  <c r="O192" i="18" s="1"/>
  <c r="D193" i="18"/>
  <c r="G193" i="18"/>
  <c r="J193" i="18"/>
  <c r="N193" i="18" s="1"/>
  <c r="M193" i="18"/>
  <c r="O193" i="18" s="1"/>
  <c r="AC192" i="1" s="1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M207" i="18"/>
  <c r="N207" i="18"/>
  <c r="D208" i="18"/>
  <c r="G208" i="18"/>
  <c r="J208" i="18"/>
  <c r="M208" i="18"/>
  <c r="O208" i="18" s="1"/>
  <c r="D209" i="18"/>
  <c r="G209" i="18"/>
  <c r="J209" i="18"/>
  <c r="M209" i="18"/>
  <c r="O209" i="18" s="1"/>
  <c r="AC208" i="1" s="1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N213" i="18" s="1"/>
  <c r="AB212" i="1" s="1"/>
  <c r="M213" i="18"/>
  <c r="O213" i="18" s="1"/>
  <c r="AC212" i="1" s="1"/>
  <c r="D214" i="18"/>
  <c r="G214" i="18"/>
  <c r="J214" i="18"/>
  <c r="N214" i="18" s="1"/>
  <c r="AB213" i="1" s="1"/>
  <c r="M214" i="18"/>
  <c r="D215" i="18"/>
  <c r="X214" i="1" s="1"/>
  <c r="G215" i="18"/>
  <c r="J215" i="18"/>
  <c r="N215" i="18" s="1"/>
  <c r="AB214" i="1" s="1"/>
  <c r="M215" i="18"/>
  <c r="D216" i="18"/>
  <c r="G216" i="18"/>
  <c r="J216" i="18"/>
  <c r="M216" i="18"/>
  <c r="D217" i="18"/>
  <c r="X216" i="1" s="1"/>
  <c r="G217" i="18"/>
  <c r="J217" i="18"/>
  <c r="N217" i="18" s="1"/>
  <c r="AB216" i="1" s="1"/>
  <c r="M217" i="18"/>
  <c r="D218" i="18"/>
  <c r="G218" i="18"/>
  <c r="O218" i="18" s="1"/>
  <c r="J218" i="18"/>
  <c r="M218" i="18"/>
  <c r="D219" i="18"/>
  <c r="X218" i="1" s="1"/>
  <c r="G219" i="18"/>
  <c r="J219" i="18"/>
  <c r="N219" i="18" s="1"/>
  <c r="AB218" i="1" s="1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O222" i="18" s="1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M227" i="18"/>
  <c r="N227" i="18"/>
  <c r="AB226" i="1" s="1"/>
  <c r="D228" i="18"/>
  <c r="G228" i="18"/>
  <c r="J228" i="18"/>
  <c r="M228" i="18"/>
  <c r="O228" i="18" s="1"/>
  <c r="D229" i="18"/>
  <c r="X228" i="1" s="1"/>
  <c r="G229" i="18"/>
  <c r="J229" i="18"/>
  <c r="N229" i="18" s="1"/>
  <c r="AB228" i="1" s="1"/>
  <c r="M229" i="18"/>
  <c r="O229" i="18" s="1"/>
  <c r="AC228" i="1" s="1"/>
  <c r="D230" i="18"/>
  <c r="G230" i="18"/>
  <c r="J230" i="18"/>
  <c r="N230" i="18" s="1"/>
  <c r="AB229" i="1" s="1"/>
  <c r="M230" i="18"/>
  <c r="O230" i="18" s="1"/>
  <c r="D231" i="18"/>
  <c r="X230" i="1" s="1"/>
  <c r="G231" i="18"/>
  <c r="J231" i="18"/>
  <c r="N231" i="18" s="1"/>
  <c r="AB230" i="1" s="1"/>
  <c r="M231" i="18"/>
  <c r="D232" i="18"/>
  <c r="G232" i="18"/>
  <c r="J232" i="18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M239" i="18"/>
  <c r="N239" i="18"/>
  <c r="D240" i="18"/>
  <c r="G240" i="18"/>
  <c r="J240" i="18"/>
  <c r="M240" i="18"/>
  <c r="O240" i="18" s="1"/>
  <c r="D241" i="18"/>
  <c r="G241" i="18"/>
  <c r="J241" i="18"/>
  <c r="M241" i="18"/>
  <c r="O241" i="18" s="1"/>
  <c r="AC240" i="1" s="1"/>
  <c r="D242" i="18"/>
  <c r="G242" i="18"/>
  <c r="J242" i="18"/>
  <c r="M242" i="18"/>
  <c r="O242" i="18" s="1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N245" i="18" s="1"/>
  <c r="M245" i="18"/>
  <c r="O245" i="18" s="1"/>
  <c r="AC244" i="1" s="1"/>
  <c r="D246" i="18"/>
  <c r="G246" i="18"/>
  <c r="J246" i="18"/>
  <c r="N246" i="18" s="1"/>
  <c r="AB245" i="1" s="1"/>
  <c r="M246" i="18"/>
  <c r="O246" i="18" s="1"/>
  <c r="D247" i="18"/>
  <c r="G247" i="18"/>
  <c r="J247" i="18"/>
  <c r="N247" i="18" s="1"/>
  <c r="M247" i="18"/>
  <c r="D248" i="18"/>
  <c r="G248" i="18"/>
  <c r="J248" i="18"/>
  <c r="M248" i="18"/>
  <c r="D249" i="18"/>
  <c r="G249" i="18"/>
  <c r="J249" i="18"/>
  <c r="N249" i="18" s="1"/>
  <c r="M249" i="18"/>
  <c r="D250" i="18"/>
  <c r="G250" i="18"/>
  <c r="J250" i="18"/>
  <c r="N250" i="18" s="1"/>
  <c r="AB249" i="1" s="1"/>
  <c r="M250" i="18"/>
  <c r="D251" i="18"/>
  <c r="G251" i="18"/>
  <c r="J251" i="18"/>
  <c r="N251" i="18" s="1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M259" i="18"/>
  <c r="N259" i="18"/>
  <c r="D260" i="18"/>
  <c r="G260" i="18"/>
  <c r="J260" i="18"/>
  <c r="M260" i="18"/>
  <c r="O260" i="18" s="1"/>
  <c r="D261" i="18"/>
  <c r="G261" i="18"/>
  <c r="J261" i="18"/>
  <c r="N261" i="18" s="1"/>
  <c r="M261" i="18"/>
  <c r="O261" i="18" s="1"/>
  <c r="AC260" i="1" s="1"/>
  <c r="D262" i="18"/>
  <c r="G262" i="18"/>
  <c r="J262" i="18"/>
  <c r="N262" i="18" s="1"/>
  <c r="AB261" i="1" s="1"/>
  <c r="M262" i="18"/>
  <c r="O262" i="18" s="1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K38" i="15"/>
  <c r="L38" i="15"/>
  <c r="W35" i="1" s="1"/>
  <c r="F39" i="15"/>
  <c r="L39" i="15" s="1"/>
  <c r="W36" i="1" s="1"/>
  <c r="K39" i="15"/>
  <c r="F40" i="15"/>
  <c r="K40" i="15"/>
  <c r="F41" i="15"/>
  <c r="K41" i="15"/>
  <c r="F42" i="15"/>
  <c r="K42" i="15"/>
  <c r="L42" i="15" s="1"/>
  <c r="W39" i="1" s="1"/>
  <c r="F43" i="15"/>
  <c r="L43" i="15" s="1"/>
  <c r="W40" i="1" s="1"/>
  <c r="K43" i="15"/>
  <c r="F44" i="15"/>
  <c r="K44" i="15"/>
  <c r="F45" i="15"/>
  <c r="K45" i="15"/>
  <c r="F46" i="15"/>
  <c r="K46" i="15"/>
  <c r="F47" i="15"/>
  <c r="K47" i="15"/>
  <c r="F48" i="15"/>
  <c r="L48" i="15" s="1"/>
  <c r="W45" i="1" s="1"/>
  <c r="K48" i="15"/>
  <c r="F49" i="15"/>
  <c r="K49" i="15"/>
  <c r="F50" i="15"/>
  <c r="L50" i="15" s="1"/>
  <c r="W47" i="1" s="1"/>
  <c r="K50" i="15"/>
  <c r="F51" i="15"/>
  <c r="L51" i="15" s="1"/>
  <c r="W48" i="1" s="1"/>
  <c r="K51" i="15"/>
  <c r="F52" i="15"/>
  <c r="L52" i="15" s="1"/>
  <c r="W49" i="1" s="1"/>
  <c r="K52" i="15"/>
  <c r="F53" i="15"/>
  <c r="K53" i="15"/>
  <c r="F54" i="15"/>
  <c r="L54" i="15" s="1"/>
  <c r="W51" i="1" s="1"/>
  <c r="K54" i="15"/>
  <c r="F55" i="15"/>
  <c r="K55" i="15"/>
  <c r="F56" i="15"/>
  <c r="K56" i="15"/>
  <c r="F57" i="15"/>
  <c r="K57" i="15"/>
  <c r="F58" i="15"/>
  <c r="K58" i="15"/>
  <c r="F59" i="15"/>
  <c r="K59" i="15"/>
  <c r="F60" i="15"/>
  <c r="L60" i="15" s="1"/>
  <c r="W57" i="1" s="1"/>
  <c r="K60" i="15"/>
  <c r="F61" i="15"/>
  <c r="K61" i="15"/>
  <c r="F62" i="15"/>
  <c r="L62" i="15" s="1"/>
  <c r="W59" i="1" s="1"/>
  <c r="K62" i="15"/>
  <c r="F63" i="15"/>
  <c r="K63" i="15"/>
  <c r="F64" i="15"/>
  <c r="L64" i="15" s="1"/>
  <c r="W61" i="1" s="1"/>
  <c r="K64" i="15"/>
  <c r="F65" i="15"/>
  <c r="K65" i="15"/>
  <c r="L65" i="15" s="1"/>
  <c r="W62" i="1" s="1"/>
  <c r="F66" i="15"/>
  <c r="L66" i="15" s="1"/>
  <c r="W63" i="1" s="1"/>
  <c r="K66" i="15"/>
  <c r="F67" i="15"/>
  <c r="K67" i="15"/>
  <c r="F68" i="15"/>
  <c r="L68" i="15" s="1"/>
  <c r="W65" i="1" s="1"/>
  <c r="K68" i="15"/>
  <c r="F69" i="15"/>
  <c r="K69" i="15"/>
  <c r="L69" i="15" s="1"/>
  <c r="W66" i="1" s="1"/>
  <c r="F70" i="15"/>
  <c r="L70" i="15" s="1"/>
  <c r="W67" i="1" s="1"/>
  <c r="K70" i="15"/>
  <c r="F71" i="15"/>
  <c r="L71" i="15" s="1"/>
  <c r="W68" i="1" s="1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L92" i="15" s="1"/>
  <c r="W89" i="1" s="1"/>
  <c r="K92" i="15"/>
  <c r="F93" i="15"/>
  <c r="K93" i="15"/>
  <c r="F94" i="15"/>
  <c r="L94" i="15" s="1"/>
  <c r="W91" i="1" s="1"/>
  <c r="K94" i="15"/>
  <c r="F95" i="15"/>
  <c r="K95" i="15"/>
  <c r="F96" i="15"/>
  <c r="L96" i="15" s="1"/>
  <c r="W93" i="1" s="1"/>
  <c r="K96" i="15"/>
  <c r="F97" i="15"/>
  <c r="K97" i="15"/>
  <c r="F98" i="15"/>
  <c r="L98" i="15" s="1"/>
  <c r="W95" i="1" s="1"/>
  <c r="K98" i="15"/>
  <c r="F99" i="15"/>
  <c r="K99" i="15"/>
  <c r="F100" i="15"/>
  <c r="L100" i="15" s="1"/>
  <c r="W97" i="1" s="1"/>
  <c r="K100" i="15"/>
  <c r="F101" i="15"/>
  <c r="K101" i="15"/>
  <c r="F102" i="15"/>
  <c r="L102" i="15" s="1"/>
  <c r="W99" i="1" s="1"/>
  <c r="K102" i="15"/>
  <c r="F103" i="15"/>
  <c r="K103" i="15"/>
  <c r="F104" i="15"/>
  <c r="K104" i="15"/>
  <c r="F105" i="15"/>
  <c r="K105" i="15"/>
  <c r="F106" i="15"/>
  <c r="L106" i="15" s="1"/>
  <c r="W103" i="1" s="1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L112" i="15" s="1"/>
  <c r="W109" i="1" s="1"/>
  <c r="K112" i="15"/>
  <c r="F113" i="15"/>
  <c r="K113" i="15"/>
  <c r="F114" i="15"/>
  <c r="L114" i="15" s="1"/>
  <c r="W111" i="1" s="1"/>
  <c r="K114" i="15"/>
  <c r="F115" i="15"/>
  <c r="L115" i="15" s="1"/>
  <c r="W112" i="1" s="1"/>
  <c r="K115" i="15"/>
  <c r="F116" i="15"/>
  <c r="L116" i="15" s="1"/>
  <c r="W113" i="1" s="1"/>
  <c r="K116" i="15"/>
  <c r="F117" i="15"/>
  <c r="K117" i="15"/>
  <c r="F118" i="15"/>
  <c r="K118" i="15"/>
  <c r="L118" i="15"/>
  <c r="W115" i="1" s="1"/>
  <c r="F119" i="15"/>
  <c r="L119" i="15" s="1"/>
  <c r="W116" i="1" s="1"/>
  <c r="K119" i="15"/>
  <c r="F120" i="15"/>
  <c r="K120" i="15"/>
  <c r="F121" i="15"/>
  <c r="K121" i="15"/>
  <c r="F122" i="15"/>
  <c r="K122" i="15"/>
  <c r="L122" i="15" s="1"/>
  <c r="W119" i="1" s="1"/>
  <c r="F123" i="15"/>
  <c r="L123" i="15" s="1"/>
  <c r="W120" i="1" s="1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L135" i="15" s="1"/>
  <c r="W132" i="1" s="1"/>
  <c r="K135" i="15"/>
  <c r="F136" i="15"/>
  <c r="K136" i="15"/>
  <c r="F137" i="15"/>
  <c r="K137" i="15"/>
  <c r="F138" i="15"/>
  <c r="L138" i="15" s="1"/>
  <c r="W135" i="1" s="1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L144" i="15" s="1"/>
  <c r="W141" i="1" s="1"/>
  <c r="K144" i="15"/>
  <c r="F145" i="15"/>
  <c r="K145" i="15"/>
  <c r="L145" i="15" s="1"/>
  <c r="W142" i="1" s="1"/>
  <c r="F146" i="15"/>
  <c r="L146" i="15" s="1"/>
  <c r="W143" i="1" s="1"/>
  <c r="K146" i="15"/>
  <c r="F147" i="15"/>
  <c r="K147" i="15"/>
  <c r="F148" i="15"/>
  <c r="L148" i="15" s="1"/>
  <c r="W145" i="1" s="1"/>
  <c r="K148" i="15"/>
  <c r="F149" i="15"/>
  <c r="K149" i="15"/>
  <c r="F150" i="15"/>
  <c r="L150" i="15" s="1"/>
  <c r="W147" i="1" s="1"/>
  <c r="K150" i="15"/>
  <c r="F151" i="15"/>
  <c r="L151" i="15" s="1"/>
  <c r="W148" i="1" s="1"/>
  <c r="K151" i="15"/>
  <c r="F152" i="15"/>
  <c r="K152" i="15"/>
  <c r="F153" i="15"/>
  <c r="K153" i="15"/>
  <c r="F154" i="15"/>
  <c r="K154" i="15"/>
  <c r="F155" i="15"/>
  <c r="L155" i="15" s="1"/>
  <c r="W152" i="1" s="1"/>
  <c r="K155" i="15"/>
  <c r="F156" i="15"/>
  <c r="L156" i="15" s="1"/>
  <c r="W153" i="1" s="1"/>
  <c r="K156" i="15"/>
  <c r="F157" i="15"/>
  <c r="K157" i="15"/>
  <c r="F158" i="15"/>
  <c r="L158" i="15" s="1"/>
  <c r="W155" i="1" s="1"/>
  <c r="K158" i="15"/>
  <c r="F159" i="15"/>
  <c r="K159" i="15"/>
  <c r="F160" i="15"/>
  <c r="L160" i="15" s="1"/>
  <c r="W157" i="1" s="1"/>
  <c r="K160" i="15"/>
  <c r="F161" i="15"/>
  <c r="K161" i="15"/>
  <c r="F162" i="15"/>
  <c r="L162" i="15" s="1"/>
  <c r="W159" i="1" s="1"/>
  <c r="K162" i="15"/>
  <c r="F163" i="15"/>
  <c r="K163" i="15"/>
  <c r="F164" i="15"/>
  <c r="L164" i="15" s="1"/>
  <c r="W161" i="1" s="1"/>
  <c r="K164" i="15"/>
  <c r="F165" i="15"/>
  <c r="K165" i="15"/>
  <c r="F166" i="15"/>
  <c r="K166" i="15"/>
  <c r="L166" i="15"/>
  <c r="W163" i="1" s="1"/>
  <c r="F167" i="15"/>
  <c r="L167" i="15" s="1"/>
  <c r="W164" i="1" s="1"/>
  <c r="K167" i="15"/>
  <c r="F168" i="15"/>
  <c r="K168" i="15"/>
  <c r="F169" i="15"/>
  <c r="K169" i="15"/>
  <c r="F170" i="15"/>
  <c r="K170" i="15"/>
  <c r="L170" i="15" s="1"/>
  <c r="W167" i="1" s="1"/>
  <c r="F171" i="15"/>
  <c r="L171" i="15" s="1"/>
  <c r="W168" i="1" s="1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L179" i="15" s="1"/>
  <c r="W176" i="1" s="1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L199" i="15" s="1"/>
  <c r="W196" i="1" s="1"/>
  <c r="K199" i="15"/>
  <c r="F200" i="15"/>
  <c r="K200" i="15"/>
  <c r="F201" i="15"/>
  <c r="K201" i="15"/>
  <c r="F202" i="15"/>
  <c r="K202" i="15"/>
  <c r="L202" i="15"/>
  <c r="W199" i="1" s="1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L220" i="15" s="1"/>
  <c r="W217" i="1" s="1"/>
  <c r="K220" i="15"/>
  <c r="F221" i="15"/>
  <c r="K221" i="15"/>
  <c r="F222" i="15"/>
  <c r="L222" i="15" s="1"/>
  <c r="W219" i="1" s="1"/>
  <c r="K222" i="15"/>
  <c r="F223" i="15"/>
  <c r="K223" i="15"/>
  <c r="F224" i="15"/>
  <c r="L224" i="15" s="1"/>
  <c r="W221" i="1" s="1"/>
  <c r="K224" i="15"/>
  <c r="F225" i="15"/>
  <c r="K225" i="15"/>
  <c r="F226" i="15"/>
  <c r="L226" i="15" s="1"/>
  <c r="W223" i="1" s="1"/>
  <c r="K226" i="15"/>
  <c r="F227" i="15"/>
  <c r="K227" i="15"/>
  <c r="F228" i="15"/>
  <c r="L228" i="15" s="1"/>
  <c r="W225" i="1" s="1"/>
  <c r="K228" i="15"/>
  <c r="F229" i="15"/>
  <c r="K229" i="15"/>
  <c r="F230" i="15"/>
  <c r="L230" i="15" s="1"/>
  <c r="W227" i="1" s="1"/>
  <c r="K230" i="15"/>
  <c r="F231" i="15"/>
  <c r="K231" i="15"/>
  <c r="F232" i="15"/>
  <c r="K232" i="15"/>
  <c r="F233" i="15"/>
  <c r="K233" i="15"/>
  <c r="F234" i="15"/>
  <c r="L234" i="15" s="1"/>
  <c r="W231" i="1" s="1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L244" i="15" s="1"/>
  <c r="W241" i="1" s="1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L266" i="15" s="1"/>
  <c r="W263" i="1" s="1"/>
  <c r="K266" i="15"/>
  <c r="F267" i="15"/>
  <c r="K267" i="15"/>
  <c r="F268" i="15"/>
  <c r="K268" i="15"/>
  <c r="F269" i="15"/>
  <c r="K269" i="15"/>
  <c r="F270" i="15"/>
  <c r="L270" i="15" s="1"/>
  <c r="W267" i="1" s="1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I37" i="16"/>
  <c r="H37" i="16"/>
  <c r="T36" i="1" s="1"/>
  <c r="G37" i="16"/>
  <c r="S36" i="1" s="1"/>
  <c r="F37" i="16"/>
  <c r="I36" i="16"/>
  <c r="H36" i="16"/>
  <c r="T35" i="1" s="1"/>
  <c r="G36" i="16"/>
  <c r="S35" i="1" s="1"/>
  <c r="F36" i="16"/>
  <c r="I35" i="16"/>
  <c r="H35" i="16"/>
  <c r="G35" i="16"/>
  <c r="F35" i="16"/>
  <c r="I34" i="16"/>
  <c r="H34" i="16"/>
  <c r="T33" i="1" s="1"/>
  <c r="G34" i="16"/>
  <c r="S33" i="1" s="1"/>
  <c r="F34" i="16"/>
  <c r="I33" i="16"/>
  <c r="H33" i="16"/>
  <c r="T32" i="1" s="1"/>
  <c r="G33" i="16"/>
  <c r="S32" i="1" s="1"/>
  <c r="F33" i="16"/>
  <c r="I32" i="16"/>
  <c r="H32" i="16"/>
  <c r="G32" i="16"/>
  <c r="F32" i="16"/>
  <c r="I31" i="16"/>
  <c r="H31" i="16"/>
  <c r="T30" i="1" s="1"/>
  <c r="G31" i="16"/>
  <c r="S30" i="1" s="1"/>
  <c r="F31" i="16"/>
  <c r="S43" i="1"/>
  <c r="S48" i="1"/>
  <c r="S72" i="1"/>
  <c r="S80" i="1"/>
  <c r="S104" i="1"/>
  <c r="S112" i="1"/>
  <c r="S136" i="1"/>
  <c r="S144" i="1"/>
  <c r="S168" i="1"/>
  <c r="S176" i="1"/>
  <c r="S200" i="1"/>
  <c r="S208" i="1"/>
  <c r="S232" i="1"/>
  <c r="S240" i="1"/>
  <c r="S264" i="1"/>
  <c r="F30" i="16"/>
  <c r="G30" i="16"/>
  <c r="S29" i="1" s="1"/>
  <c r="H30" i="16"/>
  <c r="I30" i="16"/>
  <c r="D32" i="14"/>
  <c r="I32" i="14"/>
  <c r="D33" i="14"/>
  <c r="I33" i="14"/>
  <c r="O31" i="1" s="1"/>
  <c r="D34" i="14"/>
  <c r="I34" i="14"/>
  <c r="D35" i="14"/>
  <c r="I35" i="14"/>
  <c r="D36" i="14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J271" i="14" s="1"/>
  <c r="P269" i="1" s="1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Z29" i="1"/>
  <c r="AA29" i="1"/>
  <c r="AD29" i="1"/>
  <c r="AE29" i="1"/>
  <c r="AF29" i="1"/>
  <c r="I30" i="1"/>
  <c r="J30" i="1"/>
  <c r="K30" i="1"/>
  <c r="L30" i="1"/>
  <c r="M30" i="1"/>
  <c r="N30" i="1"/>
  <c r="R30" i="1"/>
  <c r="U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R32" i="1"/>
  <c r="U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U33" i="1"/>
  <c r="V33" i="1"/>
  <c r="X33" i="1"/>
  <c r="Y33" i="1"/>
  <c r="AA33" i="1"/>
  <c r="AC33" i="1"/>
  <c r="AD33" i="1"/>
  <c r="AE33" i="1"/>
  <c r="AF33" i="1"/>
  <c r="I34" i="1"/>
  <c r="K34" i="1"/>
  <c r="L34" i="1"/>
  <c r="M34" i="1"/>
  <c r="N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R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R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U39" i="1"/>
  <c r="V39" i="1"/>
  <c r="X39" i="1"/>
  <c r="Y39" i="1"/>
  <c r="AA39" i="1"/>
  <c r="AD39" i="1"/>
  <c r="AE39" i="1"/>
  <c r="AF39" i="1"/>
  <c r="I40" i="1"/>
  <c r="J40" i="1"/>
  <c r="K40" i="1"/>
  <c r="L40" i="1"/>
  <c r="M40" i="1"/>
  <c r="N40" i="1"/>
  <c r="R40" i="1"/>
  <c r="U40" i="1"/>
  <c r="V40" i="1"/>
  <c r="Y40" i="1"/>
  <c r="Z40" i="1"/>
  <c r="AA40" i="1"/>
  <c r="AD40" i="1"/>
  <c r="AE40" i="1"/>
  <c r="AF40" i="1"/>
  <c r="I41" i="1"/>
  <c r="J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U42" i="1"/>
  <c r="V42" i="1"/>
  <c r="Y42" i="1"/>
  <c r="Z42" i="1"/>
  <c r="AA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C45" i="1"/>
  <c r="AD45" i="1"/>
  <c r="AE45" i="1"/>
  <c r="AF45" i="1"/>
  <c r="I46" i="1"/>
  <c r="K46" i="1"/>
  <c r="L46" i="1"/>
  <c r="M46" i="1"/>
  <c r="R46" i="1"/>
  <c r="T46" i="1"/>
  <c r="U46" i="1"/>
  <c r="X46" i="1"/>
  <c r="Y46" i="1"/>
  <c r="Z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Z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Z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Z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Z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Z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Z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Z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C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C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B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B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C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C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C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C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C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Z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Z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Z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Z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Z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Z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C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C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C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C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C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C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B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B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C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Z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C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C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C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C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C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C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C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C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C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Z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Z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B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C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C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B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B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B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B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C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C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AA46" i="1" l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C29" i="12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G28" i="1"/>
  <c r="I28" i="1"/>
  <c r="K28" i="1"/>
  <c r="L28" i="1"/>
  <c r="M28" i="1"/>
  <c r="O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<sst xmlns="http://schemas.openxmlformats.org/spreadsheetml/2006/main" count="222" uniqueCount="143">
  <si>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</si>
  <si>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</si>
  <si>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</si>
  <si>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</si>
  <si>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</si>
  <si>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</si>
  <si>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</si>
  <si>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</si>
  <si>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</si>
  <si>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</si>
  <si>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</si>
  <si>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</si>
  <si>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</si>
  <si>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</si>
  <si>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</si>
  <si>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</si>
  <si>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</si>
  <si>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</si>
  <si>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</si>
  <si>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</si>
  <si>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</si>
  <si>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</si>
  <si>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</si>
  <si>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</si>
  <si>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</si>
  <si>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</si>
  <si>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</si>
  <si>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</si>
  <si>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</si>
  <si>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</si>
  <si>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</si>
  <si>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</si>
  <si>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</si>
  <si>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</si>
  <si>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</si>
  <si>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</si>
  <si>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</si>
  <si>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</si>
  <si>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</si>
  <si>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</si>
  <si>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</si>
  <si>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</si>
  <si>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</si>
  <si>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</si>
  <si>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</si>
  <si>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</si>
  <si>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</si>
  <si>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</si>
  <si>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</si>
  <si>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</si>
  <si>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</si>
  <si>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</si>
  <si>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</si>
  <si>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</si>
  <si>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</si>
  <si>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</si>
  <si>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</si>
  <si>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</si>
  <si>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</si>
  <si>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</si>
  <si>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</si>
  <si>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</si>
  <si>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</si>
  <si>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</si>
  <si>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</si>
  <si>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</si>
  <si>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</si>
  <si>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</si>
  <si>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</si>
  <si>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</si>
  <si>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</si>
  <si>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</si>
  <si>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</si>
  <si>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</si>
  <si>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</si>
  <si>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</si>
  <si>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</si>
  <si>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</si>
  <si>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</si>
  <si>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</si>
  <si>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</si>
  <si>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</si>
  <si>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</si>
  <si>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</si>
  <si>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</si>
  <si>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</si>
  <si>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</si>
  <si>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</si>
  <si>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</si>
  <si>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</si>
  <si>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</si>
  <si>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</si>
  <si>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t>http://www.stockq.org/stock/history/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</si>
  <si>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</si>
  <si>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</si>
  <si>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</si>
  <si>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</si>
  <si>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</si>
  <si>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</si>
  <si>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</si>
  <si>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</si>
  <si>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</si>
  <si>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http://www.cnyes.com/forex/html5chart.aspx?fccode=DX&amp;rate=exchange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</si>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</sst>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6" fillId="0" borderId="16" xfId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868"/>
  <ax:ocxPr ax:name="_ExtentY" ax:value="868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72055809"/>
  <ax:ocxPr ax:name="CurrentDate" ax:value="43052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24938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topLeftCell="B1" zoomScale="110" zoomScaleNormal="110" workbookViewId="0">
      <selection activeCell="G19" sqref="G19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108</v>
      </c>
      <c r="C5" s="99" t="s">
        <v>2</v>
      </c>
      <c r="D5" s="99"/>
      <c r="E5" s="99"/>
      <c r="F5" s="99"/>
      <c r="G5" s="100" t="s">
        <v>34</v>
      </c>
      <c r="H5" s="101"/>
      <c r="I5" s="101"/>
      <c r="J5" s="101"/>
      <c r="K5" s="102" t="s">
        <v>9</v>
      </c>
      <c r="L5" s="103"/>
      <c r="M5" s="103"/>
    </row>
    <row r="6" spans="2:13" ht="31.2">
      <c r="B6" s="98">
        <v>43052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94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5"/>
      <c r="C7" s="36">
        <f>VLOOKUP($B$6,資料整合一覽!$B$3:$AF$500,2,FALSE)</f>
        <v>10683.92</v>
      </c>
      <c r="D7" s="37">
        <f>VLOOKUP($B$6,資料整合一覽!$B$3:$AF$500,3,FALSE)</f>
        <v>-48.75</v>
      </c>
      <c r="E7" s="38">
        <f>VLOOKUP($B$6,資料整合一覽!$B$3:$AF$500,4,FALSE)</f>
        <v>-4.4999999999999997E-3</v>
      </c>
      <c r="F7" s="36" t="str">
        <f>VLOOKUP($B$6,資料整合一覽!$B$3:$AF$500,5,FALSE)</f>
        <v>1222.62億</v>
      </c>
      <c r="G7" s="39">
        <f>VLOOKUP($B$6,資料整合一覽!$B$3:$AF$500,6,FALSE)</f>
        <v>-1.7924084</v>
      </c>
      <c r="H7" s="37">
        <f>VLOOKUP($B$6,資料整合一覽!$B$3:$AF$500,7,FALSE)</f>
        <v>-6.8779780800000001</v>
      </c>
      <c r="I7" s="37">
        <f>VLOOKUP($B$6,資料整合一覽!$B$3:$AF$500,8,FALSE)</f>
        <v>-1.9921966099999999</v>
      </c>
      <c r="J7" s="37">
        <f>VLOOKUP($B$6,資料整合一覽!$B$3:$AF$500,9,FALSE)</f>
        <v>29.036386579999999</v>
      </c>
      <c r="K7" s="40">
        <f>VLOOKUP($B$6,資料整合一覽!$B$3:$AF$500,10,FALSE)</f>
        <v>30.19</v>
      </c>
      <c r="L7" s="41">
        <f>VLOOKUP($B$6,資料整合一覽!$B$3:$AF$500,11,FALSE)</f>
        <v>1.7999999999999999E-2</v>
      </c>
      <c r="M7" s="42">
        <f>VLOOKUP($B$6,資料整合一覽!$B$3:$AF$500,12,FALSE)</f>
        <v>0</v>
      </c>
    </row>
    <row r="8" spans="2:13" ht="3" customHeight="1">
      <c r="B8" s="9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5"/>
      <c r="C9" s="96" t="s">
        <v>35</v>
      </c>
      <c r="D9" s="97"/>
      <c r="E9" s="104" t="s">
        <v>42</v>
      </c>
      <c r="F9" s="105"/>
      <c r="G9" s="105"/>
      <c r="H9" s="105"/>
      <c r="I9" s="5" t="s">
        <v>20</v>
      </c>
      <c r="J9" s="94" t="s">
        <v>22</v>
      </c>
      <c r="K9" s="92" t="s">
        <v>33</v>
      </c>
      <c r="L9" s="93"/>
      <c r="M9" s="93"/>
    </row>
    <row r="10" spans="2:13" ht="31.2">
      <c r="B10" s="95"/>
      <c r="C10" s="58" t="s">
        <v>105</v>
      </c>
      <c r="D10" s="58" t="s">
        <v>106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5"/>
      <c r="K10" s="7" t="s">
        <v>107</v>
      </c>
      <c r="L10" s="7" t="s">
        <v>31</v>
      </c>
      <c r="M10" s="7" t="s">
        <v>32</v>
      </c>
    </row>
    <row r="11" spans="2:13" ht="32.4" customHeight="1">
      <c r="B11" s="95"/>
      <c r="C11" s="29">
        <f>VLOOKUP($B$6,資料整合一覽!$B$3:$AF$500,13,FALSE)</f>
        <v>-756.25</v>
      </c>
      <c r="D11" s="29">
        <f>VLOOKUP($B$6,資料整合一覽!$B$3:$AF$500,14,FALSE)</f>
        <v>47017</v>
      </c>
      <c r="E11" s="67">
        <f>VLOOKUP($B$6,資料整合一覽!$B$3:$AF$500,17,FALSE)</f>
        <v>-10.9839</v>
      </c>
      <c r="F11" s="67">
        <f>VLOOKUP($B$6,資料整合一覽!$B$3:$AF$500,18,FALSE)</f>
        <v>-1.3678999999999999</v>
      </c>
      <c r="G11" s="67">
        <f>VLOOKUP($B$6,資料整合一覽!$B$3:$AF$500,19,FALSE)</f>
        <v>41.379600000000003</v>
      </c>
      <c r="H11" s="67">
        <f>VLOOKUP($B$6,資料整合一覽!$B$3:$AF$500,20,FALSE)</f>
        <v>21.513000000000002</v>
      </c>
      <c r="I11" s="42">
        <f>VLOOKUP($B$6,資料整合一覽!$B$3:$AF$500,21,FALSE)</f>
        <v>1.5797999999999999</v>
      </c>
      <c r="J11" s="44">
        <f>VLOOKUP($B$6,資料整合一覽!$B$3:$AF$500,22,FALSE)</f>
        <v>-5.6572119698802235E-3</v>
      </c>
      <c r="K11" s="36">
        <f>VLOOKUP($B$6,資料整合一覽!$B$3:$AF$500,29,FALSE)</f>
        <v>0</v>
      </c>
      <c r="L11" s="36">
        <f>VLOOKUP($B$6,資料整合一覽!$B$3:$AF$500,30,FALSE)</f>
        <v>0</v>
      </c>
      <c r="M11" s="36">
        <f>VLOOKUP($B$6,資料整合一覽!$B$3:$AF$500,31,FALSE)</f>
        <v>0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74"/>
  <sheetViews>
    <sheetView zoomScale="80" zoomScaleNormal="80" workbookViewId="0">
      <pane ySplit="3" topLeftCell="A261" activePane="bottomLeft" state="frozen"/>
      <selection pane="bottomLeft" activeCell="L271" sqref="L27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2" t="s">
        <v>75</v>
      </c>
      <c r="C1" s="99"/>
      <c r="D1" s="99"/>
      <c r="E1" s="143" t="s">
        <v>79</v>
      </c>
      <c r="F1" s="144"/>
      <c r="G1" s="144"/>
      <c r="H1" s="142" t="s">
        <v>80</v>
      </c>
      <c r="I1" s="99"/>
      <c r="J1" s="99"/>
      <c r="K1" s="143" t="s">
        <v>81</v>
      </c>
      <c r="L1" s="144"/>
      <c r="M1" s="144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5" t="s">
        <v>86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1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74"/>
  <sheetViews>
    <sheetView zoomScaleNormal="100" workbookViewId="0">
      <pane ySplit="3" topLeftCell="A268" activePane="bottomLeft" state="frozen"/>
      <selection pane="bottomLeft" activeCell="I282" sqref="I282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47" t="s">
        <v>87</v>
      </c>
      <c r="C1" s="148"/>
      <c r="D1" s="149"/>
      <c r="E1" s="147" t="s">
        <v>88</v>
      </c>
      <c r="F1" s="148"/>
      <c r="G1" s="149"/>
      <c r="H1" s="147" t="s">
        <v>89</v>
      </c>
      <c r="I1" s="148"/>
      <c r="J1" s="149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>
      <c r="A3" s="16" t="s">
        <v>40</v>
      </c>
      <c r="B3" s="150" t="s">
        <v>92</v>
      </c>
      <c r="C3" s="151"/>
      <c r="D3" s="151"/>
      <c r="E3" s="151"/>
      <c r="F3" s="151"/>
      <c r="G3" s="151"/>
      <c r="H3" s="151"/>
      <c r="I3" s="151"/>
      <c r="J3" s="151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152"/>
      <c r="C260" s="29"/>
      <c r="D260" s="153"/>
      <c r="E260" s="152"/>
      <c r="F260" s="29"/>
      <c r="G260" s="153"/>
      <c r="H260" s="152"/>
      <c r="I260" s="29"/>
      <c r="J260" s="153"/>
    </row>
    <row r="261" spans="1:10">
      <c r="A261" s="9">
        <v>43039</v>
      </c>
      <c r="B261" s="152"/>
      <c r="C261" s="29"/>
      <c r="D261" s="153"/>
      <c r="E261" s="152"/>
      <c r="F261" s="29"/>
      <c r="G261" s="153"/>
      <c r="H261" s="152"/>
      <c r="I261" s="29"/>
      <c r="J261" s="153"/>
    </row>
    <row r="262" spans="1:10">
      <c r="A262" s="9">
        <v>43040</v>
      </c>
      <c r="B262" s="152"/>
      <c r="C262" s="29"/>
      <c r="D262" s="153"/>
      <c r="E262" s="152"/>
      <c r="F262" s="29"/>
      <c r="G262" s="153"/>
      <c r="H262" s="152"/>
      <c r="I262" s="29"/>
      <c r="J262" s="153"/>
    </row>
    <row r="263" spans="1:10">
      <c r="A263" s="9">
        <v>43041</v>
      </c>
      <c r="B263" s="152"/>
      <c r="C263" s="29"/>
      <c r="D263" s="153"/>
      <c r="E263" s="152"/>
      <c r="F263" s="29"/>
      <c r="G263" s="153"/>
      <c r="H263" s="152"/>
      <c r="I263" s="29"/>
      <c r="J263" s="153"/>
    </row>
    <row r="264" spans="1:10">
      <c r="A264" s="9">
        <v>43042</v>
      </c>
      <c r="B264" s="152"/>
      <c r="C264" s="29"/>
      <c r="D264" s="153"/>
      <c r="E264" s="152"/>
      <c r="F264" s="29"/>
      <c r="G264" s="153"/>
      <c r="H264" s="152"/>
      <c r="I264" s="29"/>
      <c r="J264" s="153"/>
    </row>
    <row r="265" spans="1:10">
      <c r="A265" s="155">
        <v>43043</v>
      </c>
      <c r="B265" s="152"/>
      <c r="C265" s="29"/>
      <c r="D265" s="153"/>
      <c r="E265" s="152"/>
      <c r="F265" s="29"/>
      <c r="G265" s="153"/>
      <c r="H265" s="152"/>
      <c r="I265" s="29"/>
      <c r="J265" s="153"/>
    </row>
    <row r="266" spans="1:10">
      <c r="A266" s="155">
        <v>43044</v>
      </c>
      <c r="B266" s="152"/>
      <c r="C266" s="29"/>
      <c r="D266" s="153"/>
      <c r="E266" s="152"/>
      <c r="F266" s="29"/>
      <c r="G266" s="153"/>
      <c r="H266" s="152"/>
      <c r="I266" s="29"/>
      <c r="J266" s="153"/>
    </row>
    <row r="267" spans="1:10">
      <c r="A267" s="155">
        <v>43045</v>
      </c>
      <c r="B267" s="152"/>
      <c r="C267" s="29"/>
      <c r="D267" s="153"/>
      <c r="E267" s="152"/>
      <c r="F267" s="29"/>
      <c r="G267" s="153"/>
      <c r="H267" s="152"/>
      <c r="I267" s="29"/>
      <c r="J267" s="153"/>
    </row>
    <row r="268" spans="1:10">
      <c r="A268" s="155">
        <v>43046</v>
      </c>
      <c r="B268" s="152">
        <v>23557.23</v>
      </c>
      <c r="C268" s="29">
        <v>8.81</v>
      </c>
      <c r="D268" s="154">
        <v>4.0000000000000002E-4</v>
      </c>
      <c r="E268" s="152">
        <v>6767.7809999999999</v>
      </c>
      <c r="F268" s="29">
        <v>-18.66</v>
      </c>
      <c r="G268" s="154">
        <v>-2.7000000000000001E-3</v>
      </c>
      <c r="H268" s="152">
        <v>1316.55</v>
      </c>
      <c r="I268" s="29">
        <v>-0.79</v>
      </c>
      <c r="J268" s="154">
        <v>-5.9999999999999995E-4</v>
      </c>
    </row>
    <row r="269" spans="1:10">
      <c r="A269" s="155">
        <v>43047</v>
      </c>
      <c r="B269" s="152">
        <v>23516.26</v>
      </c>
      <c r="C269" s="29">
        <v>81.25</v>
      </c>
      <c r="D269" s="154">
        <v>3.5000000000000001E-3</v>
      </c>
      <c r="E269" s="152">
        <v>6714.9409999999998</v>
      </c>
      <c r="F269" s="29">
        <v>-1.59</v>
      </c>
      <c r="G269" s="153">
        <v>-0.02</v>
      </c>
      <c r="H269" s="152">
        <v>1277.3399999999999</v>
      </c>
      <c r="I269" s="29">
        <v>5.83</v>
      </c>
      <c r="J269" s="153">
        <v>0.46</v>
      </c>
    </row>
    <row r="270" spans="1:10">
      <c r="A270" s="155">
        <v>43048</v>
      </c>
      <c r="B270" s="152">
        <v>23461.94</v>
      </c>
      <c r="C270" s="29">
        <v>-101.42</v>
      </c>
      <c r="D270" s="154">
        <v>-4.3E-3</v>
      </c>
      <c r="E270" s="152">
        <v>6750.0550000000003</v>
      </c>
      <c r="F270" s="29">
        <v>-39.06</v>
      </c>
      <c r="G270" s="153">
        <v>-5.7999999999999996E-3</v>
      </c>
      <c r="H270" s="152">
        <v>1294.6600000000001</v>
      </c>
      <c r="I270" s="29">
        <v>-26.46</v>
      </c>
      <c r="J270" s="153">
        <v>-0.02</v>
      </c>
    </row>
    <row r="271" spans="1:10">
      <c r="A271" s="155">
        <v>43049</v>
      </c>
      <c r="B271" s="152">
        <v>23422.21</v>
      </c>
      <c r="C271" s="29">
        <v>-39.729999999999997</v>
      </c>
      <c r="D271" s="154">
        <v>-1.6999999999999999E-3</v>
      </c>
      <c r="E271" s="152">
        <v>6750.9380000000001</v>
      </c>
      <c r="F271" s="29">
        <v>0.89</v>
      </c>
      <c r="G271" s="153">
        <v>1E-4</v>
      </c>
      <c r="H271" s="152">
        <v>1303.06</v>
      </c>
      <c r="I271" s="29">
        <v>8.4</v>
      </c>
      <c r="J271" s="153">
        <v>6.4999999999999997E-3</v>
      </c>
    </row>
    <row r="272" spans="1:10">
      <c r="A272" s="155">
        <v>43050</v>
      </c>
      <c r="B272" s="152"/>
      <c r="C272" s="29"/>
      <c r="D272" s="154"/>
      <c r="E272" s="152"/>
      <c r="F272" s="29"/>
      <c r="G272" s="153"/>
      <c r="H272" s="152"/>
      <c r="I272" s="29"/>
      <c r="J272" s="153"/>
    </row>
    <row r="273" spans="1:10">
      <c r="A273" s="155">
        <v>43051</v>
      </c>
      <c r="B273" s="152"/>
      <c r="C273" s="29"/>
      <c r="D273" s="154"/>
      <c r="E273" s="152"/>
      <c r="F273" s="29"/>
      <c r="G273" s="153"/>
      <c r="H273" s="152"/>
      <c r="I273" s="29"/>
      <c r="J273" s="153"/>
    </row>
    <row r="274" spans="1:10">
      <c r="A274" s="155">
        <v>43052</v>
      </c>
      <c r="B274" s="152"/>
      <c r="C274" s="29"/>
      <c r="D274" s="154"/>
      <c r="E274" s="152"/>
      <c r="F274" s="29"/>
      <c r="G274" s="153"/>
      <c r="H274" s="152"/>
      <c r="I274" s="29"/>
      <c r="J274" s="153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279"/>
  <sheetViews>
    <sheetView zoomScale="85" zoomScaleNormal="85" workbookViewId="0">
      <pane xSplit="2" ySplit="2" topLeftCell="C255" activePane="bottomRight" state="frozen"/>
      <selection pane="topRight" activeCell="C1" sqref="C1"/>
      <selection pane="bottomLeft" activeCell="A3" sqref="A3"/>
      <selection pane="bottomRight" activeCell="C253" sqref="C253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06" t="s">
        <v>0</v>
      </c>
      <c r="B1" s="16"/>
      <c r="C1" s="99" t="s">
        <v>2</v>
      </c>
      <c r="D1" s="99"/>
      <c r="E1" s="99"/>
      <c r="F1" s="99"/>
      <c r="G1" s="100" t="s">
        <v>34</v>
      </c>
      <c r="H1" s="101"/>
      <c r="I1" s="101"/>
      <c r="J1" s="101"/>
      <c r="K1" s="102" t="s">
        <v>9</v>
      </c>
      <c r="L1" s="103"/>
      <c r="M1" s="103"/>
      <c r="N1" s="96" t="s">
        <v>35</v>
      </c>
      <c r="O1" s="107"/>
      <c r="P1" s="107"/>
      <c r="Q1" s="107"/>
      <c r="R1" s="104" t="s">
        <v>42</v>
      </c>
      <c r="S1" s="105"/>
      <c r="T1" s="105"/>
      <c r="U1" s="105"/>
      <c r="V1" s="5" t="s">
        <v>20</v>
      </c>
      <c r="W1" s="94" t="s">
        <v>22</v>
      </c>
      <c r="X1" s="109" t="s">
        <v>29</v>
      </c>
      <c r="Y1" s="110"/>
      <c r="Z1" s="110"/>
      <c r="AA1" s="110"/>
      <c r="AB1" s="110"/>
      <c r="AC1" s="110"/>
      <c r="AD1" s="92" t="s">
        <v>33</v>
      </c>
      <c r="AE1" s="93"/>
      <c r="AF1" s="93"/>
    </row>
    <row r="2" spans="1:32" ht="31.2">
      <c r="A2" s="106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94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08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VLOOKUP($B268,三大美股走勢!$A$4:$J$500,4,FALSE)</f>
        <v>3.5000000000000001E-3</v>
      </c>
      <c r="AE268" s="36">
        <f>VLOOKUP($B268,三大美股走勢!$A$4:$J$500,7,FALSE)</f>
        <v>-0.02</v>
      </c>
      <c r="AF268" s="36">
        <f>VLOOKUP($B268,三大美股走勢!$A$4:$J$500,10,FALSE)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VLOOKUP($B269,三大美股走勢!$A$4:$J$500,4,FALSE)</f>
        <v>-4.3E-3</v>
      </c>
      <c r="AE269" s="36">
        <f>VLOOKUP($B269,三大美股走勢!$A$4:$J$500,7,FALSE)</f>
        <v>-5.7999999999999996E-3</v>
      </c>
      <c r="AF269" s="36">
        <f>VLOOKUP($B269,三大美股走勢!$A$4:$J$500,10,FALSE)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VLOOKUP($B270,三大美股走勢!$A$4:$J$500,4,FALSE)</f>
        <v>-1.6999999999999999E-3</v>
      </c>
      <c r="AE270" s="36">
        <f>VLOOKUP($B270,三大美股走勢!$A$4:$J$500,7,FALSE)</f>
        <v>1E-4</v>
      </c>
      <c r="AF270" s="36">
        <f>VLOOKUP($B270,三大美股走勢!$A$4:$J$500,10,FALSE)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VLOOKUP($B271,三大美股走勢!$A$4:$J$500,4,FALSE)</f>
        <v>0</v>
      </c>
      <c r="AE271" s="36">
        <f>VLOOKUP($B271,三大美股走勢!$A$4:$J$500,7,FALSE)</f>
        <v>0</v>
      </c>
      <c r="AF271" s="36">
        <f>VLOOKUP($B271,三大美股走勢!$A$4:$J$500,10,FALSE)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VLOOKUP($B272,三大美股走勢!$A$4:$J$500,4,FALSE)</f>
        <v>0</v>
      </c>
      <c r="AE272" s="36">
        <f>VLOOKUP($B272,三大美股走勢!$A$4:$J$500,7,FALSE)</f>
        <v>0</v>
      </c>
      <c r="AF272" s="36">
        <f>VLOOKUP($B272,三大美股走勢!$A$4:$J$500,10,FALSE)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0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VLOOKUP($B273,三大美股走勢!$A$4:$J$500,4,FALSE)</f>
        <v>0</v>
      </c>
      <c r="AE273" s="36">
        <f>VLOOKUP($B273,三大美股走勢!$A$4:$J$500,7,FALSE)</f>
        <v>0</v>
      </c>
      <c r="AF273" s="36">
        <f>VLOOKUP($B273,三大美股走勢!$A$4:$J$500,10,FALSE)</f>
        <v>0</v>
      </c>
    </row>
    <row r="274" spans="2:32">
      <c r="B274" s="35">
        <v>43053</v>
      </c>
      <c r="C274" s="36" t="e">
        <f>VLOOKUP($B274,大盤與近月台指!$A$4:$I$499,2,FALSE)</f>
        <v>#N/A</v>
      </c>
      <c r="D274" s="37" t="e">
        <f>VLOOKUP($B274,大盤與近月台指!$A$4:$I$499,3,FALSE)</f>
        <v>#N/A</v>
      </c>
      <c r="E274" s="38" t="e">
        <f>VLOOKUP($B274,大盤與近月台指!$A$4:$I$499,4,FALSE)</f>
        <v>#N/A</v>
      </c>
      <c r="F274" s="36" t="e">
        <f>VLOOKUP($B274,大盤與近月台指!$A$4:$I$499,5,FALSE)</f>
        <v>#N/A</v>
      </c>
      <c r="G274" s="52" t="e">
        <f>VLOOKUP($B274,三大法人買賣超!$A$4:$I$500,3,FALSE)</f>
        <v>#N/A</v>
      </c>
      <c r="H274" s="37" t="e">
        <f>VLOOKUP($B274,三大法人買賣超!$A$4:$I$500,5,FALSE)</f>
        <v>#N/A</v>
      </c>
      <c r="I274" s="29" t="e">
        <f>VLOOKUP($B274,三大法人買賣超!$A$4:$I$500,7,FALSE)</f>
        <v>#N/A</v>
      </c>
      <c r="J274" s="29" t="e">
        <f>VLOOKUP($B274,三大法人買賣超!$A$4:$I$500,9,FALSE)</f>
        <v>#N/A</v>
      </c>
      <c r="K274" s="40">
        <f>新台幣匯率美元指數!B275</f>
        <v>0</v>
      </c>
      <c r="L274" s="41">
        <f>新台幣匯率美元指數!C275</f>
        <v>0</v>
      </c>
      <c r="M274" s="42">
        <f>新台幣匯率美元指數!D275</f>
        <v>0</v>
      </c>
      <c r="N274" s="29" t="e">
        <f>VLOOKUP($B274,期貨未平倉口數!$A$4:$M$499,4,FALSE)</f>
        <v>#N/A</v>
      </c>
      <c r="O274" s="29" t="e">
        <f>VLOOKUP($B274,期貨未平倉口數!$A$4:$M$499,9,FALSE)</f>
        <v>#N/A</v>
      </c>
      <c r="P274" s="29" t="e">
        <f>VLOOKUP($B274,期貨未平倉口數!$A$4:$M$499,10,FALSE)</f>
        <v>#N/A</v>
      </c>
      <c r="Q274" s="29" t="e">
        <f>VLOOKUP($B274,期貨未平倉口數!$A$4:$M$499,11,FALSE)</f>
        <v>#N/A</v>
      </c>
      <c r="R274" s="67" t="e">
        <f>VLOOKUP($B274,選擇權未平倉餘額!$A$4:$I$500,6,FALSE)</f>
        <v>#N/A</v>
      </c>
      <c r="S274" s="67" t="e">
        <f>VLOOKUP($B274,選擇權未平倉餘額!$A$4:$I$500,7,FALSE)</f>
        <v>#N/A</v>
      </c>
      <c r="T274" s="67" t="e">
        <f>VLOOKUP($B274,選擇權未平倉餘額!$A$4:$I$500,8,FALSE)</f>
        <v>#N/A</v>
      </c>
      <c r="U274" s="67" t="e">
        <f>VLOOKUP($B274,選擇權未平倉餘額!$A$4:$I$500,9,FALSE)</f>
        <v>#N/A</v>
      </c>
      <c r="V274" s="42" t="e">
        <f>VLOOKUP($B274,臺指選擇權P_C_Ratios!$A$4:$C$500,3,FALSE)</f>
        <v>#N/A</v>
      </c>
      <c r="W274" s="44" t="e">
        <f>VLOOKUP($B274,散戶多空比!$A$6:$L$500,12,FALSE)</f>
        <v>#N/A</v>
      </c>
      <c r="X274" s="43" t="e">
        <f>VLOOKUP($B274,期貨大額交易人未沖銷部位!$A$4:$O$499,4,FALSE)</f>
        <v>#N/A</v>
      </c>
      <c r="Y274" s="43" t="e">
        <f>VLOOKUP($B274,期貨大額交易人未沖銷部位!$A$4:$O$499,7,FALSE)</f>
        <v>#N/A</v>
      </c>
      <c r="Z274" s="43" t="e">
        <f>VLOOKUP($B274,期貨大額交易人未沖銷部位!$A$4:$O$499,10,FALSE)</f>
        <v>#N/A</v>
      </c>
      <c r="AA274" s="43" t="e">
        <f>VLOOKUP($B274,期貨大額交易人未沖銷部位!$A$4:$O$499,13,FALSE)</f>
        <v>#N/A</v>
      </c>
      <c r="AB274" s="43" t="e">
        <f>VLOOKUP($B274,期貨大額交易人未沖銷部位!$A$4:$O$499,14,FALSE)</f>
        <v>#N/A</v>
      </c>
      <c r="AC274" s="43" t="e">
        <f>VLOOKUP($B274,期貨大額交易人未沖銷部位!$A$4:$O$499,15,FALSE)</f>
        <v>#N/A</v>
      </c>
      <c r="AD274" s="36" t="e">
        <f>VLOOKUP($B274,三大美股走勢!$A$4:$J$500,4,FALSE)</f>
        <v>#N/A</v>
      </c>
      <c r="AE274" s="36" t="e">
        <f>VLOOKUP($B274,三大美股走勢!$A$4:$J$500,7,FALSE)</f>
        <v>#N/A</v>
      </c>
      <c r="AF274" s="36" t="e">
        <f>VLOOKUP($B274,三大美股走勢!$A$4:$J$500,10,FALSE)</f>
        <v>#N/A</v>
      </c>
    </row>
    <row r="275" spans="2:32">
      <c r="B275" s="35">
        <v>43054</v>
      </c>
      <c r="C275" s="36" t="e">
        <f>VLOOKUP($B275,大盤與近月台指!$A$4:$I$499,2,FALSE)</f>
        <v>#N/A</v>
      </c>
      <c r="D275" s="37" t="e">
        <f>VLOOKUP($B275,大盤與近月台指!$A$4:$I$499,3,FALSE)</f>
        <v>#N/A</v>
      </c>
      <c r="E275" s="38" t="e">
        <f>VLOOKUP($B275,大盤與近月台指!$A$4:$I$499,4,FALSE)</f>
        <v>#N/A</v>
      </c>
      <c r="F275" s="36" t="e">
        <f>VLOOKUP($B275,大盤與近月台指!$A$4:$I$499,5,FALSE)</f>
        <v>#N/A</v>
      </c>
      <c r="G275" s="52" t="e">
        <f>VLOOKUP($B275,三大法人買賣超!$A$4:$I$500,3,FALSE)</f>
        <v>#N/A</v>
      </c>
      <c r="H275" s="37" t="e">
        <f>VLOOKUP($B275,三大法人買賣超!$A$4:$I$500,5,FALSE)</f>
        <v>#N/A</v>
      </c>
      <c r="I275" s="29" t="e">
        <f>VLOOKUP($B275,三大法人買賣超!$A$4:$I$500,7,FALSE)</f>
        <v>#N/A</v>
      </c>
      <c r="J275" s="29" t="e">
        <f>VLOOKUP($B275,三大法人買賣超!$A$4:$I$500,9,FALSE)</f>
        <v>#N/A</v>
      </c>
      <c r="K275" s="40">
        <f>新台幣匯率美元指數!B276</f>
        <v>0</v>
      </c>
      <c r="L275" s="41">
        <f>新台幣匯率美元指數!C276</f>
        <v>0</v>
      </c>
      <c r="M275" s="42">
        <f>新台幣匯率美元指數!D276</f>
        <v>0</v>
      </c>
      <c r="N275" s="29" t="e">
        <f>VLOOKUP($B275,期貨未平倉口數!$A$4:$M$499,4,FALSE)</f>
        <v>#N/A</v>
      </c>
      <c r="O275" s="29" t="e">
        <f>VLOOKUP($B275,期貨未平倉口數!$A$4:$M$499,9,FALSE)</f>
        <v>#N/A</v>
      </c>
      <c r="P275" s="29" t="e">
        <f>VLOOKUP($B275,期貨未平倉口數!$A$4:$M$499,10,FALSE)</f>
        <v>#N/A</v>
      </c>
      <c r="Q275" s="29" t="e">
        <f>VLOOKUP($B275,期貨未平倉口數!$A$4:$M$499,11,FALSE)</f>
        <v>#N/A</v>
      </c>
      <c r="R275" s="67" t="e">
        <f>VLOOKUP($B275,選擇權未平倉餘額!$A$4:$I$500,6,FALSE)</f>
        <v>#N/A</v>
      </c>
      <c r="S275" s="67" t="e">
        <f>VLOOKUP($B275,選擇權未平倉餘額!$A$4:$I$500,7,FALSE)</f>
        <v>#N/A</v>
      </c>
      <c r="T275" s="67" t="e">
        <f>VLOOKUP($B275,選擇權未平倉餘額!$A$4:$I$500,8,FALSE)</f>
        <v>#N/A</v>
      </c>
      <c r="U275" s="67" t="e">
        <f>VLOOKUP($B275,選擇權未平倉餘額!$A$4:$I$500,9,FALSE)</f>
        <v>#N/A</v>
      </c>
      <c r="V275" s="42" t="e">
        <f>VLOOKUP($B275,臺指選擇權P_C_Ratios!$A$4:$C$500,3,FALSE)</f>
        <v>#N/A</v>
      </c>
      <c r="W275" s="44" t="e">
        <f>VLOOKUP($B275,散戶多空比!$A$6:$L$500,12,FALSE)</f>
        <v>#N/A</v>
      </c>
      <c r="X275" s="43" t="e">
        <f>VLOOKUP($B275,期貨大額交易人未沖銷部位!$A$4:$O$499,4,FALSE)</f>
        <v>#N/A</v>
      </c>
      <c r="Y275" s="43" t="e">
        <f>VLOOKUP($B275,期貨大額交易人未沖銷部位!$A$4:$O$499,7,FALSE)</f>
        <v>#N/A</v>
      </c>
      <c r="Z275" s="43" t="e">
        <f>VLOOKUP($B275,期貨大額交易人未沖銷部位!$A$4:$O$499,10,FALSE)</f>
        <v>#N/A</v>
      </c>
      <c r="AA275" s="43" t="e">
        <f>VLOOKUP($B275,期貨大額交易人未沖銷部位!$A$4:$O$499,13,FALSE)</f>
        <v>#N/A</v>
      </c>
      <c r="AB275" s="43" t="e">
        <f>VLOOKUP($B275,期貨大額交易人未沖銷部位!$A$4:$O$499,14,FALSE)</f>
        <v>#N/A</v>
      </c>
      <c r="AC275" s="43" t="e">
        <f>VLOOKUP($B275,期貨大額交易人未沖銷部位!$A$4:$O$499,15,FALSE)</f>
        <v>#N/A</v>
      </c>
      <c r="AD275" s="36" t="e">
        <f>VLOOKUP($B275,三大美股走勢!$A$4:$J$500,4,FALSE)</f>
        <v>#N/A</v>
      </c>
      <c r="AE275" s="36" t="e">
        <f>VLOOKUP($B275,三大美股走勢!$A$4:$J$500,7,FALSE)</f>
        <v>#N/A</v>
      </c>
      <c r="AF275" s="36" t="e">
        <f>VLOOKUP($B275,三大美股走勢!$A$4:$J$500,10,FALSE)</f>
        <v>#N/A</v>
      </c>
    </row>
    <row r="276" spans="2:32">
      <c r="B276" s="35">
        <v>43055</v>
      </c>
      <c r="C276" s="36" t="e">
        <f>VLOOKUP($B276,大盤與近月台指!$A$4:$I$499,2,FALSE)</f>
        <v>#N/A</v>
      </c>
      <c r="D276" s="37" t="e">
        <f>VLOOKUP($B276,大盤與近月台指!$A$4:$I$499,3,FALSE)</f>
        <v>#N/A</v>
      </c>
      <c r="E276" s="38" t="e">
        <f>VLOOKUP($B276,大盤與近月台指!$A$4:$I$499,4,FALSE)</f>
        <v>#N/A</v>
      </c>
      <c r="F276" s="36" t="e">
        <f>VLOOKUP($B276,大盤與近月台指!$A$4:$I$499,5,FALSE)</f>
        <v>#N/A</v>
      </c>
      <c r="G276" s="52" t="e">
        <f>VLOOKUP($B276,三大法人買賣超!$A$4:$I$500,3,FALSE)</f>
        <v>#N/A</v>
      </c>
      <c r="H276" s="37" t="e">
        <f>VLOOKUP($B276,三大法人買賣超!$A$4:$I$500,5,FALSE)</f>
        <v>#N/A</v>
      </c>
      <c r="I276" s="29" t="e">
        <f>VLOOKUP($B276,三大法人買賣超!$A$4:$I$500,7,FALSE)</f>
        <v>#N/A</v>
      </c>
      <c r="J276" s="29" t="e">
        <f>VLOOKUP($B276,三大法人買賣超!$A$4:$I$500,9,FALSE)</f>
        <v>#N/A</v>
      </c>
      <c r="K276" s="40">
        <f>新台幣匯率美元指數!B277</f>
        <v>0</v>
      </c>
      <c r="L276" s="41">
        <f>新台幣匯率美元指數!C277</f>
        <v>0</v>
      </c>
      <c r="M276" s="42">
        <f>新台幣匯率美元指數!D277</f>
        <v>0</v>
      </c>
      <c r="N276" s="29" t="e">
        <f>VLOOKUP($B276,期貨未平倉口數!$A$4:$M$499,4,FALSE)</f>
        <v>#N/A</v>
      </c>
      <c r="O276" s="29" t="e">
        <f>VLOOKUP($B276,期貨未平倉口數!$A$4:$M$499,9,FALSE)</f>
        <v>#N/A</v>
      </c>
      <c r="P276" s="29" t="e">
        <f>VLOOKUP($B276,期貨未平倉口數!$A$4:$M$499,10,FALSE)</f>
        <v>#N/A</v>
      </c>
      <c r="Q276" s="29" t="e">
        <f>VLOOKUP($B276,期貨未平倉口數!$A$4:$M$499,11,FALSE)</f>
        <v>#N/A</v>
      </c>
      <c r="R276" s="67" t="e">
        <f>VLOOKUP($B276,選擇權未平倉餘額!$A$4:$I$500,6,FALSE)</f>
        <v>#N/A</v>
      </c>
      <c r="S276" s="67" t="e">
        <f>VLOOKUP($B276,選擇權未平倉餘額!$A$4:$I$500,7,FALSE)</f>
        <v>#N/A</v>
      </c>
      <c r="T276" s="67" t="e">
        <f>VLOOKUP($B276,選擇權未平倉餘額!$A$4:$I$500,8,FALSE)</f>
        <v>#N/A</v>
      </c>
      <c r="U276" s="67" t="e">
        <f>VLOOKUP($B276,選擇權未平倉餘額!$A$4:$I$500,9,FALSE)</f>
        <v>#N/A</v>
      </c>
      <c r="V276" s="42" t="e">
        <f>VLOOKUP($B276,臺指選擇權P_C_Ratios!$A$4:$C$500,3,FALSE)</f>
        <v>#N/A</v>
      </c>
      <c r="W276" s="44" t="e">
        <f>VLOOKUP($B276,散戶多空比!$A$6:$L$500,12,FALSE)</f>
        <v>#N/A</v>
      </c>
      <c r="X276" s="43" t="e">
        <f>VLOOKUP($B276,期貨大額交易人未沖銷部位!$A$4:$O$499,4,FALSE)</f>
        <v>#N/A</v>
      </c>
      <c r="Y276" s="43" t="e">
        <f>VLOOKUP($B276,期貨大額交易人未沖銷部位!$A$4:$O$499,7,FALSE)</f>
        <v>#N/A</v>
      </c>
      <c r="Z276" s="43" t="e">
        <f>VLOOKUP($B276,期貨大額交易人未沖銷部位!$A$4:$O$499,10,FALSE)</f>
        <v>#N/A</v>
      </c>
      <c r="AA276" s="43" t="e">
        <f>VLOOKUP($B276,期貨大額交易人未沖銷部位!$A$4:$O$499,13,FALSE)</f>
        <v>#N/A</v>
      </c>
      <c r="AB276" s="43" t="e">
        <f>VLOOKUP($B276,期貨大額交易人未沖銷部位!$A$4:$O$499,14,FALSE)</f>
        <v>#N/A</v>
      </c>
      <c r="AC276" s="43" t="e">
        <f>VLOOKUP($B276,期貨大額交易人未沖銷部位!$A$4:$O$499,15,FALSE)</f>
        <v>#N/A</v>
      </c>
      <c r="AD276" s="36" t="e">
        <f>VLOOKUP($B276,三大美股走勢!$A$4:$J$500,4,FALSE)</f>
        <v>#N/A</v>
      </c>
      <c r="AE276" s="36" t="e">
        <f>VLOOKUP($B276,三大美股走勢!$A$4:$J$500,7,FALSE)</f>
        <v>#N/A</v>
      </c>
      <c r="AF276" s="36" t="e">
        <f>VLOOKUP($B276,三大美股走勢!$A$4:$J$500,10,FALSE)</f>
        <v>#N/A</v>
      </c>
    </row>
    <row r="277" spans="2:32">
      <c r="B277" s="35">
        <v>43056</v>
      </c>
      <c r="C277" s="36" t="e">
        <f>VLOOKUP($B277,大盤與近月台指!$A$4:$I$499,2,FALSE)</f>
        <v>#N/A</v>
      </c>
      <c r="D277" s="37" t="e">
        <f>VLOOKUP($B277,大盤與近月台指!$A$4:$I$499,3,FALSE)</f>
        <v>#N/A</v>
      </c>
      <c r="E277" s="38" t="e">
        <f>VLOOKUP($B277,大盤與近月台指!$A$4:$I$499,4,FALSE)</f>
        <v>#N/A</v>
      </c>
      <c r="F277" s="36" t="e">
        <f>VLOOKUP($B277,大盤與近月台指!$A$4:$I$499,5,FALSE)</f>
        <v>#N/A</v>
      </c>
      <c r="G277" s="52" t="e">
        <f>VLOOKUP($B277,三大法人買賣超!$A$4:$I$500,3,FALSE)</f>
        <v>#N/A</v>
      </c>
      <c r="H277" s="37" t="e">
        <f>VLOOKUP($B277,三大法人買賣超!$A$4:$I$500,5,FALSE)</f>
        <v>#N/A</v>
      </c>
      <c r="I277" s="29" t="e">
        <f>VLOOKUP($B277,三大法人買賣超!$A$4:$I$500,7,FALSE)</f>
        <v>#N/A</v>
      </c>
      <c r="J277" s="29" t="e">
        <f>VLOOKUP($B277,三大法人買賣超!$A$4:$I$500,9,FALSE)</f>
        <v>#N/A</v>
      </c>
      <c r="K277" s="40">
        <f>新台幣匯率美元指數!B278</f>
        <v>0</v>
      </c>
      <c r="L277" s="41">
        <f>新台幣匯率美元指數!C278</f>
        <v>0</v>
      </c>
      <c r="M277" s="42">
        <f>新台幣匯率美元指數!D278</f>
        <v>0</v>
      </c>
      <c r="N277" s="29" t="e">
        <f>VLOOKUP($B277,期貨未平倉口數!$A$4:$M$499,4,FALSE)</f>
        <v>#N/A</v>
      </c>
      <c r="O277" s="29" t="e">
        <f>VLOOKUP($B277,期貨未平倉口數!$A$4:$M$499,9,FALSE)</f>
        <v>#N/A</v>
      </c>
      <c r="P277" s="29" t="e">
        <f>VLOOKUP($B277,期貨未平倉口數!$A$4:$M$499,10,FALSE)</f>
        <v>#N/A</v>
      </c>
      <c r="Q277" s="29" t="e">
        <f>VLOOKUP($B277,期貨未平倉口數!$A$4:$M$499,11,FALSE)</f>
        <v>#N/A</v>
      </c>
      <c r="R277" s="67" t="e">
        <f>VLOOKUP($B277,選擇權未平倉餘額!$A$4:$I$500,6,FALSE)</f>
        <v>#N/A</v>
      </c>
      <c r="S277" s="67" t="e">
        <f>VLOOKUP($B277,選擇權未平倉餘額!$A$4:$I$500,7,FALSE)</f>
        <v>#N/A</v>
      </c>
      <c r="T277" s="67" t="e">
        <f>VLOOKUP($B277,選擇權未平倉餘額!$A$4:$I$500,8,FALSE)</f>
        <v>#N/A</v>
      </c>
      <c r="U277" s="67" t="e">
        <f>VLOOKUP($B277,選擇權未平倉餘額!$A$4:$I$500,9,FALSE)</f>
        <v>#N/A</v>
      </c>
      <c r="V277" s="42" t="e">
        <f>VLOOKUP($B277,臺指選擇權P_C_Ratios!$A$4:$C$500,3,FALSE)</f>
        <v>#N/A</v>
      </c>
      <c r="W277" s="44" t="e">
        <f>VLOOKUP($B277,散戶多空比!$A$6:$L$500,12,FALSE)</f>
        <v>#N/A</v>
      </c>
      <c r="X277" s="43" t="e">
        <f>VLOOKUP($B277,期貨大額交易人未沖銷部位!$A$4:$O$499,4,FALSE)</f>
        <v>#N/A</v>
      </c>
      <c r="Y277" s="43" t="e">
        <f>VLOOKUP($B277,期貨大額交易人未沖銷部位!$A$4:$O$499,7,FALSE)</f>
        <v>#N/A</v>
      </c>
      <c r="Z277" s="43" t="e">
        <f>VLOOKUP($B277,期貨大額交易人未沖銷部位!$A$4:$O$499,10,FALSE)</f>
        <v>#N/A</v>
      </c>
      <c r="AA277" s="43" t="e">
        <f>VLOOKUP($B277,期貨大額交易人未沖銷部位!$A$4:$O$499,13,FALSE)</f>
        <v>#N/A</v>
      </c>
      <c r="AB277" s="43" t="e">
        <f>VLOOKUP($B277,期貨大額交易人未沖銷部位!$A$4:$O$499,14,FALSE)</f>
        <v>#N/A</v>
      </c>
      <c r="AC277" s="43" t="e">
        <f>VLOOKUP($B277,期貨大額交易人未沖銷部位!$A$4:$O$499,15,FALSE)</f>
        <v>#N/A</v>
      </c>
      <c r="AD277" s="36" t="e">
        <f>VLOOKUP($B277,三大美股走勢!$A$4:$J$500,4,FALSE)</f>
        <v>#N/A</v>
      </c>
      <c r="AE277" s="36" t="e">
        <f>VLOOKUP($B277,三大美股走勢!$A$4:$J$500,7,FALSE)</f>
        <v>#N/A</v>
      </c>
      <c r="AF277" s="36" t="e">
        <f>VLOOKUP($B277,三大美股走勢!$A$4:$J$500,10,FALSE)</f>
        <v>#N/A</v>
      </c>
    </row>
    <row r="278" spans="2:32">
      <c r="B278" s="35">
        <v>43057</v>
      </c>
      <c r="C278" s="36" t="e">
        <f>VLOOKUP($B278,大盤與近月台指!$A$4:$I$499,2,FALSE)</f>
        <v>#N/A</v>
      </c>
      <c r="D278" s="37" t="e">
        <f>VLOOKUP($B278,大盤與近月台指!$A$4:$I$499,3,FALSE)</f>
        <v>#N/A</v>
      </c>
      <c r="E278" s="38" t="e">
        <f>VLOOKUP($B278,大盤與近月台指!$A$4:$I$499,4,FALSE)</f>
        <v>#N/A</v>
      </c>
      <c r="F278" s="36" t="e">
        <f>VLOOKUP($B278,大盤與近月台指!$A$4:$I$499,5,FALSE)</f>
        <v>#N/A</v>
      </c>
      <c r="G278" s="52" t="e">
        <f>VLOOKUP($B278,三大法人買賣超!$A$4:$I$500,3,FALSE)</f>
        <v>#N/A</v>
      </c>
      <c r="H278" s="37" t="e">
        <f>VLOOKUP($B278,三大法人買賣超!$A$4:$I$500,5,FALSE)</f>
        <v>#N/A</v>
      </c>
      <c r="I278" s="29" t="e">
        <f>VLOOKUP($B278,三大法人買賣超!$A$4:$I$500,7,FALSE)</f>
        <v>#N/A</v>
      </c>
      <c r="J278" s="29" t="e">
        <f>VLOOKUP($B278,三大法人買賣超!$A$4:$I$500,9,FALSE)</f>
        <v>#N/A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 t="e">
        <f>VLOOKUP($B278,期貨未平倉口數!$A$4:$M$499,4,FALSE)</f>
        <v>#N/A</v>
      </c>
      <c r="O278" s="29" t="e">
        <f>VLOOKUP($B278,期貨未平倉口數!$A$4:$M$499,9,FALSE)</f>
        <v>#N/A</v>
      </c>
      <c r="P278" s="29" t="e">
        <f>VLOOKUP($B278,期貨未平倉口數!$A$4:$M$499,10,FALSE)</f>
        <v>#N/A</v>
      </c>
      <c r="Q278" s="29" t="e">
        <f>VLOOKUP($B278,期貨未平倉口數!$A$4:$M$499,11,FALSE)</f>
        <v>#N/A</v>
      </c>
      <c r="R278" s="67" t="e">
        <f>VLOOKUP($B278,選擇權未平倉餘額!$A$4:$I$500,6,FALSE)</f>
        <v>#N/A</v>
      </c>
      <c r="S278" s="67" t="e">
        <f>VLOOKUP($B278,選擇權未平倉餘額!$A$4:$I$500,7,FALSE)</f>
        <v>#N/A</v>
      </c>
      <c r="T278" s="67" t="e">
        <f>VLOOKUP($B278,選擇權未平倉餘額!$A$4:$I$500,8,FALSE)</f>
        <v>#N/A</v>
      </c>
      <c r="U278" s="67" t="e">
        <f>VLOOKUP($B278,選擇權未平倉餘額!$A$4:$I$500,9,FALSE)</f>
        <v>#N/A</v>
      </c>
      <c r="V278" s="42" t="e">
        <f>VLOOKUP($B278,臺指選擇權P_C_Ratios!$A$4:$C$500,3,FALSE)</f>
        <v>#N/A</v>
      </c>
      <c r="W278" s="44" t="e">
        <f>VLOOKUP($B278,散戶多空比!$A$6:$L$500,12,FALSE)</f>
        <v>#N/A</v>
      </c>
      <c r="X278" s="43" t="e">
        <f>VLOOKUP($B278,期貨大額交易人未沖銷部位!$A$4:$O$499,4,FALSE)</f>
        <v>#N/A</v>
      </c>
      <c r="Y278" s="43" t="e">
        <f>VLOOKUP($B278,期貨大額交易人未沖銷部位!$A$4:$O$499,7,FALSE)</f>
        <v>#N/A</v>
      </c>
      <c r="Z278" s="43" t="e">
        <f>VLOOKUP($B278,期貨大額交易人未沖銷部位!$A$4:$O$499,10,FALSE)</f>
        <v>#N/A</v>
      </c>
      <c r="AA278" s="43" t="e">
        <f>VLOOKUP($B278,期貨大額交易人未沖銷部位!$A$4:$O$499,13,FALSE)</f>
        <v>#N/A</v>
      </c>
      <c r="AB278" s="43" t="e">
        <f>VLOOKUP($B278,期貨大額交易人未沖銷部位!$A$4:$O$499,14,FALSE)</f>
        <v>#N/A</v>
      </c>
      <c r="AC278" s="43" t="e">
        <f>VLOOKUP($B278,期貨大額交易人未沖銷部位!$A$4:$O$499,15,FALSE)</f>
        <v>#N/A</v>
      </c>
      <c r="AD278" s="36" t="e">
        <f>VLOOKUP($B278,三大美股走勢!$A$4:$J$500,4,FALSE)</f>
        <v>#N/A</v>
      </c>
      <c r="AE278" s="36" t="e">
        <f>VLOOKUP($B278,三大美股走勢!$A$4:$J$500,7,FALSE)</f>
        <v>#N/A</v>
      </c>
      <c r="AF278" s="36" t="e">
        <f>VLOOKUP($B278,三大美股走勢!$A$4:$J$500,10,FALSE)</f>
        <v>#N/A</v>
      </c>
    </row>
    <row r="279" spans="2:32">
      <c r="B279" s="35">
        <v>43058</v>
      </c>
      <c r="C279" s="36" t="e">
        <f>VLOOKUP($B279,大盤與近月台指!$A$4:$I$499,2,FALSE)</f>
        <v>#N/A</v>
      </c>
      <c r="D279" s="37" t="e">
        <f>VLOOKUP($B279,大盤與近月台指!$A$4:$I$499,3,FALSE)</f>
        <v>#N/A</v>
      </c>
      <c r="E279" s="38" t="e">
        <f>VLOOKUP($B279,大盤與近月台指!$A$4:$I$499,4,FALSE)</f>
        <v>#N/A</v>
      </c>
      <c r="F279" s="36" t="e">
        <f>VLOOKUP($B279,大盤與近月台指!$A$4:$I$499,5,FALSE)</f>
        <v>#N/A</v>
      </c>
      <c r="G279" s="52" t="e">
        <f>VLOOKUP($B279,三大法人買賣超!$A$4:$I$500,3,FALSE)</f>
        <v>#N/A</v>
      </c>
      <c r="H279" s="37" t="e">
        <f>VLOOKUP($B279,三大法人買賣超!$A$4:$I$500,5,FALSE)</f>
        <v>#N/A</v>
      </c>
      <c r="I279" s="29" t="e">
        <f>VLOOKUP($B279,三大法人買賣超!$A$4:$I$500,7,FALSE)</f>
        <v>#N/A</v>
      </c>
      <c r="J279" s="29" t="e">
        <f>VLOOKUP($B279,三大法人買賣超!$A$4:$I$500,9,FALSE)</f>
        <v>#N/A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 t="e">
        <f>VLOOKUP($B279,期貨未平倉口數!$A$4:$M$499,4,FALSE)</f>
        <v>#N/A</v>
      </c>
      <c r="O279" s="29" t="e">
        <f>VLOOKUP($B279,期貨未平倉口數!$A$4:$M$499,9,FALSE)</f>
        <v>#N/A</v>
      </c>
      <c r="P279" s="29" t="e">
        <f>VLOOKUP($B279,期貨未平倉口數!$A$4:$M$499,10,FALSE)</f>
        <v>#N/A</v>
      </c>
      <c r="Q279" s="29" t="e">
        <f>VLOOKUP($B279,期貨未平倉口數!$A$4:$M$499,11,FALSE)</f>
        <v>#N/A</v>
      </c>
      <c r="R279" s="67" t="e">
        <f>VLOOKUP($B279,選擇權未平倉餘額!$A$4:$I$500,6,FALSE)</f>
        <v>#N/A</v>
      </c>
      <c r="S279" s="67" t="e">
        <f>VLOOKUP($B279,選擇權未平倉餘額!$A$4:$I$500,7,FALSE)</f>
        <v>#N/A</v>
      </c>
      <c r="T279" s="67" t="e">
        <f>VLOOKUP($B279,選擇權未平倉餘額!$A$4:$I$500,8,FALSE)</f>
        <v>#N/A</v>
      </c>
      <c r="U279" s="67" t="e">
        <f>VLOOKUP($B279,選擇權未平倉餘額!$A$4:$I$500,9,FALSE)</f>
        <v>#N/A</v>
      </c>
      <c r="V279" s="42" t="e">
        <f>VLOOKUP($B279,臺指選擇權P_C_Ratios!$A$4:$C$500,3,FALSE)</f>
        <v>#N/A</v>
      </c>
      <c r="W279" s="44" t="e">
        <f>VLOOKUP($B279,散戶多空比!$A$6:$L$500,12,FALSE)</f>
        <v>#N/A</v>
      </c>
      <c r="X279" s="43" t="e">
        <f>VLOOKUP($B279,期貨大額交易人未沖銷部位!$A$4:$O$499,4,FALSE)</f>
        <v>#N/A</v>
      </c>
      <c r="Y279" s="43" t="e">
        <f>VLOOKUP($B279,期貨大額交易人未沖銷部位!$A$4:$O$499,7,FALSE)</f>
        <v>#N/A</v>
      </c>
      <c r="Z279" s="43" t="e">
        <f>VLOOKUP($B279,期貨大額交易人未沖銷部位!$A$4:$O$499,10,FALSE)</f>
        <v>#N/A</v>
      </c>
      <c r="AA279" s="43" t="e">
        <f>VLOOKUP($B279,期貨大額交易人未沖銷部位!$A$4:$O$499,13,FALSE)</f>
        <v>#N/A</v>
      </c>
      <c r="AB279" s="43" t="e">
        <f>VLOOKUP($B279,期貨大額交易人未沖銷部位!$A$4:$O$499,14,FALSE)</f>
        <v>#N/A</v>
      </c>
      <c r="AC279" s="43" t="e">
        <f>VLOOKUP($B279,期貨大額交易人未沖銷部位!$A$4:$O$499,15,FALSE)</f>
        <v>#N/A</v>
      </c>
      <c r="AD279" s="36" t="e">
        <f>VLOOKUP($B279,三大美股走勢!$A$4:$J$500,4,FALSE)</f>
        <v>#N/A</v>
      </c>
      <c r="AE279" s="36" t="e">
        <f>VLOOKUP($B279,三大美股走勢!$A$4:$J$500,7,FALSE)</f>
        <v>#N/A</v>
      </c>
      <c r="AF279" s="36" t="e">
        <f>VLOOKUP($B279,三大美股走勢!$A$4:$J$500,10,FALSE)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74"/>
  <sheetViews>
    <sheetView workbookViewId="0">
      <pane ySplit="3" topLeftCell="A266" activePane="bottomLeft" state="frozen"/>
      <selection pane="bottomLeft" activeCell="I278" sqref="I278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1" t="s">
        <v>40</v>
      </c>
      <c r="B2" s="112" t="s">
        <v>44</v>
      </c>
      <c r="C2" s="113"/>
      <c r="D2" s="113"/>
      <c r="E2" s="113"/>
      <c r="F2" s="113"/>
      <c r="G2" s="113"/>
      <c r="H2" s="113"/>
      <c r="I2" s="113"/>
    </row>
    <row r="3" spans="1:9">
      <c r="A3" s="111"/>
      <c r="B3" s="114" t="s">
        <v>41</v>
      </c>
      <c r="C3" s="111"/>
      <c r="D3" s="111"/>
      <c r="E3" s="111"/>
      <c r="F3" s="111"/>
      <c r="G3" s="111"/>
      <c r="H3" s="111"/>
      <c r="I3" s="111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95</v>
      </c>
      <c r="F4" s="75">
        <v>9772</v>
      </c>
      <c r="G4" s="23">
        <v>-29</v>
      </c>
      <c r="H4" s="47">
        <v>-3.0000000000000001E-3</v>
      </c>
      <c r="I4" s="45" t="s">
        <v>99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96</v>
      </c>
      <c r="F5" s="75">
        <v>9762</v>
      </c>
      <c r="G5" s="23">
        <v>-8</v>
      </c>
      <c r="H5" s="47">
        <v>-8.0000000000000004E-4</v>
      </c>
      <c r="I5" s="45" t="s">
        <v>97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100</v>
      </c>
      <c r="F6" s="75">
        <v>9788</v>
      </c>
      <c r="G6" s="23">
        <v>25</v>
      </c>
      <c r="H6" s="47">
        <v>2.5999999999999999E-3</v>
      </c>
      <c r="I6" s="45" t="s">
        <v>98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109</v>
      </c>
      <c r="F8" s="75">
        <v>9766</v>
      </c>
      <c r="G8" s="23">
        <v>-20</v>
      </c>
      <c r="H8" s="47">
        <v>-2E-3</v>
      </c>
      <c r="I8" s="45" t="s">
        <v>110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111</v>
      </c>
      <c r="F9" s="75">
        <v>9766</v>
      </c>
      <c r="G9" s="23">
        <v>0</v>
      </c>
      <c r="H9" s="47">
        <v>0</v>
      </c>
      <c r="I9" s="45" t="s">
        <v>112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113</v>
      </c>
      <c r="F10" s="75">
        <v>9783</v>
      </c>
      <c r="G10" s="23">
        <v>16</v>
      </c>
      <c r="H10" s="47">
        <v>1.6000000000000001E-3</v>
      </c>
      <c r="I10" s="45" t="s">
        <v>114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115</v>
      </c>
      <c r="F11" s="75">
        <v>9772</v>
      </c>
      <c r="G11" s="23">
        <v>-11</v>
      </c>
      <c r="H11" s="47">
        <v>-1.1000000000000001E-3</v>
      </c>
      <c r="I11" s="45" t="s">
        <v>116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117</v>
      </c>
      <c r="F12" s="75">
        <v>9761</v>
      </c>
      <c r="G12" s="23">
        <v>-12</v>
      </c>
      <c r="H12" s="47">
        <v>-1.1999999999999999E-3</v>
      </c>
      <c r="I12" s="45" t="s">
        <v>118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119</v>
      </c>
      <c r="F17" s="75">
        <v>9682</v>
      </c>
      <c r="G17" s="23">
        <v>-78</v>
      </c>
      <c r="H17" s="47">
        <v>-8.0000000000000002E-3</v>
      </c>
      <c r="I17" s="45" t="s">
        <v>120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121</v>
      </c>
      <c r="F18" s="75">
        <v>9691</v>
      </c>
      <c r="G18" s="23">
        <v>8</v>
      </c>
      <c r="H18" s="47">
        <v>8.0000000000000004E-4</v>
      </c>
      <c r="I18" s="45" t="s">
        <v>122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123</v>
      </c>
      <c r="F19" s="75">
        <v>9629</v>
      </c>
      <c r="G19" s="23">
        <v>-62</v>
      </c>
      <c r="H19" s="47">
        <v>-6.4000000000000003E-3</v>
      </c>
      <c r="I19" s="45" t="s">
        <v>124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125</v>
      </c>
      <c r="F22" s="75">
        <v>9683</v>
      </c>
      <c r="G22" s="23">
        <v>53</v>
      </c>
      <c r="H22" s="47">
        <v>5.4999999999999997E-3</v>
      </c>
      <c r="I22" s="45" t="s">
        <v>126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127</v>
      </c>
      <c r="F23" s="75">
        <v>9727</v>
      </c>
      <c r="G23" s="23">
        <v>45</v>
      </c>
      <c r="H23" s="47">
        <v>4.5999999999999999E-3</v>
      </c>
      <c r="I23" s="45" t="s">
        <v>128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129</v>
      </c>
      <c r="F24" s="75">
        <v>9748</v>
      </c>
      <c r="G24" s="23">
        <v>20</v>
      </c>
      <c r="H24" s="47">
        <v>2.0999999999999999E-3</v>
      </c>
      <c r="I24" s="45" t="s">
        <v>130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131</v>
      </c>
      <c r="F25" s="75">
        <v>9652</v>
      </c>
      <c r="G25" s="23">
        <v>-94</v>
      </c>
      <c r="H25" s="47">
        <v>-9.5999999999999992E-3</v>
      </c>
      <c r="I25" s="45" t="s">
        <v>132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133</v>
      </c>
      <c r="F26" s="75">
        <v>9625</v>
      </c>
      <c r="G26" s="23">
        <v>-24</v>
      </c>
      <c r="H26" s="47">
        <v>-2.5000000000000001E-3</v>
      </c>
      <c r="I26" s="45" t="s">
        <v>134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135</v>
      </c>
      <c r="F269" s="75">
        <v>10801</v>
      </c>
      <c r="G269" s="23">
        <v>-4</v>
      </c>
      <c r="H269" s="47">
        <v>-4.0000000000000002E-4</v>
      </c>
      <c r="I269" s="45" t="s">
        <v>136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138</v>
      </c>
      <c r="F270" s="75">
        <v>10692</v>
      </c>
      <c r="G270" s="23">
        <v>-30</v>
      </c>
      <c r="H270" s="47">
        <v>-2.8E-3</v>
      </c>
      <c r="I270" s="45" t="s">
        <v>139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140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141</v>
      </c>
      <c r="F274" s="75">
        <v>10668</v>
      </c>
      <c r="G274" s="23">
        <v>-23</v>
      </c>
      <c r="H274" s="47">
        <v>-2.2000000000000001E-3</v>
      </c>
      <c r="I274" s="45" t="s">
        <v>142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74"/>
  <sheetViews>
    <sheetView workbookViewId="0">
      <pane ySplit="3" topLeftCell="A268" activePane="bottomLeft" state="frozen"/>
      <selection pane="bottomLeft" activeCell="H271" sqref="H271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18" t="s">
        <v>101</v>
      </c>
      <c r="C1" s="119"/>
      <c r="D1" s="119"/>
      <c r="E1" s="119"/>
      <c r="F1" s="119"/>
      <c r="G1" s="119"/>
      <c r="H1" s="119"/>
      <c r="I1" s="120"/>
    </row>
    <row r="2" spans="1:9" s="1" customFormat="1" ht="16.2" thickBot="1">
      <c r="A2" s="64" t="s">
        <v>1</v>
      </c>
      <c r="B2" s="121" t="s">
        <v>45</v>
      </c>
      <c r="C2" s="122"/>
      <c r="D2" s="123" t="s">
        <v>6</v>
      </c>
      <c r="E2" s="124"/>
      <c r="F2" s="123" t="s">
        <v>7</v>
      </c>
      <c r="G2" s="124"/>
      <c r="H2" s="123" t="s">
        <v>8</v>
      </c>
      <c r="I2" s="124"/>
    </row>
    <row r="3" spans="1:9" ht="16.8" thickBot="1">
      <c r="A3" s="62" t="s">
        <v>40</v>
      </c>
      <c r="B3" s="115" t="s">
        <v>137</v>
      </c>
      <c r="C3" s="116"/>
      <c r="D3" s="116"/>
      <c r="E3" s="116"/>
      <c r="F3" s="116"/>
      <c r="G3" s="116"/>
      <c r="H3" s="116"/>
      <c r="I3" s="117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74"/>
  <sheetViews>
    <sheetView workbookViewId="0">
      <pane ySplit="3" topLeftCell="A264" activePane="bottomLeft" state="frozen"/>
      <selection pane="bottomLeft" activeCell="I281" sqref="I281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1" t="s">
        <v>40</v>
      </c>
      <c r="B2" s="125"/>
      <c r="C2" s="111"/>
      <c r="D2" s="111"/>
    </row>
    <row r="3" spans="1:4" ht="16.2">
      <c r="A3" s="111"/>
      <c r="B3" s="125" t="s">
        <v>102</v>
      </c>
      <c r="C3" s="111"/>
      <c r="D3" s="111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75"/>
  <sheetViews>
    <sheetView zoomScale="85" zoomScaleNormal="85" workbookViewId="0">
      <pane ySplit="3" topLeftCell="A264" activePane="bottomLeft" state="frozen"/>
      <selection pane="bottomLeft" activeCell="M272" sqref="M272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26" t="s">
        <v>51</v>
      </c>
      <c r="C1" s="96"/>
      <c r="D1" s="96"/>
      <c r="E1" s="15" t="s">
        <v>49</v>
      </c>
      <c r="F1" s="15" t="s">
        <v>50</v>
      </c>
      <c r="G1" s="126" t="s">
        <v>52</v>
      </c>
      <c r="H1" s="96"/>
      <c r="I1" s="96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103</v>
      </c>
      <c r="K2" s="19" t="s">
        <v>56</v>
      </c>
      <c r="L2" s="19"/>
      <c r="M2" s="19"/>
    </row>
    <row r="3" spans="1:13">
      <c r="A3" s="16" t="s">
        <v>40</v>
      </c>
      <c r="B3" s="114" t="s">
        <v>57</v>
      </c>
      <c r="C3" s="111"/>
      <c r="D3" s="111"/>
      <c r="E3" s="111"/>
      <c r="F3" s="111"/>
      <c r="G3" s="111"/>
      <c r="H3" s="111"/>
      <c r="I3" s="111"/>
      <c r="J3" s="127"/>
      <c r="K3" s="127"/>
      <c r="L3" s="127"/>
      <c r="M3" s="127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:K275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74"/>
  <sheetViews>
    <sheetView zoomScale="85" zoomScaleNormal="85" workbookViewId="0">
      <pane ySplit="3" topLeftCell="A267" activePane="bottomLeft" state="frozen"/>
      <selection pane="bottomLeft" activeCell="E271" sqref="E271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4" t="s">
        <v>66</v>
      </c>
      <c r="C1" s="104"/>
      <c r="D1" s="104"/>
      <c r="E1" s="104"/>
      <c r="F1" s="128" t="s">
        <v>93</v>
      </c>
      <c r="G1" s="129"/>
      <c r="H1" s="129"/>
      <c r="I1" s="129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29"/>
      <c r="G2" s="129"/>
      <c r="H2" s="129"/>
      <c r="I2" s="129"/>
    </row>
    <row r="3" spans="1:9">
      <c r="A3" s="16" t="s">
        <v>40</v>
      </c>
      <c r="B3" s="114" t="s">
        <v>71</v>
      </c>
      <c r="C3" s="111"/>
      <c r="D3" s="111"/>
      <c r="E3" s="111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76"/>
  <sheetViews>
    <sheetView zoomScale="85" zoomScaleNormal="85" workbookViewId="0">
      <pane xSplit="1" ySplit="4" topLeftCell="B264" activePane="bottomRight" state="frozen"/>
      <selection pane="topRight" activeCell="B1" sqref="B1"/>
      <selection pane="bottomLeft" activeCell="A5" sqref="A5"/>
      <selection pane="bottomRight" activeCell="O266" sqref="O266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3" t="s">
        <v>59</v>
      </c>
      <c r="C1" s="130" t="s">
        <v>60</v>
      </c>
      <c r="D1" s="100"/>
      <c r="E1" s="100"/>
      <c r="F1" s="80"/>
      <c r="G1" s="83"/>
      <c r="H1" s="131" t="s">
        <v>63</v>
      </c>
      <c r="I1" s="132"/>
      <c r="J1" s="132"/>
      <c r="K1" s="19"/>
      <c r="L1" s="135" t="s">
        <v>65</v>
      </c>
    </row>
    <row r="2" spans="1:12" s="1" customFormat="1">
      <c r="A2" s="16"/>
      <c r="B2" s="134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36"/>
    </row>
    <row r="3" spans="1:12">
      <c r="A3" s="16" t="s">
        <v>40</v>
      </c>
      <c r="B3" s="137" t="s">
        <v>104</v>
      </c>
      <c r="C3" s="138"/>
      <c r="D3" s="138"/>
      <c r="E3" s="138"/>
      <c r="F3" s="138"/>
      <c r="G3" s="138"/>
      <c r="H3" s="138"/>
      <c r="I3" s="138"/>
      <c r="J3" s="138"/>
      <c r="K3" s="138"/>
      <c r="L3" s="139"/>
    </row>
    <row r="4" spans="1:12">
      <c r="A4" s="16" t="s">
        <v>40</v>
      </c>
      <c r="B4" s="137" t="s">
        <v>57</v>
      </c>
      <c r="C4" s="138"/>
      <c r="D4" s="138"/>
      <c r="E4" s="138"/>
      <c r="F4" s="138"/>
      <c r="G4" s="138"/>
      <c r="H4" s="138"/>
      <c r="I4" s="138"/>
      <c r="J4" s="138"/>
      <c r="K4" s="138"/>
      <c r="L4" s="139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74"/>
  <sheetViews>
    <sheetView zoomScale="85" zoomScaleNormal="85" workbookViewId="0">
      <pane xSplit="1" ySplit="3" topLeftCell="B254" activePane="bottomRight" state="frozen"/>
      <selection pane="topRight" activeCell="B1" sqref="B1"/>
      <selection pane="bottomLeft" activeCell="A4" sqref="A4"/>
      <selection pane="bottomRight" activeCell="B274" sqref="B274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0" t="s">
        <v>72</v>
      </c>
      <c r="C1" s="141"/>
    </row>
    <row r="2" spans="1:3" s="1" customFormat="1">
      <c r="A2" s="16" t="s">
        <v>1</v>
      </c>
      <c r="B2" s="140" t="s">
        <v>73</v>
      </c>
      <c r="C2" s="141"/>
    </row>
    <row r="3" spans="1:3">
      <c r="A3" s="16" t="s">
        <v>40</v>
      </c>
      <c r="B3" s="114" t="s">
        <v>74</v>
      </c>
      <c r="C3" s="111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2017-11-13T13:24:32Z</dcterms:modified>
</cp:coreProperties>
</file>