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0" i="15" l="1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<sst xmlns="http://schemas.openxmlformats.org/spreadsheetml/2006/main" count="439" uniqueCount="348">
  <si>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</si>
  <si>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</si>
  <si>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</si>
  <si>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</si>
  <si>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</si>
  <si>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</si>
  <si>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</si>
  <si>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</si>
  <si>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</si>
  <si>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</si>
  <si>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</si>
  <si>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</si>
  <si>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</si>
  <si>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</si>
  <si>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</si>
  <si>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</si>
  <si>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</si>
  <si>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</si>
  <si>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</si>
  <si>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</si>
  <si>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</si>
  <si>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</si>
  <si>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</si>
  <si>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</si>
  <si>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</si>
  <si>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</si>
  <si>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</si>
  <si>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</si>
  <si>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</si>
  <si>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</si>
  <si>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</si>
  <si>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</si>
  <si>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</si>
  <si>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</si>
  <si>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</si>
  <si>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</si>
  <si>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</si>
  <si>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</si>
  <si>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</si>
  <si>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</si>
  <si>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</si>
  <si>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</si>
  <si>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</si>
  <si>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</si>
  <si>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</si>
  <si>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</si>
  <si>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</si>
  <si>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</si>
  <si>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</si>
  <si>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</si>
  <si>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</si>
  <si>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</si>
  <si>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</si>
  <si>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</si>
  <si>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</si>
  <si>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</si>
  <si>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</si>
  <si>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</si>
  <si>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</si>
  <si>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</si>
  <si>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</si>
  <si>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</si>
  <si>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</si>
  <si>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</si>
  <si>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</si>
  <si>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</si>
  <si>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</si>
  <si>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</si>
  <si>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</si>
  <si>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</si>
  <si>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</si>
  <si>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</si>
  <si>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</si>
  <si>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</si>
  <si>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</si>
  <si>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</si>
  <si>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</si>
  <si>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</si>
  <si>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</si>
  <si>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</si>
  <si>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</si>
  <si>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</si>
  <si>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</si>
  <si>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</si>
  <si>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</si>
  <si>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</si>
  <si>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</si>
  <si>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</si>
  <si>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</si>
  <si>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</si>
  <si>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</si>
  <si>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</si>
  <si>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</si>
  <si>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</si>
  <si>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</si>
  <si>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</si>
  <si>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</si>
  <si>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</si>
  <si>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</si>
  <si>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</si>
  <si>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</si>
  <si>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</si>
  <si>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</si>
  <si>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</si>
  <si>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</si>
  <si>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</si>
  <si>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</si>
  <si>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</si>
  <si>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</si>
  <si>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</si>
  <si>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</si>
  <si>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</si>
  <si>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</si>
  <si>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</si>
  <si>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</si>
  <si>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</si>
  <si>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</si>
  <si>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</si>
  <si>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</si>
  <si>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</si>
  <si>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</si>
  <si>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</si>
  <si>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</si>
  <si>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</si>
  <si>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</si>
  <si>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</si>
  <si>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</si>
  <si>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</si>
  <si>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</si>
  <si>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</si>
  <si>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</si>
  <si>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</si>
  <si>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</si>
  <si>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</si>
  <si>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</si>
  <si>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</si>
  <si>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</si>
  <si>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</si>
  <si>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</si>
  <si>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</si>
  <si>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</si>
  <si>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</si>
  <si>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</si>
  <si>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</si>
  <si>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</si>
  <si>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</si>
  <si>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</si>
  <si>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</si>
  <si>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</si>
  <si>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</si>
  <si>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</si>
  <si>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</si>
  <si>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</si>
  <si>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</si>
  <si>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</si>
  <si>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</si>
  <si>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</si>
  <si>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</si>
  <si>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</si>
  <si>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</si>
  <si>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</si>
  <si>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</si>
  <si>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</si>
  <si>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</si>
  <si>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</si>
  <si>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</si>
  <si>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</si>
  <si>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</si>
  <si>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</si>
  <si>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</si>
  <si>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</si>
  <si>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</si>
  <si>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</si>
  <si>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</si>
  <si>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</si>
  <si>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</si>
  <si>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</si>
  <si>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</si>
  <si>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</si>
  <si>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</si>
  <si>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</si>
  <si>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</si>
  <si>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</si>
  <si>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</si>
  <si>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</si>
  <si>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</si>
  <si>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</si>
  <si>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</si>
  <si>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</si>
  <si>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</si>
  <si>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</si>
  <si>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</si>
  <si>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</si>
  <si>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</si>
  <si>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</si>
  <si>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</si>
  <si>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</si>
  <si>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</si>
  <si>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</si>
  <si>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</si>
  <si>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</si>
  <si>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</si>
  <si>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</si>
  <si>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</si>
  <si>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</si>
  <si>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</si>
  <si>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</si>
  <si>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</si>
  <si>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</si>
  <si>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</si>
  <si>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</si>
  <si>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</si>
  <si>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</si>
  <si>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</si>
  <si>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</si>
  <si>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</si>
  <si>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</si>
  <si>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</si>
  <si>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</si>
  <si>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</si>
  <si>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</si>
  <si>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</si>
  <si>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</si>
  <si>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</si>
  <si>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</si>
  <si>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</si>
  <si>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</si>
  <si>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</si>
  <si>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</si>
  <si>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http://www.taifex.com.tw/chinese/3/7_8.asp</t>
    <phoneticPr fontId="3" type="noConversion"/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</si>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</sst>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14908417"/>
  <ax:ocxPr ax:name="CurrentDate" ax:value="43136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272</v>
      </c>
    </row>
    <row r="4" spans="2:2">
      <c r="B4" t="s">
        <v>273</v>
      </c>
    </row>
    <row r="5" spans="2:2">
      <c r="B5" t="s">
        <v>274</v>
      </c>
    </row>
    <row r="6" spans="2:2">
      <c r="B6" t="s">
        <v>275</v>
      </c>
    </row>
    <row r="7" spans="2:2">
      <c r="B7" t="s">
        <v>276</v>
      </c>
    </row>
    <row r="8" spans="2:2">
      <c r="B8" t="s">
        <v>277</v>
      </c>
    </row>
    <row r="9" spans="2:2">
      <c r="B9" t="s">
        <v>278</v>
      </c>
    </row>
    <row r="10" spans="2:2">
      <c r="B10" t="s">
        <v>279</v>
      </c>
    </row>
    <row r="11" spans="2:2">
      <c r="B11" t="s">
        <v>280</v>
      </c>
    </row>
    <row r="12" spans="2:2">
      <c r="B12" t="s">
        <v>281</v>
      </c>
    </row>
    <row r="13" spans="2:2">
      <c r="B13" t="s">
        <v>282</v>
      </c>
    </row>
    <row r="14" spans="2:2">
      <c r="B14" t="s">
        <v>283</v>
      </c>
    </row>
    <row r="15" spans="2:2">
      <c r="B15" t="s">
        <v>284</v>
      </c>
    </row>
    <row r="17" spans="2:2">
      <c r="B17" t="s">
        <v>285</v>
      </c>
    </row>
    <row r="18" spans="2:2">
      <c r="B18" t="s">
        <v>286</v>
      </c>
    </row>
    <row r="19" spans="2:2">
      <c r="B19" t="s">
        <v>287</v>
      </c>
    </row>
    <row r="20" spans="2:2">
      <c r="B20" t="s">
        <v>288</v>
      </c>
    </row>
    <row r="22" spans="2:2">
      <c r="B22" t="s">
        <v>289</v>
      </c>
    </row>
    <row r="23" spans="2:2">
      <c r="B23" t="s">
        <v>290</v>
      </c>
    </row>
    <row r="24" spans="2:2">
      <c r="B24" t="s">
        <v>291</v>
      </c>
    </row>
    <row r="25" spans="2:2">
      <c r="B25" t="s">
        <v>292</v>
      </c>
    </row>
    <row r="26" spans="2:2">
      <c r="B26" t="s">
        <v>293</v>
      </c>
    </row>
    <row r="27" spans="2:2">
      <c r="B27" t="s">
        <v>294</v>
      </c>
    </row>
    <row r="28" spans="2:2">
      <c r="B28" t="s">
        <v>295</v>
      </c>
    </row>
    <row r="29" spans="2:2">
      <c r="B29" t="s">
        <v>296</v>
      </c>
    </row>
    <row r="30" spans="2:2">
      <c r="B30" t="s">
        <v>297</v>
      </c>
    </row>
    <row r="31" spans="2:2">
      <c r="B31" t="s">
        <v>298</v>
      </c>
    </row>
    <row r="32" spans="2:2">
      <c r="B32" t="s">
        <v>299</v>
      </c>
    </row>
    <row r="33" spans="2:2">
      <c r="B33" t="s">
        <v>300</v>
      </c>
    </row>
    <row r="34" spans="2:2">
      <c r="B34" t="s">
        <v>301</v>
      </c>
    </row>
    <row r="35" spans="2:2">
      <c r="B35" t="s">
        <v>302</v>
      </c>
    </row>
    <row r="36" spans="2:2">
      <c r="B36" t="s">
        <v>303</v>
      </c>
    </row>
    <row r="37" spans="2:2">
      <c r="B37" t="s">
        <v>304</v>
      </c>
    </row>
    <row r="38" spans="2:2">
      <c r="B38" t="s">
        <v>305</v>
      </c>
    </row>
    <row r="39" spans="2:2">
      <c r="B39" t="s">
        <v>306</v>
      </c>
    </row>
    <row r="40" spans="2:2">
      <c r="B40" t="s">
        <v>307</v>
      </c>
    </row>
    <row r="41" spans="2:2">
      <c r="B41" t="s">
        <v>308</v>
      </c>
    </row>
    <row r="42" spans="2:2">
      <c r="B42" t="s">
        <v>309</v>
      </c>
    </row>
    <row r="43" spans="2:2">
      <c r="B43" t="s">
        <v>310</v>
      </c>
    </row>
    <row r="44" spans="2:2">
      <c r="B44" t="s">
        <v>311</v>
      </c>
    </row>
    <row r="45" spans="2:2">
      <c r="B45" t="s">
        <v>312</v>
      </c>
    </row>
    <row r="46" spans="2:2">
      <c r="B46" t="s">
        <v>313</v>
      </c>
    </row>
    <row r="47" spans="2:2">
      <c r="B47" t="s">
        <v>314</v>
      </c>
    </row>
    <row r="49" spans="2:2">
      <c r="B49" t="s">
        <v>315</v>
      </c>
    </row>
    <row r="50" spans="2:2">
      <c r="B50" t="s">
        <v>316</v>
      </c>
    </row>
    <row r="51" spans="2:2">
      <c r="B51" t="s">
        <v>317</v>
      </c>
    </row>
    <row r="52" spans="2:2">
      <c r="B52" t="s">
        <v>318</v>
      </c>
    </row>
    <row r="53" spans="2:2">
      <c r="B53" t="s">
        <v>319</v>
      </c>
    </row>
    <row r="54" spans="2:2">
      <c r="B54" t="s">
        <v>320</v>
      </c>
    </row>
    <row r="55" spans="2:2">
      <c r="B55" t="s">
        <v>321</v>
      </c>
    </row>
    <row r="56" spans="2:2">
      <c r="B56" t="s">
        <v>322</v>
      </c>
    </row>
    <row r="57" spans="2:2">
      <c r="B57" t="s">
        <v>323</v>
      </c>
    </row>
    <row r="58" spans="2:2">
      <c r="B58" t="s">
        <v>324</v>
      </c>
    </row>
    <row r="59" spans="2:2">
      <c r="B59" t="s">
        <v>325</v>
      </c>
    </row>
    <row r="60" spans="2:2">
      <c r="B60" t="s">
        <v>326</v>
      </c>
    </row>
    <row r="62" spans="2:2">
      <c r="B62" t="s">
        <v>327</v>
      </c>
    </row>
    <row r="63" spans="2:2">
      <c r="B63" t="s">
        <v>328</v>
      </c>
    </row>
    <row r="64" spans="2:2">
      <c r="B64" t="s">
        <v>329</v>
      </c>
    </row>
    <row r="65" spans="2:2">
      <c r="B65" t="s">
        <v>330</v>
      </c>
    </row>
    <row r="67" spans="2:2">
      <c r="B67" t="s">
        <v>331</v>
      </c>
    </row>
    <row r="68" spans="2:2">
      <c r="B68" t="s">
        <v>332</v>
      </c>
    </row>
    <row r="69" spans="2:2">
      <c r="B69" t="s">
        <v>333</v>
      </c>
    </row>
    <row r="70" spans="2:2">
      <c r="B70" t="s">
        <v>334</v>
      </c>
    </row>
    <row r="71" spans="2:2">
      <c r="B71" t="s">
        <v>335</v>
      </c>
    </row>
    <row r="72" spans="2:2">
      <c r="B72" t="s">
        <v>336</v>
      </c>
    </row>
    <row r="73" spans="2:2">
      <c r="B73" t="s">
        <v>337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topLeftCell="A2" zoomScale="105" zoomScaleNormal="105" workbookViewId="0">
      <selection activeCell="F16" sqref="F16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6" width="13.77734375" bestFit="1" customWidth="1"/>
    <col min="7" max="7" width="12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43136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10946.25</v>
      </c>
      <c r="D7" s="34">
        <f>VLOOKUP($B$6,資料整合一覽!$B$3:$AF$500,3,FALSE)</f>
        <v>-179.98</v>
      </c>
      <c r="E7" s="35">
        <f>VLOOKUP($B$6,資料整合一覽!$B$3:$AF$500,4,FALSE)</f>
        <v>-1.6199999999999999E-2</v>
      </c>
      <c r="F7" s="33" t="str">
        <f>VLOOKUP($B$6,資料整合一覽!$B$3:$AF$500,5,FALSE)</f>
        <v>1284.31億</v>
      </c>
      <c r="G7" s="36">
        <f>VLOOKUP($B$6,資料整合一覽!$B$3:$AF$500,6,FALSE)</f>
        <v>-11.65803075</v>
      </c>
      <c r="H7" s="34">
        <f>VLOOKUP($B$6,資料整合一覽!$B$3:$AF$500,7,FALSE)</f>
        <v>-8.3033961200000004</v>
      </c>
      <c r="I7" s="34">
        <f>VLOOKUP($B$6,資料整合一覽!$B$3:$AF$500,8,FALSE)</f>
        <v>-4.5025007400000003</v>
      </c>
      <c r="J7" s="34">
        <f>VLOOKUP($B$6,資料整合一覽!$B$3:$AF$500,9,FALSE)</f>
        <v>-83.439556370000005</v>
      </c>
      <c r="K7" s="37">
        <f>VLOOKUP($B$6,資料整合一覽!$B$3:$AF$500,10,FALSE)</f>
        <v>29.306999999999999</v>
      </c>
      <c r="L7" s="38">
        <f>VLOOKUP($B$6,資料整合一覽!$B$3:$AF$500,11,FALSE)</f>
        <v>7.1999999999999995E-2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-1209.75</v>
      </c>
      <c r="D11" s="27">
        <f>VLOOKUP($B$6,資料整合一覽!$B$3:$AF$500,14,FALSE)</f>
        <v>40000.25</v>
      </c>
      <c r="E11" s="64">
        <f>VLOOKUP($B$6,資料整合一覽!$B$3:$AF$500,17,FALSE)</f>
        <v>-2.3456000000000001</v>
      </c>
      <c r="F11" s="64">
        <f>VLOOKUP($B$6,資料整合一覽!$B$3:$AF$500,18,FALSE)</f>
        <v>-12.3498</v>
      </c>
      <c r="G11" s="64">
        <f>VLOOKUP($B$6,資料整合一覽!$B$3:$AF$500,19,FALSE)</f>
        <v>38.532299999999999</v>
      </c>
      <c r="H11" s="64">
        <f>VLOOKUP($B$6,資料整合一覽!$B$3:$AF$500,20,FALSE)</f>
        <v>66.917900000000003</v>
      </c>
      <c r="I11" s="39">
        <f>VLOOKUP($B$6,資料整合一覽!$B$3:$AF$500,21,FALSE)</f>
        <v>1.4784999999999999</v>
      </c>
      <c r="J11" s="41">
        <f>VLOOKUP($B$6,資料整合一覽!$B$3:$AF$500,22,FALSE)</f>
        <v>3.331272752249468E-2</v>
      </c>
      <c r="K11" s="35">
        <f>VLOOKUP($B$6,資料整合一覽!$B$3:$AF$500,29,FALSE)</f>
        <v>0</v>
      </c>
      <c r="L11" s="35">
        <f>VLOOKUP($B$6,資料整合一覽!$B$3:$AF$500,30,FALSE)</f>
        <v>0</v>
      </c>
      <c r="M11" s="35">
        <f>VLOOKUP($B$6,資料整合一覽!$B$3:$AF$500,31,FALSE)</f>
        <v>0</v>
      </c>
    </row>
    <row r="12" spans="2:13">
      <c r="D12" s="99" t="s">
        <v>98</v>
      </c>
    </row>
    <row r="13" spans="2:13">
      <c r="D13" s="27">
        <f>VLOOKUP($B$6,資料整合一覽!$B$3:$AF$500,15,FALSE)</f>
        <v>-13348.25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39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0</v>
      </c>
      <c r="AE357" s="33">
        <f>VLOOKUP($B357,三大美股走勢!$A$4:$J$495,7,FALSE)</f>
        <v>0</v>
      </c>
      <c r="AF357" s="33">
        <f>VLOOKUP($B357,三大美股走勢!$A$4:$J$495,10,FALSE)</f>
        <v>0</v>
      </c>
    </row>
    <row r="358" spans="2:32">
      <c r="B358" s="32">
        <v>43137</v>
      </c>
      <c r="C358" s="33" t="e">
        <f>VLOOKUP($B358,大盤與近月台指!$A$4:$I$499,2,FALSE)</f>
        <v>#N/A</v>
      </c>
      <c r="D358" s="34" t="e">
        <f>VLOOKUP($B358,大盤與近月台指!$A$4:$I$499,3,FALSE)</f>
        <v>#N/A</v>
      </c>
      <c r="E358" s="35" t="e">
        <f>VLOOKUP($B358,大盤與近月台指!$A$4:$I$499,4,FALSE)</f>
        <v>#N/A</v>
      </c>
      <c r="F358" s="33" t="e">
        <f>VLOOKUP($B358,大盤與近月台指!$A$4:$I$499,5,FALSE)</f>
        <v>#N/A</v>
      </c>
      <c r="G358" s="49" t="e">
        <f>VLOOKUP($B358,三大法人買賣超!$A$4:$I$500,3,FALSE)</f>
        <v>#N/A</v>
      </c>
      <c r="H358" s="34" t="e">
        <f>VLOOKUP($B358,三大法人買賣超!$A$4:$I$500,5,FALSE)</f>
        <v>#N/A</v>
      </c>
      <c r="I358" s="27" t="e">
        <f>VLOOKUP($B358,三大法人買賣超!$A$4:$I$500,7,FALSE)</f>
        <v>#N/A</v>
      </c>
      <c r="J358" s="27" t="e">
        <f>VLOOKUP($B358,三大法人買賣超!$A$4:$I$500,9,FALSE)</f>
        <v>#N/A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 t="e">
        <f>VLOOKUP($B358,外資期貨未平倉口數!$A$4:$M$499,4,FALSE)</f>
        <v>#N/A</v>
      </c>
      <c r="O358" s="27" t="e">
        <f>VLOOKUP($B358,外資期貨未平倉口數!$A$4:$M$499,9,FALSE)</f>
        <v>#N/A</v>
      </c>
      <c r="P358" s="27" t="e">
        <f>VLOOKUP($B358,外資期貨未平倉口數!$A$4:$M$499,10,FALSE)</f>
        <v>#N/A</v>
      </c>
      <c r="Q358" s="27" t="e">
        <f>VLOOKUP($B358,外資期貨未平倉口數!$A$4:$M$499,11,FALSE)</f>
        <v>#N/A</v>
      </c>
      <c r="R358" s="64" t="e">
        <f>VLOOKUP($B358,選擇權未平倉餘額!$A$4:$I$500,6,FALSE)</f>
        <v>#N/A</v>
      </c>
      <c r="S358" s="64" t="e">
        <f>VLOOKUP($B358,選擇權未平倉餘額!$A$4:$I$500,7,FALSE)</f>
        <v>#N/A</v>
      </c>
      <c r="T358" s="64" t="e">
        <f>VLOOKUP($B358,選擇權未平倉餘額!$A$4:$I$500,8,FALSE)</f>
        <v>#N/A</v>
      </c>
      <c r="U358" s="64" t="e">
        <f>VLOOKUP($B358,選擇權未平倉餘額!$A$4:$I$500,9,FALSE)</f>
        <v>#N/A</v>
      </c>
      <c r="V358" s="39" t="e">
        <f>VLOOKUP($B358,臺指選擇權P_C_Ratios!$A$4:$C$500,3,FALSE)</f>
        <v>#N/A</v>
      </c>
      <c r="W358" s="41" t="e">
        <f>VLOOKUP($B358,散戶多空比!$A$6:$L$500,12,FALSE)</f>
        <v>#N/A</v>
      </c>
      <c r="X358" s="40" t="e">
        <f>VLOOKUP($B358,期貨大額交易人未沖銷部位!$A$4:$O$499,4,FALSE)</f>
        <v>#N/A</v>
      </c>
      <c r="Y358" s="40" t="e">
        <f>VLOOKUP($B358,期貨大額交易人未沖銷部位!$A$4:$O$499,7,FALSE)</f>
        <v>#N/A</v>
      </c>
      <c r="Z358" s="40" t="e">
        <f>VLOOKUP($B358,期貨大額交易人未沖銷部位!$A$4:$O$499,10,FALSE)</f>
        <v>#N/A</v>
      </c>
      <c r="AA358" s="40" t="e">
        <f>VLOOKUP($B358,期貨大額交易人未沖銷部位!$A$4:$O$499,13,FALSE)</f>
        <v>#N/A</v>
      </c>
      <c r="AB358" s="40" t="e">
        <f>VLOOKUP($B358,期貨大額交易人未沖銷部位!$A$4:$O$499,14,FALSE)</f>
        <v>#N/A</v>
      </c>
      <c r="AC358" s="40" t="e">
        <f>VLOOKUP($B358,期貨大額交易人未沖銷部位!$A$4:$O$499,15,FALSE)</f>
        <v>#N/A</v>
      </c>
      <c r="AD358" s="33">
        <f>VLOOKUP($B358,三大美股走勢!$A$4:$J$495,4,FALSE)</f>
        <v>0</v>
      </c>
      <c r="AE358" s="33">
        <f>VLOOKUP($B358,三大美股走勢!$A$4:$J$495,7,FALSE)</f>
        <v>0</v>
      </c>
      <c r="AF358" s="33">
        <f>VLOOKUP($B358,三大美股走勢!$A$4:$J$495,10,FALSE)</f>
        <v>0</v>
      </c>
    </row>
    <row r="359" spans="2:32">
      <c r="B359" s="32">
        <v>43138</v>
      </c>
      <c r="C359" s="33" t="e">
        <f>VLOOKUP($B359,大盤與近月台指!$A$4:$I$499,2,FALSE)</f>
        <v>#N/A</v>
      </c>
      <c r="D359" s="34" t="e">
        <f>VLOOKUP($B359,大盤與近月台指!$A$4:$I$499,3,FALSE)</f>
        <v>#N/A</v>
      </c>
      <c r="E359" s="35" t="e">
        <f>VLOOKUP($B359,大盤與近月台指!$A$4:$I$499,4,FALSE)</f>
        <v>#N/A</v>
      </c>
      <c r="F359" s="33" t="e">
        <f>VLOOKUP($B359,大盤與近月台指!$A$4:$I$499,5,FALSE)</f>
        <v>#N/A</v>
      </c>
      <c r="G359" s="49" t="e">
        <f>VLOOKUP($B359,三大法人買賣超!$A$4:$I$500,3,FALSE)</f>
        <v>#N/A</v>
      </c>
      <c r="H359" s="34" t="e">
        <f>VLOOKUP($B359,三大法人買賣超!$A$4:$I$500,5,FALSE)</f>
        <v>#N/A</v>
      </c>
      <c r="I359" s="27" t="e">
        <f>VLOOKUP($B359,三大法人買賣超!$A$4:$I$500,7,FALSE)</f>
        <v>#N/A</v>
      </c>
      <c r="J359" s="27" t="e">
        <f>VLOOKUP($B359,三大法人買賣超!$A$4:$I$500,9,FALSE)</f>
        <v>#N/A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 t="e">
        <f>VLOOKUP($B359,外資期貨未平倉口數!$A$4:$M$499,4,FALSE)</f>
        <v>#N/A</v>
      </c>
      <c r="O359" s="27" t="e">
        <f>VLOOKUP($B359,外資期貨未平倉口數!$A$4:$M$499,9,FALSE)</f>
        <v>#N/A</v>
      </c>
      <c r="P359" s="27" t="e">
        <f>VLOOKUP($B359,外資期貨未平倉口數!$A$4:$M$499,10,FALSE)</f>
        <v>#N/A</v>
      </c>
      <c r="Q359" s="27" t="e">
        <f>VLOOKUP($B359,外資期貨未平倉口數!$A$4:$M$499,11,FALSE)</f>
        <v>#N/A</v>
      </c>
      <c r="R359" s="64" t="e">
        <f>VLOOKUP($B359,選擇權未平倉餘額!$A$4:$I$500,6,FALSE)</f>
        <v>#N/A</v>
      </c>
      <c r="S359" s="64" t="e">
        <f>VLOOKUP($B359,選擇權未平倉餘額!$A$4:$I$500,7,FALSE)</f>
        <v>#N/A</v>
      </c>
      <c r="T359" s="64" t="e">
        <f>VLOOKUP($B359,選擇權未平倉餘額!$A$4:$I$500,8,FALSE)</f>
        <v>#N/A</v>
      </c>
      <c r="U359" s="64" t="e">
        <f>VLOOKUP($B359,選擇權未平倉餘額!$A$4:$I$500,9,FALSE)</f>
        <v>#N/A</v>
      </c>
      <c r="V359" s="39" t="e">
        <f>VLOOKUP($B359,臺指選擇權P_C_Ratios!$A$4:$C$500,3,FALSE)</f>
        <v>#N/A</v>
      </c>
      <c r="W359" s="41" t="e">
        <f>VLOOKUP($B359,散戶多空比!$A$6:$L$500,12,FALSE)</f>
        <v>#N/A</v>
      </c>
      <c r="X359" s="40" t="e">
        <f>VLOOKUP($B359,期貨大額交易人未沖銷部位!$A$4:$O$499,4,FALSE)</f>
        <v>#N/A</v>
      </c>
      <c r="Y359" s="40" t="e">
        <f>VLOOKUP($B359,期貨大額交易人未沖銷部位!$A$4:$O$499,7,FALSE)</f>
        <v>#N/A</v>
      </c>
      <c r="Z359" s="40" t="e">
        <f>VLOOKUP($B359,期貨大額交易人未沖銷部位!$A$4:$O$499,10,FALSE)</f>
        <v>#N/A</v>
      </c>
      <c r="AA359" s="40" t="e">
        <f>VLOOKUP($B359,期貨大額交易人未沖銷部位!$A$4:$O$499,13,FALSE)</f>
        <v>#N/A</v>
      </c>
      <c r="AB359" s="40" t="e">
        <f>VLOOKUP($B359,期貨大額交易人未沖銷部位!$A$4:$O$499,14,FALSE)</f>
        <v>#N/A</v>
      </c>
      <c r="AC359" s="40" t="e">
        <f>VLOOKUP($B359,期貨大額交易人未沖銷部位!$A$4:$O$499,15,FALSE)</f>
        <v>#N/A</v>
      </c>
      <c r="AD359" s="33">
        <f>VLOOKUP($B359,三大美股走勢!$A$4:$J$495,4,FALSE)</f>
        <v>0</v>
      </c>
      <c r="AE359" s="33">
        <f>VLOOKUP($B359,三大美股走勢!$A$4:$J$495,7,FALSE)</f>
        <v>0</v>
      </c>
      <c r="AF359" s="33">
        <f>VLOOKUP($B359,三大美股走勢!$A$4:$J$495,10,FALSE)</f>
        <v>0</v>
      </c>
    </row>
    <row r="360" spans="2:32">
      <c r="B360" s="32">
        <v>43139</v>
      </c>
      <c r="C360" s="33" t="e">
        <f>VLOOKUP($B360,大盤與近月台指!$A$4:$I$499,2,FALSE)</f>
        <v>#N/A</v>
      </c>
      <c r="D360" s="34" t="e">
        <f>VLOOKUP($B360,大盤與近月台指!$A$4:$I$499,3,FALSE)</f>
        <v>#N/A</v>
      </c>
      <c r="E360" s="35" t="e">
        <f>VLOOKUP($B360,大盤與近月台指!$A$4:$I$499,4,FALSE)</f>
        <v>#N/A</v>
      </c>
      <c r="F360" s="33" t="e">
        <f>VLOOKUP($B360,大盤與近月台指!$A$4:$I$499,5,FALSE)</f>
        <v>#N/A</v>
      </c>
      <c r="G360" s="49" t="e">
        <f>VLOOKUP($B360,三大法人買賣超!$A$4:$I$500,3,FALSE)</f>
        <v>#N/A</v>
      </c>
      <c r="H360" s="34" t="e">
        <f>VLOOKUP($B360,三大法人買賣超!$A$4:$I$500,5,FALSE)</f>
        <v>#N/A</v>
      </c>
      <c r="I360" s="27" t="e">
        <f>VLOOKUP($B360,三大法人買賣超!$A$4:$I$500,7,FALSE)</f>
        <v>#N/A</v>
      </c>
      <c r="J360" s="27" t="e">
        <f>VLOOKUP($B360,三大法人買賣超!$A$4:$I$500,9,FALSE)</f>
        <v>#N/A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0</v>
      </c>
      <c r="N360" s="27" t="e">
        <f>VLOOKUP($B360,外資期貨未平倉口數!$A$4:$M$499,4,FALSE)</f>
        <v>#N/A</v>
      </c>
      <c r="O360" s="27" t="e">
        <f>VLOOKUP($B360,外資期貨未平倉口數!$A$4:$M$499,9,FALSE)</f>
        <v>#N/A</v>
      </c>
      <c r="P360" s="27" t="e">
        <f>VLOOKUP($B360,外資期貨未平倉口數!$A$4:$M$499,10,FALSE)</f>
        <v>#N/A</v>
      </c>
      <c r="Q360" s="27" t="e">
        <f>VLOOKUP($B360,外資期貨未平倉口數!$A$4:$M$499,11,FALSE)</f>
        <v>#N/A</v>
      </c>
      <c r="R360" s="64" t="e">
        <f>VLOOKUP($B360,選擇權未平倉餘額!$A$4:$I$500,6,FALSE)</f>
        <v>#N/A</v>
      </c>
      <c r="S360" s="64" t="e">
        <f>VLOOKUP($B360,選擇權未平倉餘額!$A$4:$I$500,7,FALSE)</f>
        <v>#N/A</v>
      </c>
      <c r="T360" s="64" t="e">
        <f>VLOOKUP($B360,選擇權未平倉餘額!$A$4:$I$500,8,FALSE)</f>
        <v>#N/A</v>
      </c>
      <c r="U360" s="64" t="e">
        <f>VLOOKUP($B360,選擇權未平倉餘額!$A$4:$I$500,9,FALSE)</f>
        <v>#N/A</v>
      </c>
      <c r="V360" s="39" t="e">
        <f>VLOOKUP($B360,臺指選擇權P_C_Ratios!$A$4:$C$500,3,FALSE)</f>
        <v>#N/A</v>
      </c>
      <c r="W360" s="41" t="e">
        <f>VLOOKUP($B360,散戶多空比!$A$6:$L$500,12,FALSE)</f>
        <v>#N/A</v>
      </c>
      <c r="X360" s="40" t="e">
        <f>VLOOKUP($B360,期貨大額交易人未沖銷部位!$A$4:$O$499,4,FALSE)</f>
        <v>#N/A</v>
      </c>
      <c r="Y360" s="40" t="e">
        <f>VLOOKUP($B360,期貨大額交易人未沖銷部位!$A$4:$O$499,7,FALSE)</f>
        <v>#N/A</v>
      </c>
      <c r="Z360" s="40" t="e">
        <f>VLOOKUP($B360,期貨大額交易人未沖銷部位!$A$4:$O$499,10,FALSE)</f>
        <v>#N/A</v>
      </c>
      <c r="AA360" s="40" t="e">
        <f>VLOOKUP($B360,期貨大額交易人未沖銷部位!$A$4:$O$499,13,FALSE)</f>
        <v>#N/A</v>
      </c>
      <c r="AB360" s="40" t="e">
        <f>VLOOKUP($B360,期貨大額交易人未沖銷部位!$A$4:$O$499,14,FALSE)</f>
        <v>#N/A</v>
      </c>
      <c r="AC360" s="40" t="e">
        <f>VLOOKUP($B360,期貨大額交易人未沖銷部位!$A$4:$O$499,15,FALSE)</f>
        <v>#N/A</v>
      </c>
      <c r="AD360" s="33">
        <f>VLOOKUP($B360,三大美股走勢!$A$4:$J$495,4,FALSE)</f>
        <v>0</v>
      </c>
      <c r="AE360" s="33">
        <f>VLOOKUP($B360,三大美股走勢!$A$4:$J$495,7,FALSE)</f>
        <v>0</v>
      </c>
      <c r="AF360" s="33">
        <f>VLOOKUP($B360,三大美股走勢!$A$4:$J$495,10,FALSE)</f>
        <v>0</v>
      </c>
    </row>
    <row r="361" spans="2:32">
      <c r="B361" s="32">
        <v>43140</v>
      </c>
      <c r="C361" s="33" t="e">
        <f>VLOOKUP($B361,大盤與近月台指!$A$4:$I$499,2,FALSE)</f>
        <v>#N/A</v>
      </c>
      <c r="D361" s="34" t="e">
        <f>VLOOKUP($B361,大盤與近月台指!$A$4:$I$499,3,FALSE)</f>
        <v>#N/A</v>
      </c>
      <c r="E361" s="35" t="e">
        <f>VLOOKUP($B361,大盤與近月台指!$A$4:$I$499,4,FALSE)</f>
        <v>#N/A</v>
      </c>
      <c r="F361" s="33" t="e">
        <f>VLOOKUP($B361,大盤與近月台指!$A$4:$I$499,5,FALSE)</f>
        <v>#N/A</v>
      </c>
      <c r="G361" s="49" t="e">
        <f>VLOOKUP($B361,三大法人買賣超!$A$4:$I$500,3,FALSE)</f>
        <v>#N/A</v>
      </c>
      <c r="H361" s="34" t="e">
        <f>VLOOKUP($B361,三大法人買賣超!$A$4:$I$500,5,FALSE)</f>
        <v>#N/A</v>
      </c>
      <c r="I361" s="27" t="e">
        <f>VLOOKUP($B361,三大法人買賣超!$A$4:$I$500,7,FALSE)</f>
        <v>#N/A</v>
      </c>
      <c r="J361" s="27" t="e">
        <f>VLOOKUP($B361,三大法人買賣超!$A$4:$I$500,9,FALSE)</f>
        <v>#N/A</v>
      </c>
      <c r="K361" s="37">
        <f>新台幣匯率美元指數!B362</f>
        <v>0</v>
      </c>
      <c r="L361" s="38">
        <f>新台幣匯率美元指數!C362</f>
        <v>0</v>
      </c>
      <c r="M361" s="39">
        <f>新台幣匯率美元指數!D362</f>
        <v>0</v>
      </c>
      <c r="N361" s="27" t="e">
        <f>VLOOKUP($B361,外資期貨未平倉口數!$A$4:$M$499,4,FALSE)</f>
        <v>#N/A</v>
      </c>
      <c r="O361" s="27" t="e">
        <f>VLOOKUP($B361,外資期貨未平倉口數!$A$4:$M$499,9,FALSE)</f>
        <v>#N/A</v>
      </c>
      <c r="P361" s="27" t="e">
        <f>VLOOKUP($B361,外資期貨未平倉口數!$A$4:$M$499,10,FALSE)</f>
        <v>#N/A</v>
      </c>
      <c r="Q361" s="27" t="e">
        <f>VLOOKUP($B361,外資期貨未平倉口數!$A$4:$M$499,11,FALSE)</f>
        <v>#N/A</v>
      </c>
      <c r="R361" s="64" t="e">
        <f>VLOOKUP($B361,選擇權未平倉餘額!$A$4:$I$500,6,FALSE)</f>
        <v>#N/A</v>
      </c>
      <c r="S361" s="64" t="e">
        <f>VLOOKUP($B361,選擇權未平倉餘額!$A$4:$I$500,7,FALSE)</f>
        <v>#N/A</v>
      </c>
      <c r="T361" s="64" t="e">
        <f>VLOOKUP($B361,選擇權未平倉餘額!$A$4:$I$500,8,FALSE)</f>
        <v>#N/A</v>
      </c>
      <c r="U361" s="64" t="e">
        <f>VLOOKUP($B361,選擇權未平倉餘額!$A$4:$I$500,9,FALSE)</f>
        <v>#N/A</v>
      </c>
      <c r="V361" s="39" t="e">
        <f>VLOOKUP($B361,臺指選擇權P_C_Ratios!$A$4:$C$500,3,FALSE)</f>
        <v>#N/A</v>
      </c>
      <c r="W361" s="41" t="e">
        <f>VLOOKUP($B361,散戶多空比!$A$6:$L$500,12,FALSE)</f>
        <v>#N/A</v>
      </c>
      <c r="X361" s="40" t="e">
        <f>VLOOKUP($B361,期貨大額交易人未沖銷部位!$A$4:$O$499,4,FALSE)</f>
        <v>#N/A</v>
      </c>
      <c r="Y361" s="40" t="e">
        <f>VLOOKUP($B361,期貨大額交易人未沖銷部位!$A$4:$O$499,7,FALSE)</f>
        <v>#N/A</v>
      </c>
      <c r="Z361" s="40" t="e">
        <f>VLOOKUP($B361,期貨大額交易人未沖銷部位!$A$4:$O$499,10,FALSE)</f>
        <v>#N/A</v>
      </c>
      <c r="AA361" s="40" t="e">
        <f>VLOOKUP($B361,期貨大額交易人未沖銷部位!$A$4:$O$499,13,FALSE)</f>
        <v>#N/A</v>
      </c>
      <c r="AB361" s="40" t="e">
        <f>VLOOKUP($B361,期貨大額交易人未沖銷部位!$A$4:$O$499,14,FALSE)</f>
        <v>#N/A</v>
      </c>
      <c r="AC361" s="40" t="e">
        <f>VLOOKUP($B361,期貨大額交易人未沖銷部位!$A$4:$O$499,15,FALSE)</f>
        <v>#N/A</v>
      </c>
      <c r="AD361" s="33">
        <f>VLOOKUP($B361,三大美股走勢!$A$4:$J$495,4,FALSE)</f>
        <v>0</v>
      </c>
      <c r="AE361" s="33">
        <f>VLOOKUP($B361,三大美股走勢!$A$4:$J$495,7,FALSE)</f>
        <v>0</v>
      </c>
      <c r="AF361" s="33">
        <f>VLOOKUP($B361,三大美股走勢!$A$4:$J$495,10,FALSE)</f>
        <v>0</v>
      </c>
    </row>
    <row r="362" spans="2:32">
      <c r="B362" s="32">
        <v>43141</v>
      </c>
      <c r="C362" s="33" t="e">
        <f>VLOOKUP($B362,大盤與近月台指!$A$4:$I$499,2,FALSE)</f>
        <v>#N/A</v>
      </c>
      <c r="D362" s="34" t="e">
        <f>VLOOKUP($B362,大盤與近月台指!$A$4:$I$499,3,FALSE)</f>
        <v>#N/A</v>
      </c>
      <c r="E362" s="35" t="e">
        <f>VLOOKUP($B362,大盤與近月台指!$A$4:$I$499,4,FALSE)</f>
        <v>#N/A</v>
      </c>
      <c r="F362" s="33" t="e">
        <f>VLOOKUP($B362,大盤與近月台指!$A$4:$I$499,5,FALSE)</f>
        <v>#N/A</v>
      </c>
      <c r="G362" s="49" t="e">
        <f>VLOOKUP($B362,三大法人買賣超!$A$4:$I$500,3,FALSE)</f>
        <v>#N/A</v>
      </c>
      <c r="H362" s="34" t="e">
        <f>VLOOKUP($B362,三大法人買賣超!$A$4:$I$500,5,FALSE)</f>
        <v>#N/A</v>
      </c>
      <c r="I362" s="27" t="e">
        <f>VLOOKUP($B362,三大法人買賣超!$A$4:$I$500,7,FALSE)</f>
        <v>#N/A</v>
      </c>
      <c r="J362" s="27" t="e">
        <f>VLOOKUP($B362,三大法人買賣超!$A$4:$I$500,9,FALSE)</f>
        <v>#N/A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 t="e">
        <f>VLOOKUP($B362,外資期貨未平倉口數!$A$4:$M$499,4,FALSE)</f>
        <v>#N/A</v>
      </c>
      <c r="O362" s="27" t="e">
        <f>VLOOKUP($B362,外資期貨未平倉口數!$A$4:$M$499,9,FALSE)</f>
        <v>#N/A</v>
      </c>
      <c r="P362" s="27" t="e">
        <f>VLOOKUP($B362,外資期貨未平倉口數!$A$4:$M$499,10,FALSE)</f>
        <v>#N/A</v>
      </c>
      <c r="Q362" s="27" t="e">
        <f>VLOOKUP($B362,外資期貨未平倉口數!$A$4:$M$499,11,FALSE)</f>
        <v>#N/A</v>
      </c>
      <c r="R362" s="64" t="e">
        <f>VLOOKUP($B362,選擇權未平倉餘額!$A$4:$I$500,6,FALSE)</f>
        <v>#N/A</v>
      </c>
      <c r="S362" s="64" t="e">
        <f>VLOOKUP($B362,選擇權未平倉餘額!$A$4:$I$500,7,FALSE)</f>
        <v>#N/A</v>
      </c>
      <c r="T362" s="64" t="e">
        <f>VLOOKUP($B362,選擇權未平倉餘額!$A$4:$I$500,8,FALSE)</f>
        <v>#N/A</v>
      </c>
      <c r="U362" s="64" t="e">
        <f>VLOOKUP($B362,選擇權未平倉餘額!$A$4:$I$500,9,FALSE)</f>
        <v>#N/A</v>
      </c>
      <c r="V362" s="39" t="e">
        <f>VLOOKUP($B362,臺指選擇權P_C_Ratios!$A$4:$C$500,3,FALSE)</f>
        <v>#N/A</v>
      </c>
      <c r="W362" s="41" t="e">
        <f>VLOOKUP($B362,散戶多空比!$A$6:$L$500,12,FALSE)</f>
        <v>#N/A</v>
      </c>
      <c r="X362" s="40" t="e">
        <f>VLOOKUP($B362,期貨大額交易人未沖銷部位!$A$4:$O$499,4,FALSE)</f>
        <v>#N/A</v>
      </c>
      <c r="Y362" s="40" t="e">
        <f>VLOOKUP($B362,期貨大額交易人未沖銷部位!$A$4:$O$499,7,FALSE)</f>
        <v>#N/A</v>
      </c>
      <c r="Z362" s="40" t="e">
        <f>VLOOKUP($B362,期貨大額交易人未沖銷部位!$A$4:$O$499,10,FALSE)</f>
        <v>#N/A</v>
      </c>
      <c r="AA362" s="40" t="e">
        <f>VLOOKUP($B362,期貨大額交易人未沖銷部位!$A$4:$O$499,13,FALSE)</f>
        <v>#N/A</v>
      </c>
      <c r="AB362" s="40" t="e">
        <f>VLOOKUP($B362,期貨大額交易人未沖銷部位!$A$4:$O$499,14,FALSE)</f>
        <v>#N/A</v>
      </c>
      <c r="AC362" s="40" t="e">
        <f>VLOOKUP($B362,期貨大額交易人未沖銷部位!$A$4:$O$499,15,FALSE)</f>
        <v>#N/A</v>
      </c>
      <c r="AD362" s="33" t="e">
        <f>VLOOKUP($B362,三大美股走勢!$A$4:$J$495,4,FALSE)</f>
        <v>#N/A</v>
      </c>
      <c r="AE362" s="33" t="e">
        <f>VLOOKUP($B362,三大美股走勢!$A$4:$J$495,7,FALSE)</f>
        <v>#N/A</v>
      </c>
      <c r="AF362" s="33" t="e">
        <f>VLOOKUP($B362,三大美股走勢!$A$4:$J$495,10,FALSE)</f>
        <v>#N/A</v>
      </c>
    </row>
    <row r="363" spans="2:32">
      <c r="B363" s="32">
        <v>43142</v>
      </c>
      <c r="C363" s="33" t="e">
        <f>VLOOKUP($B363,大盤與近月台指!$A$4:$I$499,2,FALSE)</f>
        <v>#N/A</v>
      </c>
      <c r="D363" s="34" t="e">
        <f>VLOOKUP($B363,大盤與近月台指!$A$4:$I$499,3,FALSE)</f>
        <v>#N/A</v>
      </c>
      <c r="E363" s="35" t="e">
        <f>VLOOKUP($B363,大盤與近月台指!$A$4:$I$499,4,FALSE)</f>
        <v>#N/A</v>
      </c>
      <c r="F363" s="33" t="e">
        <f>VLOOKUP($B363,大盤與近月台指!$A$4:$I$499,5,FALSE)</f>
        <v>#N/A</v>
      </c>
      <c r="G363" s="49" t="e">
        <f>VLOOKUP($B363,三大法人買賣超!$A$4:$I$500,3,FALSE)</f>
        <v>#N/A</v>
      </c>
      <c r="H363" s="34" t="e">
        <f>VLOOKUP($B363,三大法人買賣超!$A$4:$I$500,5,FALSE)</f>
        <v>#N/A</v>
      </c>
      <c r="I363" s="27" t="e">
        <f>VLOOKUP($B363,三大法人買賣超!$A$4:$I$500,7,FALSE)</f>
        <v>#N/A</v>
      </c>
      <c r="J363" s="27" t="e">
        <f>VLOOKUP($B363,三大法人買賣超!$A$4:$I$500,9,FALSE)</f>
        <v>#N/A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 t="e">
        <f>VLOOKUP($B363,外資期貨未平倉口數!$A$4:$M$499,4,FALSE)</f>
        <v>#N/A</v>
      </c>
      <c r="O363" s="27" t="e">
        <f>VLOOKUP($B363,外資期貨未平倉口數!$A$4:$M$499,9,FALSE)</f>
        <v>#N/A</v>
      </c>
      <c r="P363" s="27" t="e">
        <f>VLOOKUP($B363,外資期貨未平倉口數!$A$4:$M$499,10,FALSE)</f>
        <v>#N/A</v>
      </c>
      <c r="Q363" s="27" t="e">
        <f>VLOOKUP($B363,外資期貨未平倉口數!$A$4:$M$499,11,FALSE)</f>
        <v>#N/A</v>
      </c>
      <c r="R363" s="64" t="e">
        <f>VLOOKUP($B363,選擇權未平倉餘額!$A$4:$I$500,6,FALSE)</f>
        <v>#N/A</v>
      </c>
      <c r="S363" s="64" t="e">
        <f>VLOOKUP($B363,選擇權未平倉餘額!$A$4:$I$500,7,FALSE)</f>
        <v>#N/A</v>
      </c>
      <c r="T363" s="64" t="e">
        <f>VLOOKUP($B363,選擇權未平倉餘額!$A$4:$I$500,8,FALSE)</f>
        <v>#N/A</v>
      </c>
      <c r="U363" s="64" t="e">
        <f>VLOOKUP($B363,選擇權未平倉餘額!$A$4:$I$500,9,FALSE)</f>
        <v>#N/A</v>
      </c>
      <c r="V363" s="39" t="e">
        <f>VLOOKUP($B363,臺指選擇權P_C_Ratios!$A$4:$C$500,3,FALSE)</f>
        <v>#N/A</v>
      </c>
      <c r="W363" s="41" t="e">
        <f>VLOOKUP($B363,散戶多空比!$A$6:$L$500,12,FALSE)</f>
        <v>#N/A</v>
      </c>
      <c r="X363" s="40" t="e">
        <f>VLOOKUP($B363,期貨大額交易人未沖銷部位!$A$4:$O$499,4,FALSE)</f>
        <v>#N/A</v>
      </c>
      <c r="Y363" s="40" t="e">
        <f>VLOOKUP($B363,期貨大額交易人未沖銷部位!$A$4:$O$499,7,FALSE)</f>
        <v>#N/A</v>
      </c>
      <c r="Z363" s="40" t="e">
        <f>VLOOKUP($B363,期貨大額交易人未沖銷部位!$A$4:$O$499,10,FALSE)</f>
        <v>#N/A</v>
      </c>
      <c r="AA363" s="40" t="e">
        <f>VLOOKUP($B363,期貨大額交易人未沖銷部位!$A$4:$O$499,13,FALSE)</f>
        <v>#N/A</v>
      </c>
      <c r="AB363" s="40" t="e">
        <f>VLOOKUP($B363,期貨大額交易人未沖銷部位!$A$4:$O$499,14,FALSE)</f>
        <v>#N/A</v>
      </c>
      <c r="AC363" s="40" t="e">
        <f>VLOOKUP($B363,期貨大額交易人未沖銷部位!$A$4:$O$499,15,FALSE)</f>
        <v>#N/A</v>
      </c>
      <c r="AD363" s="33" t="e">
        <f>VLOOKUP($B363,三大美股走勢!$A$4:$J$495,4,FALSE)</f>
        <v>#N/A</v>
      </c>
      <c r="AE363" s="33" t="e">
        <f>VLOOKUP($B363,三大美股走勢!$A$4:$J$495,7,FALSE)</f>
        <v>#N/A</v>
      </c>
      <c r="AF363" s="33" t="e">
        <f>VLOOKUP($B363,三大美股走勢!$A$4:$J$495,10,FALSE)</f>
        <v>#N/A</v>
      </c>
    </row>
    <row r="364" spans="2:32">
      <c r="B364" s="32">
        <v>43143</v>
      </c>
      <c r="C364" s="33" t="e">
        <f>VLOOKUP($B364,大盤與近月台指!$A$4:$I$499,2,FALSE)</f>
        <v>#N/A</v>
      </c>
      <c r="D364" s="34" t="e">
        <f>VLOOKUP($B364,大盤與近月台指!$A$4:$I$499,3,FALSE)</f>
        <v>#N/A</v>
      </c>
      <c r="E364" s="35" t="e">
        <f>VLOOKUP($B364,大盤與近月台指!$A$4:$I$499,4,FALSE)</f>
        <v>#N/A</v>
      </c>
      <c r="F364" s="33" t="e">
        <f>VLOOKUP($B364,大盤與近月台指!$A$4:$I$499,5,FALSE)</f>
        <v>#N/A</v>
      </c>
      <c r="G364" s="49" t="e">
        <f>VLOOKUP($B364,三大法人買賣超!$A$4:$I$500,3,FALSE)</f>
        <v>#N/A</v>
      </c>
      <c r="H364" s="34" t="e">
        <f>VLOOKUP($B364,三大法人買賣超!$A$4:$I$500,5,FALSE)</f>
        <v>#N/A</v>
      </c>
      <c r="I364" s="27" t="e">
        <f>VLOOKUP($B364,三大法人買賣超!$A$4:$I$500,7,FALSE)</f>
        <v>#N/A</v>
      </c>
      <c r="J364" s="27" t="e">
        <f>VLOOKUP($B364,三大法人買賣超!$A$4:$I$500,9,FALSE)</f>
        <v>#N/A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 t="e">
        <f>VLOOKUP($B364,外資期貨未平倉口數!$A$4:$M$499,4,FALSE)</f>
        <v>#N/A</v>
      </c>
      <c r="O364" s="27" t="e">
        <f>VLOOKUP($B364,外資期貨未平倉口數!$A$4:$M$499,9,FALSE)</f>
        <v>#N/A</v>
      </c>
      <c r="P364" s="27" t="e">
        <f>VLOOKUP($B364,外資期貨未平倉口數!$A$4:$M$499,10,FALSE)</f>
        <v>#N/A</v>
      </c>
      <c r="Q364" s="27" t="e">
        <f>VLOOKUP($B364,外資期貨未平倉口數!$A$4:$M$499,11,FALSE)</f>
        <v>#N/A</v>
      </c>
      <c r="R364" s="64" t="e">
        <f>VLOOKUP($B364,選擇權未平倉餘額!$A$4:$I$500,6,FALSE)</f>
        <v>#N/A</v>
      </c>
      <c r="S364" s="64" t="e">
        <f>VLOOKUP($B364,選擇權未平倉餘額!$A$4:$I$500,7,FALSE)</f>
        <v>#N/A</v>
      </c>
      <c r="T364" s="64" t="e">
        <f>VLOOKUP($B364,選擇權未平倉餘額!$A$4:$I$500,8,FALSE)</f>
        <v>#N/A</v>
      </c>
      <c r="U364" s="64" t="e">
        <f>VLOOKUP($B364,選擇權未平倉餘額!$A$4:$I$500,9,FALSE)</f>
        <v>#N/A</v>
      </c>
      <c r="V364" s="39" t="e">
        <f>VLOOKUP($B364,臺指選擇權P_C_Ratios!$A$4:$C$500,3,FALSE)</f>
        <v>#N/A</v>
      </c>
      <c r="W364" s="41" t="e">
        <f>VLOOKUP($B364,散戶多空比!$A$6:$L$500,12,FALSE)</f>
        <v>#N/A</v>
      </c>
      <c r="X364" s="40" t="e">
        <f>VLOOKUP($B364,期貨大額交易人未沖銷部位!$A$4:$O$499,4,FALSE)</f>
        <v>#N/A</v>
      </c>
      <c r="Y364" s="40" t="e">
        <f>VLOOKUP($B364,期貨大額交易人未沖銷部位!$A$4:$O$499,7,FALSE)</f>
        <v>#N/A</v>
      </c>
      <c r="Z364" s="40" t="e">
        <f>VLOOKUP($B364,期貨大額交易人未沖銷部位!$A$4:$O$499,10,FALSE)</f>
        <v>#N/A</v>
      </c>
      <c r="AA364" s="40" t="e">
        <f>VLOOKUP($B364,期貨大額交易人未沖銷部位!$A$4:$O$499,13,FALSE)</f>
        <v>#N/A</v>
      </c>
      <c r="AB364" s="40" t="e">
        <f>VLOOKUP($B364,期貨大額交易人未沖銷部位!$A$4:$O$499,14,FALSE)</f>
        <v>#N/A</v>
      </c>
      <c r="AC364" s="40" t="e">
        <f>VLOOKUP($B364,期貨大額交易人未沖銷部位!$A$4:$O$499,15,FALSE)</f>
        <v>#N/A</v>
      </c>
      <c r="AD364" s="33" t="e">
        <f>VLOOKUP($B364,三大美股走勢!$A$4:$J$495,4,FALSE)</f>
        <v>#N/A</v>
      </c>
      <c r="AE364" s="33" t="e">
        <f>VLOOKUP($B364,三大美股走勢!$A$4:$J$495,7,FALSE)</f>
        <v>#N/A</v>
      </c>
      <c r="AF364" s="33" t="e">
        <f>VLOOKUP($B364,三大美股走勢!$A$4:$J$495,10,FALSE)</f>
        <v>#N/A</v>
      </c>
    </row>
    <row r="365" spans="2:32">
      <c r="B365" s="32">
        <v>43144</v>
      </c>
      <c r="C365" s="33" t="e">
        <f>VLOOKUP($B365,大盤與近月台指!$A$4:$I$499,2,FALSE)</f>
        <v>#N/A</v>
      </c>
      <c r="D365" s="34" t="e">
        <f>VLOOKUP($B365,大盤與近月台指!$A$4:$I$499,3,FALSE)</f>
        <v>#N/A</v>
      </c>
      <c r="E365" s="35" t="e">
        <f>VLOOKUP($B365,大盤與近月台指!$A$4:$I$499,4,FALSE)</f>
        <v>#N/A</v>
      </c>
      <c r="F365" s="33" t="e">
        <f>VLOOKUP($B365,大盤與近月台指!$A$4:$I$499,5,FALSE)</f>
        <v>#N/A</v>
      </c>
      <c r="G365" s="49" t="e">
        <f>VLOOKUP($B365,三大法人買賣超!$A$4:$I$500,3,FALSE)</f>
        <v>#N/A</v>
      </c>
      <c r="H365" s="34" t="e">
        <f>VLOOKUP($B365,三大法人買賣超!$A$4:$I$500,5,FALSE)</f>
        <v>#N/A</v>
      </c>
      <c r="I365" s="27" t="e">
        <f>VLOOKUP($B365,三大法人買賣超!$A$4:$I$500,7,FALSE)</f>
        <v>#N/A</v>
      </c>
      <c r="J365" s="27" t="e">
        <f>VLOOKUP($B365,三大法人買賣超!$A$4:$I$500,9,FALSE)</f>
        <v>#N/A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 t="e">
        <f>VLOOKUP($B365,外資期貨未平倉口數!$A$4:$M$499,4,FALSE)</f>
        <v>#N/A</v>
      </c>
      <c r="O365" s="27" t="e">
        <f>VLOOKUP($B365,外資期貨未平倉口數!$A$4:$M$499,9,FALSE)</f>
        <v>#N/A</v>
      </c>
      <c r="P365" s="27" t="e">
        <f>VLOOKUP($B365,外資期貨未平倉口數!$A$4:$M$499,10,FALSE)</f>
        <v>#N/A</v>
      </c>
      <c r="Q365" s="27" t="e">
        <f>VLOOKUP($B365,外資期貨未平倉口數!$A$4:$M$499,11,FALSE)</f>
        <v>#N/A</v>
      </c>
      <c r="R365" s="64" t="e">
        <f>VLOOKUP($B365,選擇權未平倉餘額!$A$4:$I$500,6,FALSE)</f>
        <v>#N/A</v>
      </c>
      <c r="S365" s="64" t="e">
        <f>VLOOKUP($B365,選擇權未平倉餘額!$A$4:$I$500,7,FALSE)</f>
        <v>#N/A</v>
      </c>
      <c r="T365" s="64" t="e">
        <f>VLOOKUP($B365,選擇權未平倉餘額!$A$4:$I$500,8,FALSE)</f>
        <v>#N/A</v>
      </c>
      <c r="U365" s="64" t="e">
        <f>VLOOKUP($B365,選擇權未平倉餘額!$A$4:$I$500,9,FALSE)</f>
        <v>#N/A</v>
      </c>
      <c r="V365" s="39" t="e">
        <f>VLOOKUP($B365,臺指選擇權P_C_Ratios!$A$4:$C$500,3,FALSE)</f>
        <v>#N/A</v>
      </c>
      <c r="W365" s="41" t="e">
        <f>VLOOKUP($B365,散戶多空比!$A$6:$L$500,12,FALSE)</f>
        <v>#N/A</v>
      </c>
      <c r="X365" s="40" t="e">
        <f>VLOOKUP($B365,期貨大額交易人未沖銷部位!$A$4:$O$499,4,FALSE)</f>
        <v>#N/A</v>
      </c>
      <c r="Y365" s="40" t="e">
        <f>VLOOKUP($B365,期貨大額交易人未沖銷部位!$A$4:$O$499,7,FALSE)</f>
        <v>#N/A</v>
      </c>
      <c r="Z365" s="40" t="e">
        <f>VLOOKUP($B365,期貨大額交易人未沖銷部位!$A$4:$O$499,10,FALSE)</f>
        <v>#N/A</v>
      </c>
      <c r="AA365" s="40" t="e">
        <f>VLOOKUP($B365,期貨大額交易人未沖銷部位!$A$4:$O$499,13,FALSE)</f>
        <v>#N/A</v>
      </c>
      <c r="AB365" s="40" t="e">
        <f>VLOOKUP($B365,期貨大額交易人未沖銷部位!$A$4:$O$499,14,FALSE)</f>
        <v>#N/A</v>
      </c>
      <c r="AC365" s="40" t="e">
        <f>VLOOKUP($B365,期貨大額交易人未沖銷部位!$A$4:$O$499,15,FALSE)</f>
        <v>#N/A</v>
      </c>
      <c r="AD365" s="33" t="e">
        <f>VLOOKUP($B365,三大美股走勢!$A$4:$J$495,4,FALSE)</f>
        <v>#N/A</v>
      </c>
      <c r="AE365" s="33" t="e">
        <f>VLOOKUP($B365,三大美股走勢!$A$4:$J$495,7,FALSE)</f>
        <v>#N/A</v>
      </c>
      <c r="AF365" s="33" t="e">
        <f>VLOOKUP($B365,三大美股走勢!$A$4:$J$495,10,FALSE)</f>
        <v>#N/A</v>
      </c>
    </row>
    <row r="366" spans="2:32">
      <c r="B366" s="32">
        <v>43145</v>
      </c>
      <c r="C366" s="33" t="e">
        <f>VLOOKUP($B366,大盤與近月台指!$A$4:$I$499,2,FALSE)</f>
        <v>#N/A</v>
      </c>
      <c r="D366" s="34" t="e">
        <f>VLOOKUP($B366,大盤與近月台指!$A$4:$I$499,3,FALSE)</f>
        <v>#N/A</v>
      </c>
      <c r="E366" s="35" t="e">
        <f>VLOOKUP($B366,大盤與近月台指!$A$4:$I$499,4,FALSE)</f>
        <v>#N/A</v>
      </c>
      <c r="F366" s="33" t="e">
        <f>VLOOKUP($B366,大盤與近月台指!$A$4:$I$499,5,FALSE)</f>
        <v>#N/A</v>
      </c>
      <c r="G366" s="49" t="e">
        <f>VLOOKUP($B366,三大法人買賣超!$A$4:$I$500,3,FALSE)</f>
        <v>#N/A</v>
      </c>
      <c r="H366" s="34" t="e">
        <f>VLOOKUP($B366,三大法人買賣超!$A$4:$I$500,5,FALSE)</f>
        <v>#N/A</v>
      </c>
      <c r="I366" s="27" t="e">
        <f>VLOOKUP($B366,三大法人買賣超!$A$4:$I$500,7,FALSE)</f>
        <v>#N/A</v>
      </c>
      <c r="J366" s="27" t="e">
        <f>VLOOKUP($B366,三大法人買賣超!$A$4:$I$500,9,FALSE)</f>
        <v>#N/A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 t="e">
        <f>VLOOKUP($B366,外資期貨未平倉口數!$A$4:$M$499,4,FALSE)</f>
        <v>#N/A</v>
      </c>
      <c r="O366" s="27" t="e">
        <f>VLOOKUP($B366,外資期貨未平倉口數!$A$4:$M$499,9,FALSE)</f>
        <v>#N/A</v>
      </c>
      <c r="P366" s="27" t="e">
        <f>VLOOKUP($B366,外資期貨未平倉口數!$A$4:$M$499,10,FALSE)</f>
        <v>#N/A</v>
      </c>
      <c r="Q366" s="27" t="e">
        <f>VLOOKUP($B366,外資期貨未平倉口數!$A$4:$M$499,11,FALSE)</f>
        <v>#N/A</v>
      </c>
      <c r="R366" s="64" t="e">
        <f>VLOOKUP($B366,選擇權未平倉餘額!$A$4:$I$500,6,FALSE)</f>
        <v>#N/A</v>
      </c>
      <c r="S366" s="64" t="e">
        <f>VLOOKUP($B366,選擇權未平倉餘額!$A$4:$I$500,7,FALSE)</f>
        <v>#N/A</v>
      </c>
      <c r="T366" s="64" t="e">
        <f>VLOOKUP($B366,選擇權未平倉餘額!$A$4:$I$500,8,FALSE)</f>
        <v>#N/A</v>
      </c>
      <c r="U366" s="64" t="e">
        <f>VLOOKUP($B366,選擇權未平倉餘額!$A$4:$I$500,9,FALSE)</f>
        <v>#N/A</v>
      </c>
      <c r="V366" s="39" t="e">
        <f>VLOOKUP($B366,臺指選擇權P_C_Ratios!$A$4:$C$500,3,FALSE)</f>
        <v>#N/A</v>
      </c>
      <c r="W366" s="41" t="e">
        <f>VLOOKUP($B366,散戶多空比!$A$6:$L$500,12,FALSE)</f>
        <v>#N/A</v>
      </c>
      <c r="X366" s="40" t="e">
        <f>VLOOKUP($B366,期貨大額交易人未沖銷部位!$A$4:$O$499,4,FALSE)</f>
        <v>#N/A</v>
      </c>
      <c r="Y366" s="40" t="e">
        <f>VLOOKUP($B366,期貨大額交易人未沖銷部位!$A$4:$O$499,7,FALSE)</f>
        <v>#N/A</v>
      </c>
      <c r="Z366" s="40" t="e">
        <f>VLOOKUP($B366,期貨大額交易人未沖銷部位!$A$4:$O$499,10,FALSE)</f>
        <v>#N/A</v>
      </c>
      <c r="AA366" s="40" t="e">
        <f>VLOOKUP($B366,期貨大額交易人未沖銷部位!$A$4:$O$499,13,FALSE)</f>
        <v>#N/A</v>
      </c>
      <c r="AB366" s="40" t="e">
        <f>VLOOKUP($B366,期貨大額交易人未沖銷部位!$A$4:$O$499,14,FALSE)</f>
        <v>#N/A</v>
      </c>
      <c r="AC366" s="40" t="e">
        <f>VLOOKUP($B366,期貨大額交易人未沖銷部位!$A$4:$O$499,15,FALSE)</f>
        <v>#N/A</v>
      </c>
      <c r="AD366" s="33" t="e">
        <f>VLOOKUP($B366,三大美股走勢!$A$4:$J$495,4,FALSE)</f>
        <v>#N/A</v>
      </c>
      <c r="AE366" s="33" t="e">
        <f>VLOOKUP($B366,三大美股走勢!$A$4:$J$495,7,FALSE)</f>
        <v>#N/A</v>
      </c>
      <c r="AF366" s="33" t="e">
        <f>VLOOKUP($B366,三大美股走勢!$A$4:$J$495,10,FALSE)</f>
        <v>#N/A</v>
      </c>
    </row>
    <row r="367" spans="2:32">
      <c r="B367" s="32">
        <v>43146</v>
      </c>
      <c r="C367" s="33" t="e">
        <f>VLOOKUP($B367,大盤與近月台指!$A$4:$I$499,2,FALSE)</f>
        <v>#N/A</v>
      </c>
      <c r="D367" s="34" t="e">
        <f>VLOOKUP($B367,大盤與近月台指!$A$4:$I$499,3,FALSE)</f>
        <v>#N/A</v>
      </c>
      <c r="E367" s="35" t="e">
        <f>VLOOKUP($B367,大盤與近月台指!$A$4:$I$499,4,FALSE)</f>
        <v>#N/A</v>
      </c>
      <c r="F367" s="33" t="e">
        <f>VLOOKUP($B367,大盤與近月台指!$A$4:$I$499,5,FALSE)</f>
        <v>#N/A</v>
      </c>
      <c r="G367" s="49" t="e">
        <f>VLOOKUP($B367,三大法人買賣超!$A$4:$I$500,3,FALSE)</f>
        <v>#N/A</v>
      </c>
      <c r="H367" s="34" t="e">
        <f>VLOOKUP($B367,三大法人買賣超!$A$4:$I$500,5,FALSE)</f>
        <v>#N/A</v>
      </c>
      <c r="I367" s="27" t="e">
        <f>VLOOKUP($B367,三大法人買賣超!$A$4:$I$500,7,FALSE)</f>
        <v>#N/A</v>
      </c>
      <c r="J367" s="27" t="e">
        <f>VLOOKUP($B367,三大法人買賣超!$A$4:$I$500,9,FALSE)</f>
        <v>#N/A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 t="e">
        <f>VLOOKUP($B367,外資期貨未平倉口數!$A$4:$M$499,4,FALSE)</f>
        <v>#N/A</v>
      </c>
      <c r="O367" s="27" t="e">
        <f>VLOOKUP($B367,外資期貨未平倉口數!$A$4:$M$499,9,FALSE)</f>
        <v>#N/A</v>
      </c>
      <c r="P367" s="27" t="e">
        <f>VLOOKUP($B367,外資期貨未平倉口數!$A$4:$M$499,10,FALSE)</f>
        <v>#N/A</v>
      </c>
      <c r="Q367" s="27" t="e">
        <f>VLOOKUP($B367,外資期貨未平倉口數!$A$4:$M$499,11,FALSE)</f>
        <v>#N/A</v>
      </c>
      <c r="R367" s="64" t="e">
        <f>VLOOKUP($B367,選擇權未平倉餘額!$A$4:$I$500,6,FALSE)</f>
        <v>#N/A</v>
      </c>
      <c r="S367" s="64" t="e">
        <f>VLOOKUP($B367,選擇權未平倉餘額!$A$4:$I$500,7,FALSE)</f>
        <v>#N/A</v>
      </c>
      <c r="T367" s="64" t="e">
        <f>VLOOKUP($B367,選擇權未平倉餘額!$A$4:$I$500,8,FALSE)</f>
        <v>#N/A</v>
      </c>
      <c r="U367" s="64" t="e">
        <f>VLOOKUP($B367,選擇權未平倉餘額!$A$4:$I$500,9,FALSE)</f>
        <v>#N/A</v>
      </c>
      <c r="V367" s="39" t="e">
        <f>VLOOKUP($B367,臺指選擇權P_C_Ratios!$A$4:$C$500,3,FALSE)</f>
        <v>#N/A</v>
      </c>
      <c r="W367" s="41" t="e">
        <f>VLOOKUP($B367,散戶多空比!$A$6:$L$500,12,FALSE)</f>
        <v>#N/A</v>
      </c>
      <c r="X367" s="40" t="e">
        <f>VLOOKUP($B367,期貨大額交易人未沖銷部位!$A$4:$O$499,4,FALSE)</f>
        <v>#N/A</v>
      </c>
      <c r="Y367" s="40" t="e">
        <f>VLOOKUP($B367,期貨大額交易人未沖銷部位!$A$4:$O$499,7,FALSE)</f>
        <v>#N/A</v>
      </c>
      <c r="Z367" s="40" t="e">
        <f>VLOOKUP($B367,期貨大額交易人未沖銷部位!$A$4:$O$499,10,FALSE)</f>
        <v>#N/A</v>
      </c>
      <c r="AA367" s="40" t="e">
        <f>VLOOKUP($B367,期貨大額交易人未沖銷部位!$A$4:$O$499,13,FALSE)</f>
        <v>#N/A</v>
      </c>
      <c r="AB367" s="40" t="e">
        <f>VLOOKUP($B367,期貨大額交易人未沖銷部位!$A$4:$O$499,14,FALSE)</f>
        <v>#N/A</v>
      </c>
      <c r="AC367" s="40" t="e">
        <f>VLOOKUP($B367,期貨大額交易人未沖銷部位!$A$4:$O$499,15,FALSE)</f>
        <v>#N/A</v>
      </c>
      <c r="AD367" s="33" t="e">
        <f>VLOOKUP($B367,三大美股走勢!$A$4:$J$495,4,FALSE)</f>
        <v>#N/A</v>
      </c>
      <c r="AE367" s="33" t="e">
        <f>VLOOKUP($B367,三大美股走勢!$A$4:$J$495,7,FALSE)</f>
        <v>#N/A</v>
      </c>
      <c r="AF367" s="33" t="e">
        <f>VLOOKUP($B367,三大美股走勢!$A$4:$J$495,10,FALSE)</f>
        <v>#N/A</v>
      </c>
    </row>
    <row r="368" spans="2:32">
      <c r="B368" s="32">
        <v>43147</v>
      </c>
      <c r="C368" s="33" t="e">
        <f>VLOOKUP($B368,大盤與近月台指!$A$4:$I$499,2,FALSE)</f>
        <v>#N/A</v>
      </c>
      <c r="D368" s="34" t="e">
        <f>VLOOKUP($B368,大盤與近月台指!$A$4:$I$499,3,FALSE)</f>
        <v>#N/A</v>
      </c>
      <c r="E368" s="35" t="e">
        <f>VLOOKUP($B368,大盤與近月台指!$A$4:$I$499,4,FALSE)</f>
        <v>#N/A</v>
      </c>
      <c r="F368" s="33" t="e">
        <f>VLOOKUP($B368,大盤與近月台指!$A$4:$I$499,5,FALSE)</f>
        <v>#N/A</v>
      </c>
      <c r="G368" s="49" t="e">
        <f>VLOOKUP($B368,三大法人買賣超!$A$4:$I$500,3,FALSE)</f>
        <v>#N/A</v>
      </c>
      <c r="H368" s="34" t="e">
        <f>VLOOKUP($B368,三大法人買賣超!$A$4:$I$500,5,FALSE)</f>
        <v>#N/A</v>
      </c>
      <c r="I368" s="27" t="e">
        <f>VLOOKUP($B368,三大法人買賣超!$A$4:$I$500,7,FALSE)</f>
        <v>#N/A</v>
      </c>
      <c r="J368" s="27" t="e">
        <f>VLOOKUP($B368,三大法人買賣超!$A$4:$I$500,9,FALSE)</f>
        <v>#N/A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 t="e">
        <f>VLOOKUP($B368,外資期貨未平倉口數!$A$4:$M$499,4,FALSE)</f>
        <v>#N/A</v>
      </c>
      <c r="O368" s="27" t="e">
        <f>VLOOKUP($B368,外資期貨未平倉口數!$A$4:$M$499,9,FALSE)</f>
        <v>#N/A</v>
      </c>
      <c r="P368" s="27" t="e">
        <f>VLOOKUP($B368,外資期貨未平倉口數!$A$4:$M$499,10,FALSE)</f>
        <v>#N/A</v>
      </c>
      <c r="Q368" s="27" t="e">
        <f>VLOOKUP($B368,外資期貨未平倉口數!$A$4:$M$499,11,FALSE)</f>
        <v>#N/A</v>
      </c>
      <c r="R368" s="64" t="e">
        <f>VLOOKUP($B368,選擇權未平倉餘額!$A$4:$I$500,6,FALSE)</f>
        <v>#N/A</v>
      </c>
      <c r="S368" s="64" t="e">
        <f>VLOOKUP($B368,選擇權未平倉餘額!$A$4:$I$500,7,FALSE)</f>
        <v>#N/A</v>
      </c>
      <c r="T368" s="64" t="e">
        <f>VLOOKUP($B368,選擇權未平倉餘額!$A$4:$I$500,8,FALSE)</f>
        <v>#N/A</v>
      </c>
      <c r="U368" s="64" t="e">
        <f>VLOOKUP($B368,選擇權未平倉餘額!$A$4:$I$500,9,FALSE)</f>
        <v>#N/A</v>
      </c>
      <c r="V368" s="39" t="e">
        <f>VLOOKUP($B368,臺指選擇權P_C_Ratios!$A$4:$C$500,3,FALSE)</f>
        <v>#N/A</v>
      </c>
      <c r="W368" s="41" t="e">
        <f>VLOOKUP($B368,散戶多空比!$A$6:$L$500,12,FALSE)</f>
        <v>#N/A</v>
      </c>
      <c r="X368" s="40" t="e">
        <f>VLOOKUP($B368,期貨大額交易人未沖銷部位!$A$4:$O$499,4,FALSE)</f>
        <v>#N/A</v>
      </c>
      <c r="Y368" s="40" t="e">
        <f>VLOOKUP($B368,期貨大額交易人未沖銷部位!$A$4:$O$499,7,FALSE)</f>
        <v>#N/A</v>
      </c>
      <c r="Z368" s="40" t="e">
        <f>VLOOKUP($B368,期貨大額交易人未沖銷部位!$A$4:$O$499,10,FALSE)</f>
        <v>#N/A</v>
      </c>
      <c r="AA368" s="40" t="e">
        <f>VLOOKUP($B368,期貨大額交易人未沖銷部位!$A$4:$O$499,13,FALSE)</f>
        <v>#N/A</v>
      </c>
      <c r="AB368" s="40" t="e">
        <f>VLOOKUP($B368,期貨大額交易人未沖銷部位!$A$4:$O$499,14,FALSE)</f>
        <v>#N/A</v>
      </c>
      <c r="AC368" s="40" t="e">
        <f>VLOOKUP($B368,期貨大額交易人未沖銷部位!$A$4:$O$499,15,FALSE)</f>
        <v>#N/A</v>
      </c>
      <c r="AD368" s="33" t="e">
        <f>VLOOKUP($B368,三大美股走勢!$A$4:$J$495,4,FALSE)</f>
        <v>#N/A</v>
      </c>
      <c r="AE368" s="33" t="e">
        <f>VLOOKUP($B368,三大美股走勢!$A$4:$J$495,7,FALSE)</f>
        <v>#N/A</v>
      </c>
      <c r="AF368" s="33" t="e">
        <f>VLOOKUP($B368,三大美股走勢!$A$4:$J$495,10,FALSE)</f>
        <v>#N/A</v>
      </c>
    </row>
    <row r="369" spans="2:32">
      <c r="B369" s="32">
        <v>43148</v>
      </c>
      <c r="C369" s="33" t="e">
        <f>VLOOKUP($B369,大盤與近月台指!$A$4:$I$499,2,FALSE)</f>
        <v>#N/A</v>
      </c>
      <c r="D369" s="34" t="e">
        <f>VLOOKUP($B369,大盤與近月台指!$A$4:$I$499,3,FALSE)</f>
        <v>#N/A</v>
      </c>
      <c r="E369" s="35" t="e">
        <f>VLOOKUP($B369,大盤與近月台指!$A$4:$I$499,4,FALSE)</f>
        <v>#N/A</v>
      </c>
      <c r="F369" s="33" t="e">
        <f>VLOOKUP($B369,大盤與近月台指!$A$4:$I$499,5,FALSE)</f>
        <v>#N/A</v>
      </c>
      <c r="G369" s="49" t="e">
        <f>VLOOKUP($B369,三大法人買賣超!$A$4:$I$500,3,FALSE)</f>
        <v>#N/A</v>
      </c>
      <c r="H369" s="34" t="e">
        <f>VLOOKUP($B369,三大法人買賣超!$A$4:$I$500,5,FALSE)</f>
        <v>#N/A</v>
      </c>
      <c r="I369" s="27" t="e">
        <f>VLOOKUP($B369,三大法人買賣超!$A$4:$I$500,7,FALSE)</f>
        <v>#N/A</v>
      </c>
      <c r="J369" s="27" t="e">
        <f>VLOOKUP($B369,三大法人買賣超!$A$4:$I$500,9,FALSE)</f>
        <v>#N/A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 t="e">
        <f>VLOOKUP($B369,外資期貨未平倉口數!$A$4:$M$499,4,FALSE)</f>
        <v>#N/A</v>
      </c>
      <c r="O369" s="27" t="e">
        <f>VLOOKUP($B369,外資期貨未平倉口數!$A$4:$M$499,9,FALSE)</f>
        <v>#N/A</v>
      </c>
      <c r="P369" s="27" t="e">
        <f>VLOOKUP($B369,外資期貨未平倉口數!$A$4:$M$499,10,FALSE)</f>
        <v>#N/A</v>
      </c>
      <c r="Q369" s="27" t="e">
        <f>VLOOKUP($B369,外資期貨未平倉口數!$A$4:$M$499,11,FALSE)</f>
        <v>#N/A</v>
      </c>
      <c r="R369" s="64" t="e">
        <f>VLOOKUP($B369,選擇權未平倉餘額!$A$4:$I$500,6,FALSE)</f>
        <v>#N/A</v>
      </c>
      <c r="S369" s="64" t="e">
        <f>VLOOKUP($B369,選擇權未平倉餘額!$A$4:$I$500,7,FALSE)</f>
        <v>#N/A</v>
      </c>
      <c r="T369" s="64" t="e">
        <f>VLOOKUP($B369,選擇權未平倉餘額!$A$4:$I$500,8,FALSE)</f>
        <v>#N/A</v>
      </c>
      <c r="U369" s="64" t="e">
        <f>VLOOKUP($B369,選擇權未平倉餘額!$A$4:$I$500,9,FALSE)</f>
        <v>#N/A</v>
      </c>
      <c r="V369" s="39" t="e">
        <f>VLOOKUP($B369,臺指選擇權P_C_Ratios!$A$4:$C$500,3,FALSE)</f>
        <v>#N/A</v>
      </c>
      <c r="W369" s="41" t="e">
        <f>VLOOKUP($B369,散戶多空比!$A$6:$L$500,12,FALSE)</f>
        <v>#N/A</v>
      </c>
      <c r="X369" s="40" t="e">
        <f>VLOOKUP($B369,期貨大額交易人未沖銷部位!$A$4:$O$499,4,FALSE)</f>
        <v>#N/A</v>
      </c>
      <c r="Y369" s="40" t="e">
        <f>VLOOKUP($B369,期貨大額交易人未沖銷部位!$A$4:$O$499,7,FALSE)</f>
        <v>#N/A</v>
      </c>
      <c r="Z369" s="40" t="e">
        <f>VLOOKUP($B369,期貨大額交易人未沖銷部位!$A$4:$O$499,10,FALSE)</f>
        <v>#N/A</v>
      </c>
      <c r="AA369" s="40" t="e">
        <f>VLOOKUP($B369,期貨大額交易人未沖銷部位!$A$4:$O$499,13,FALSE)</f>
        <v>#N/A</v>
      </c>
      <c r="AB369" s="40" t="e">
        <f>VLOOKUP($B369,期貨大額交易人未沖銷部位!$A$4:$O$499,14,FALSE)</f>
        <v>#N/A</v>
      </c>
      <c r="AC369" s="40" t="e">
        <f>VLOOKUP($B369,期貨大額交易人未沖銷部位!$A$4:$O$499,15,FALSE)</f>
        <v>#N/A</v>
      </c>
      <c r="AD369" s="33" t="e">
        <f>VLOOKUP($B369,三大美股走勢!$A$4:$J$495,4,FALSE)</f>
        <v>#N/A</v>
      </c>
      <c r="AE369" s="33" t="e">
        <f>VLOOKUP($B369,三大美股走勢!$A$4:$J$495,7,FALSE)</f>
        <v>#N/A</v>
      </c>
      <c r="AF369" s="33" t="e">
        <f>VLOOKUP($B369,三大美股走勢!$A$4:$J$495,10,FALSE)</f>
        <v>#N/A</v>
      </c>
    </row>
    <row r="370" spans="2:32">
      <c r="B370" s="32">
        <v>43149</v>
      </c>
      <c r="C370" s="33" t="e">
        <f>VLOOKUP($B370,大盤與近月台指!$A$4:$I$499,2,FALSE)</f>
        <v>#N/A</v>
      </c>
      <c r="D370" s="34" t="e">
        <f>VLOOKUP($B370,大盤與近月台指!$A$4:$I$499,3,FALSE)</f>
        <v>#N/A</v>
      </c>
      <c r="E370" s="35" t="e">
        <f>VLOOKUP($B370,大盤與近月台指!$A$4:$I$499,4,FALSE)</f>
        <v>#N/A</v>
      </c>
      <c r="F370" s="33" t="e">
        <f>VLOOKUP($B370,大盤與近月台指!$A$4:$I$499,5,FALSE)</f>
        <v>#N/A</v>
      </c>
      <c r="G370" s="49" t="e">
        <f>VLOOKUP($B370,三大法人買賣超!$A$4:$I$500,3,FALSE)</f>
        <v>#N/A</v>
      </c>
      <c r="H370" s="34" t="e">
        <f>VLOOKUP($B370,三大法人買賣超!$A$4:$I$500,5,FALSE)</f>
        <v>#N/A</v>
      </c>
      <c r="I370" s="27" t="e">
        <f>VLOOKUP($B370,三大法人買賣超!$A$4:$I$500,7,FALSE)</f>
        <v>#N/A</v>
      </c>
      <c r="J370" s="27" t="e">
        <f>VLOOKUP($B370,三大法人買賣超!$A$4:$I$500,9,FALSE)</f>
        <v>#N/A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 t="e">
        <f>VLOOKUP($B370,外資期貨未平倉口數!$A$4:$M$499,4,FALSE)</f>
        <v>#N/A</v>
      </c>
      <c r="O370" s="27" t="e">
        <f>VLOOKUP($B370,外資期貨未平倉口數!$A$4:$M$499,9,FALSE)</f>
        <v>#N/A</v>
      </c>
      <c r="P370" s="27" t="e">
        <f>VLOOKUP($B370,外資期貨未平倉口數!$A$4:$M$499,10,FALSE)</f>
        <v>#N/A</v>
      </c>
      <c r="Q370" s="27" t="e">
        <f>VLOOKUP($B370,外資期貨未平倉口數!$A$4:$M$499,11,FALSE)</f>
        <v>#N/A</v>
      </c>
      <c r="R370" s="64" t="e">
        <f>VLOOKUP($B370,選擇權未平倉餘額!$A$4:$I$500,6,FALSE)</f>
        <v>#N/A</v>
      </c>
      <c r="S370" s="64" t="e">
        <f>VLOOKUP($B370,選擇權未平倉餘額!$A$4:$I$500,7,FALSE)</f>
        <v>#N/A</v>
      </c>
      <c r="T370" s="64" t="e">
        <f>VLOOKUP($B370,選擇權未平倉餘額!$A$4:$I$500,8,FALSE)</f>
        <v>#N/A</v>
      </c>
      <c r="U370" s="64" t="e">
        <f>VLOOKUP($B370,選擇權未平倉餘額!$A$4:$I$500,9,FALSE)</f>
        <v>#N/A</v>
      </c>
      <c r="V370" s="39" t="e">
        <f>VLOOKUP($B370,臺指選擇權P_C_Ratios!$A$4:$C$500,3,FALSE)</f>
        <v>#N/A</v>
      </c>
      <c r="W370" s="41" t="e">
        <f>VLOOKUP($B370,散戶多空比!$A$6:$L$500,12,FALSE)</f>
        <v>#N/A</v>
      </c>
      <c r="X370" s="40" t="e">
        <f>VLOOKUP($B370,期貨大額交易人未沖銷部位!$A$4:$O$499,4,FALSE)</f>
        <v>#N/A</v>
      </c>
      <c r="Y370" s="40" t="e">
        <f>VLOOKUP($B370,期貨大額交易人未沖銷部位!$A$4:$O$499,7,FALSE)</f>
        <v>#N/A</v>
      </c>
      <c r="Z370" s="40" t="e">
        <f>VLOOKUP($B370,期貨大額交易人未沖銷部位!$A$4:$O$499,10,FALSE)</f>
        <v>#N/A</v>
      </c>
      <c r="AA370" s="40" t="e">
        <f>VLOOKUP($B370,期貨大額交易人未沖銷部位!$A$4:$O$499,13,FALSE)</f>
        <v>#N/A</v>
      </c>
      <c r="AB370" s="40" t="e">
        <f>VLOOKUP($B370,期貨大額交易人未沖銷部位!$A$4:$O$499,14,FALSE)</f>
        <v>#N/A</v>
      </c>
      <c r="AC370" s="40" t="e">
        <f>VLOOKUP($B370,期貨大額交易人未沖銷部位!$A$4:$O$499,15,FALSE)</f>
        <v>#N/A</v>
      </c>
      <c r="AD370" s="33" t="e">
        <f>VLOOKUP($B370,三大美股走勢!$A$4:$J$495,4,FALSE)</f>
        <v>#N/A</v>
      </c>
      <c r="AE370" s="33" t="e">
        <f>VLOOKUP($B370,三大美股走勢!$A$4:$J$495,7,FALSE)</f>
        <v>#N/A</v>
      </c>
      <c r="AF370" s="33" t="e">
        <f>VLOOKUP($B370,三大美股走勢!$A$4:$J$495,10,FALSE)</f>
        <v>#N/A</v>
      </c>
    </row>
    <row r="371" spans="2:32">
      <c r="B371" s="32">
        <v>43150</v>
      </c>
      <c r="C371" s="33" t="e">
        <f>VLOOKUP($B371,大盤與近月台指!$A$4:$I$499,2,FALSE)</f>
        <v>#N/A</v>
      </c>
      <c r="D371" s="34" t="e">
        <f>VLOOKUP($B371,大盤與近月台指!$A$4:$I$499,3,FALSE)</f>
        <v>#N/A</v>
      </c>
      <c r="E371" s="35" t="e">
        <f>VLOOKUP($B371,大盤與近月台指!$A$4:$I$499,4,FALSE)</f>
        <v>#N/A</v>
      </c>
      <c r="F371" s="33" t="e">
        <f>VLOOKUP($B371,大盤與近月台指!$A$4:$I$499,5,FALSE)</f>
        <v>#N/A</v>
      </c>
      <c r="G371" s="49" t="e">
        <f>VLOOKUP($B371,三大法人買賣超!$A$4:$I$500,3,FALSE)</f>
        <v>#N/A</v>
      </c>
      <c r="H371" s="34" t="e">
        <f>VLOOKUP($B371,三大法人買賣超!$A$4:$I$500,5,FALSE)</f>
        <v>#N/A</v>
      </c>
      <c r="I371" s="27" t="e">
        <f>VLOOKUP($B371,三大法人買賣超!$A$4:$I$500,7,FALSE)</f>
        <v>#N/A</v>
      </c>
      <c r="J371" s="27" t="e">
        <f>VLOOKUP($B371,三大法人買賣超!$A$4:$I$500,9,FALSE)</f>
        <v>#N/A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 t="e">
        <f>VLOOKUP($B371,外資期貨未平倉口數!$A$4:$M$499,4,FALSE)</f>
        <v>#N/A</v>
      </c>
      <c r="O371" s="27" t="e">
        <f>VLOOKUP($B371,外資期貨未平倉口數!$A$4:$M$499,9,FALSE)</f>
        <v>#N/A</v>
      </c>
      <c r="P371" s="27" t="e">
        <f>VLOOKUP($B371,外資期貨未平倉口數!$A$4:$M$499,10,FALSE)</f>
        <v>#N/A</v>
      </c>
      <c r="Q371" s="27" t="e">
        <f>VLOOKUP($B371,外資期貨未平倉口數!$A$4:$M$499,11,FALSE)</f>
        <v>#N/A</v>
      </c>
      <c r="R371" s="64" t="e">
        <f>VLOOKUP($B371,選擇權未平倉餘額!$A$4:$I$500,6,FALSE)</f>
        <v>#N/A</v>
      </c>
      <c r="S371" s="64" t="e">
        <f>VLOOKUP($B371,選擇權未平倉餘額!$A$4:$I$500,7,FALSE)</f>
        <v>#N/A</v>
      </c>
      <c r="T371" s="64" t="e">
        <f>VLOOKUP($B371,選擇權未平倉餘額!$A$4:$I$500,8,FALSE)</f>
        <v>#N/A</v>
      </c>
      <c r="U371" s="64" t="e">
        <f>VLOOKUP($B371,選擇權未平倉餘額!$A$4:$I$500,9,FALSE)</f>
        <v>#N/A</v>
      </c>
      <c r="V371" s="39" t="e">
        <f>VLOOKUP($B371,臺指選擇權P_C_Ratios!$A$4:$C$500,3,FALSE)</f>
        <v>#N/A</v>
      </c>
      <c r="W371" s="41" t="e">
        <f>VLOOKUP($B371,散戶多空比!$A$6:$L$500,12,FALSE)</f>
        <v>#N/A</v>
      </c>
      <c r="X371" s="40" t="e">
        <f>VLOOKUP($B371,期貨大額交易人未沖銷部位!$A$4:$O$499,4,FALSE)</f>
        <v>#N/A</v>
      </c>
      <c r="Y371" s="40" t="e">
        <f>VLOOKUP($B371,期貨大額交易人未沖銷部位!$A$4:$O$499,7,FALSE)</f>
        <v>#N/A</v>
      </c>
      <c r="Z371" s="40" t="e">
        <f>VLOOKUP($B371,期貨大額交易人未沖銷部位!$A$4:$O$499,10,FALSE)</f>
        <v>#N/A</v>
      </c>
      <c r="AA371" s="40" t="e">
        <f>VLOOKUP($B371,期貨大額交易人未沖銷部位!$A$4:$O$499,13,FALSE)</f>
        <v>#N/A</v>
      </c>
      <c r="AB371" s="40" t="e">
        <f>VLOOKUP($B371,期貨大額交易人未沖銷部位!$A$4:$O$499,14,FALSE)</f>
        <v>#N/A</v>
      </c>
      <c r="AC371" s="40" t="e">
        <f>VLOOKUP($B371,期貨大額交易人未沖銷部位!$A$4:$O$499,15,FALSE)</f>
        <v>#N/A</v>
      </c>
      <c r="AD371" s="33" t="e">
        <f>VLOOKUP($B371,三大美股走勢!$A$4:$J$495,4,FALSE)</f>
        <v>#N/A</v>
      </c>
      <c r="AE371" s="33" t="e">
        <f>VLOOKUP($B371,三大美股走勢!$A$4:$J$495,7,FALSE)</f>
        <v>#N/A</v>
      </c>
      <c r="AF371" s="33" t="e">
        <f>VLOOKUP($B371,三大美股走勢!$A$4:$J$495,10,FALSE)</f>
        <v>#N/A</v>
      </c>
    </row>
    <row r="372" spans="2:32">
      <c r="B372" s="32">
        <v>43151</v>
      </c>
      <c r="C372" s="33" t="e">
        <f>VLOOKUP($B372,大盤與近月台指!$A$4:$I$499,2,FALSE)</f>
        <v>#N/A</v>
      </c>
      <c r="D372" s="34" t="e">
        <f>VLOOKUP($B372,大盤與近月台指!$A$4:$I$499,3,FALSE)</f>
        <v>#N/A</v>
      </c>
      <c r="E372" s="35" t="e">
        <f>VLOOKUP($B372,大盤與近月台指!$A$4:$I$499,4,FALSE)</f>
        <v>#N/A</v>
      </c>
      <c r="F372" s="33" t="e">
        <f>VLOOKUP($B372,大盤與近月台指!$A$4:$I$499,5,FALSE)</f>
        <v>#N/A</v>
      </c>
      <c r="G372" s="49" t="e">
        <f>VLOOKUP($B372,三大法人買賣超!$A$4:$I$500,3,FALSE)</f>
        <v>#N/A</v>
      </c>
      <c r="H372" s="34" t="e">
        <f>VLOOKUP($B372,三大法人買賣超!$A$4:$I$500,5,FALSE)</f>
        <v>#N/A</v>
      </c>
      <c r="I372" s="27" t="e">
        <f>VLOOKUP($B372,三大法人買賣超!$A$4:$I$500,7,FALSE)</f>
        <v>#N/A</v>
      </c>
      <c r="J372" s="27" t="e">
        <f>VLOOKUP($B372,三大法人買賣超!$A$4:$I$500,9,FALSE)</f>
        <v>#N/A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0</v>
      </c>
      <c r="N372" s="27" t="e">
        <f>VLOOKUP($B372,外資期貨未平倉口數!$A$4:$M$499,4,FALSE)</f>
        <v>#N/A</v>
      </c>
      <c r="O372" s="27" t="e">
        <f>VLOOKUP($B372,外資期貨未平倉口數!$A$4:$M$499,9,FALSE)</f>
        <v>#N/A</v>
      </c>
      <c r="P372" s="27" t="e">
        <f>VLOOKUP($B372,外資期貨未平倉口數!$A$4:$M$499,10,FALSE)</f>
        <v>#N/A</v>
      </c>
      <c r="Q372" s="27" t="e">
        <f>VLOOKUP($B372,外資期貨未平倉口數!$A$4:$M$499,11,FALSE)</f>
        <v>#N/A</v>
      </c>
      <c r="R372" s="64" t="e">
        <f>VLOOKUP($B372,選擇權未平倉餘額!$A$4:$I$500,6,FALSE)</f>
        <v>#N/A</v>
      </c>
      <c r="S372" s="64" t="e">
        <f>VLOOKUP($B372,選擇權未平倉餘額!$A$4:$I$500,7,FALSE)</f>
        <v>#N/A</v>
      </c>
      <c r="T372" s="64" t="e">
        <f>VLOOKUP($B372,選擇權未平倉餘額!$A$4:$I$500,8,FALSE)</f>
        <v>#N/A</v>
      </c>
      <c r="U372" s="64" t="e">
        <f>VLOOKUP($B372,選擇權未平倉餘額!$A$4:$I$500,9,FALSE)</f>
        <v>#N/A</v>
      </c>
      <c r="V372" s="39" t="e">
        <f>VLOOKUP($B372,臺指選擇權P_C_Ratios!$A$4:$C$500,3,FALSE)</f>
        <v>#N/A</v>
      </c>
      <c r="W372" s="41" t="e">
        <f>VLOOKUP($B372,散戶多空比!$A$6:$L$500,12,FALSE)</f>
        <v>#N/A</v>
      </c>
      <c r="X372" s="40" t="e">
        <f>VLOOKUP($B372,期貨大額交易人未沖銷部位!$A$4:$O$499,4,FALSE)</f>
        <v>#N/A</v>
      </c>
      <c r="Y372" s="40" t="e">
        <f>VLOOKUP($B372,期貨大額交易人未沖銷部位!$A$4:$O$499,7,FALSE)</f>
        <v>#N/A</v>
      </c>
      <c r="Z372" s="40" t="e">
        <f>VLOOKUP($B372,期貨大額交易人未沖銷部位!$A$4:$O$499,10,FALSE)</f>
        <v>#N/A</v>
      </c>
      <c r="AA372" s="40" t="e">
        <f>VLOOKUP($B372,期貨大額交易人未沖銷部位!$A$4:$O$499,13,FALSE)</f>
        <v>#N/A</v>
      </c>
      <c r="AB372" s="40" t="e">
        <f>VLOOKUP($B372,期貨大額交易人未沖銷部位!$A$4:$O$499,14,FALSE)</f>
        <v>#N/A</v>
      </c>
      <c r="AC372" s="40" t="e">
        <f>VLOOKUP($B372,期貨大額交易人未沖銷部位!$A$4:$O$499,15,FALSE)</f>
        <v>#N/A</v>
      </c>
      <c r="AD372" s="33" t="e">
        <f>VLOOKUP($B372,三大美股走勢!$A$4:$J$495,4,FALSE)</f>
        <v>#N/A</v>
      </c>
      <c r="AE372" s="33" t="e">
        <f>VLOOKUP($B372,三大美股走勢!$A$4:$J$495,7,FALSE)</f>
        <v>#N/A</v>
      </c>
      <c r="AF372" s="33" t="e">
        <f>VLOOKUP($B372,三大美股走勢!$A$4:$J$495,10,FALSE)</f>
        <v>#N/A</v>
      </c>
    </row>
    <row r="373" spans="2:32">
      <c r="B373" s="32">
        <v>43152</v>
      </c>
      <c r="C373" s="33" t="e">
        <f>VLOOKUP($B373,大盤與近月台指!$A$4:$I$499,2,FALSE)</f>
        <v>#N/A</v>
      </c>
      <c r="D373" s="34" t="e">
        <f>VLOOKUP($B373,大盤與近月台指!$A$4:$I$499,3,FALSE)</f>
        <v>#N/A</v>
      </c>
      <c r="E373" s="35" t="e">
        <f>VLOOKUP($B373,大盤與近月台指!$A$4:$I$499,4,FALSE)</f>
        <v>#N/A</v>
      </c>
      <c r="F373" s="33" t="e">
        <f>VLOOKUP($B373,大盤與近月台指!$A$4:$I$499,5,FALSE)</f>
        <v>#N/A</v>
      </c>
      <c r="G373" s="49" t="e">
        <f>VLOOKUP($B373,三大法人買賣超!$A$4:$I$500,3,FALSE)</f>
        <v>#N/A</v>
      </c>
      <c r="H373" s="34" t="e">
        <f>VLOOKUP($B373,三大法人買賣超!$A$4:$I$500,5,FALSE)</f>
        <v>#N/A</v>
      </c>
      <c r="I373" s="27" t="e">
        <f>VLOOKUP($B373,三大法人買賣超!$A$4:$I$500,7,FALSE)</f>
        <v>#N/A</v>
      </c>
      <c r="J373" s="27" t="e">
        <f>VLOOKUP($B373,三大法人買賣超!$A$4:$I$500,9,FALSE)</f>
        <v>#N/A</v>
      </c>
      <c r="K373" s="37">
        <f>新台幣匯率美元指數!B374</f>
        <v>0</v>
      </c>
      <c r="L373" s="38">
        <f>新台幣匯率美元指數!C374</f>
        <v>0</v>
      </c>
      <c r="M373" s="39">
        <f>新台幣匯率美元指數!D374</f>
        <v>0</v>
      </c>
      <c r="N373" s="27" t="e">
        <f>VLOOKUP($B373,外資期貨未平倉口數!$A$4:$M$499,4,FALSE)</f>
        <v>#N/A</v>
      </c>
      <c r="O373" s="27" t="e">
        <f>VLOOKUP($B373,外資期貨未平倉口數!$A$4:$M$499,9,FALSE)</f>
        <v>#N/A</v>
      </c>
      <c r="P373" s="27" t="e">
        <f>VLOOKUP($B373,外資期貨未平倉口數!$A$4:$M$499,10,FALSE)</f>
        <v>#N/A</v>
      </c>
      <c r="Q373" s="27" t="e">
        <f>VLOOKUP($B373,外資期貨未平倉口數!$A$4:$M$499,11,FALSE)</f>
        <v>#N/A</v>
      </c>
      <c r="R373" s="64" t="e">
        <f>VLOOKUP($B373,選擇權未平倉餘額!$A$4:$I$500,6,FALSE)</f>
        <v>#N/A</v>
      </c>
      <c r="S373" s="64" t="e">
        <f>VLOOKUP($B373,選擇權未平倉餘額!$A$4:$I$500,7,FALSE)</f>
        <v>#N/A</v>
      </c>
      <c r="T373" s="64" t="e">
        <f>VLOOKUP($B373,選擇權未平倉餘額!$A$4:$I$500,8,FALSE)</f>
        <v>#N/A</v>
      </c>
      <c r="U373" s="64" t="e">
        <f>VLOOKUP($B373,選擇權未平倉餘額!$A$4:$I$500,9,FALSE)</f>
        <v>#N/A</v>
      </c>
      <c r="V373" s="39" t="e">
        <f>VLOOKUP($B373,臺指選擇權P_C_Ratios!$A$4:$C$500,3,FALSE)</f>
        <v>#N/A</v>
      </c>
      <c r="W373" s="41" t="e">
        <f>VLOOKUP($B373,散戶多空比!$A$6:$L$500,12,FALSE)</f>
        <v>#N/A</v>
      </c>
      <c r="X373" s="40" t="e">
        <f>VLOOKUP($B373,期貨大額交易人未沖銷部位!$A$4:$O$499,4,FALSE)</f>
        <v>#N/A</v>
      </c>
      <c r="Y373" s="40" t="e">
        <f>VLOOKUP($B373,期貨大額交易人未沖銷部位!$A$4:$O$499,7,FALSE)</f>
        <v>#N/A</v>
      </c>
      <c r="Z373" s="40" t="e">
        <f>VLOOKUP($B373,期貨大額交易人未沖銷部位!$A$4:$O$499,10,FALSE)</f>
        <v>#N/A</v>
      </c>
      <c r="AA373" s="40" t="e">
        <f>VLOOKUP($B373,期貨大額交易人未沖銷部位!$A$4:$O$499,13,FALSE)</f>
        <v>#N/A</v>
      </c>
      <c r="AB373" s="40" t="e">
        <f>VLOOKUP($B373,期貨大額交易人未沖銷部位!$A$4:$O$499,14,FALSE)</f>
        <v>#N/A</v>
      </c>
      <c r="AC373" s="40" t="e">
        <f>VLOOKUP($B373,期貨大額交易人未沖銷部位!$A$4:$O$499,15,FALSE)</f>
        <v>#N/A</v>
      </c>
      <c r="AD373" s="33" t="e">
        <f>VLOOKUP($B373,三大美股走勢!$A$4:$J$495,4,FALSE)</f>
        <v>#N/A</v>
      </c>
      <c r="AE373" s="33" t="e">
        <f>VLOOKUP($B373,三大美股走勢!$A$4:$J$495,7,FALSE)</f>
        <v>#N/A</v>
      </c>
      <c r="AF373" s="33" t="e">
        <f>VLOOKUP($B373,三大美股走勢!$A$4:$J$495,10,FALSE)</f>
        <v>#N/A</v>
      </c>
    </row>
    <row r="374" spans="2:32">
      <c r="B374" s="32">
        <v>43153</v>
      </c>
      <c r="C374" s="33" t="e">
        <f>VLOOKUP($B374,大盤與近月台指!$A$4:$I$499,2,FALSE)</f>
        <v>#N/A</v>
      </c>
      <c r="D374" s="34" t="e">
        <f>VLOOKUP($B374,大盤與近月台指!$A$4:$I$499,3,FALSE)</f>
        <v>#N/A</v>
      </c>
      <c r="E374" s="35" t="e">
        <f>VLOOKUP($B374,大盤與近月台指!$A$4:$I$499,4,FALSE)</f>
        <v>#N/A</v>
      </c>
      <c r="F374" s="33" t="e">
        <f>VLOOKUP($B374,大盤與近月台指!$A$4:$I$499,5,FALSE)</f>
        <v>#N/A</v>
      </c>
      <c r="G374" s="49" t="e">
        <f>VLOOKUP($B374,三大法人買賣超!$A$4:$I$500,3,FALSE)</f>
        <v>#N/A</v>
      </c>
      <c r="H374" s="34" t="e">
        <f>VLOOKUP($B374,三大法人買賣超!$A$4:$I$500,5,FALSE)</f>
        <v>#N/A</v>
      </c>
      <c r="I374" s="27" t="e">
        <f>VLOOKUP($B374,三大法人買賣超!$A$4:$I$500,7,FALSE)</f>
        <v>#N/A</v>
      </c>
      <c r="J374" s="27" t="e">
        <f>VLOOKUP($B374,三大法人買賣超!$A$4:$I$500,9,FALSE)</f>
        <v>#N/A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0</v>
      </c>
      <c r="N374" s="27" t="e">
        <f>VLOOKUP($B374,外資期貨未平倉口數!$A$4:$M$499,4,FALSE)</f>
        <v>#N/A</v>
      </c>
      <c r="O374" s="27" t="e">
        <f>VLOOKUP($B374,外資期貨未平倉口數!$A$4:$M$499,9,FALSE)</f>
        <v>#N/A</v>
      </c>
      <c r="P374" s="27" t="e">
        <f>VLOOKUP($B374,外資期貨未平倉口數!$A$4:$M$499,10,FALSE)</f>
        <v>#N/A</v>
      </c>
      <c r="Q374" s="27" t="e">
        <f>VLOOKUP($B374,外資期貨未平倉口數!$A$4:$M$499,11,FALSE)</f>
        <v>#N/A</v>
      </c>
      <c r="R374" s="64" t="e">
        <f>VLOOKUP($B374,選擇權未平倉餘額!$A$4:$I$500,6,FALSE)</f>
        <v>#N/A</v>
      </c>
      <c r="S374" s="64" t="e">
        <f>VLOOKUP($B374,選擇權未平倉餘額!$A$4:$I$500,7,FALSE)</f>
        <v>#N/A</v>
      </c>
      <c r="T374" s="64" t="e">
        <f>VLOOKUP($B374,選擇權未平倉餘額!$A$4:$I$500,8,FALSE)</f>
        <v>#N/A</v>
      </c>
      <c r="U374" s="64" t="e">
        <f>VLOOKUP($B374,選擇權未平倉餘額!$A$4:$I$500,9,FALSE)</f>
        <v>#N/A</v>
      </c>
      <c r="V374" s="39" t="e">
        <f>VLOOKUP($B374,臺指選擇權P_C_Ratios!$A$4:$C$500,3,FALSE)</f>
        <v>#N/A</v>
      </c>
      <c r="W374" s="41" t="e">
        <f>VLOOKUP($B374,散戶多空比!$A$6:$L$500,12,FALSE)</f>
        <v>#N/A</v>
      </c>
      <c r="X374" s="40" t="e">
        <f>VLOOKUP($B374,期貨大額交易人未沖銷部位!$A$4:$O$499,4,FALSE)</f>
        <v>#N/A</v>
      </c>
      <c r="Y374" s="40" t="e">
        <f>VLOOKUP($B374,期貨大額交易人未沖銷部位!$A$4:$O$499,7,FALSE)</f>
        <v>#N/A</v>
      </c>
      <c r="Z374" s="40" t="e">
        <f>VLOOKUP($B374,期貨大額交易人未沖銷部位!$A$4:$O$499,10,FALSE)</f>
        <v>#N/A</v>
      </c>
      <c r="AA374" s="40" t="e">
        <f>VLOOKUP($B374,期貨大額交易人未沖銷部位!$A$4:$O$499,13,FALSE)</f>
        <v>#N/A</v>
      </c>
      <c r="AB374" s="40" t="e">
        <f>VLOOKUP($B374,期貨大額交易人未沖銷部位!$A$4:$O$499,14,FALSE)</f>
        <v>#N/A</v>
      </c>
      <c r="AC374" s="40" t="e">
        <f>VLOOKUP($B374,期貨大額交易人未沖銷部位!$A$4:$O$499,15,FALSE)</f>
        <v>#N/A</v>
      </c>
      <c r="AD374" s="33" t="e">
        <f>VLOOKUP($B374,三大美股走勢!$A$4:$J$495,4,FALSE)</f>
        <v>#N/A</v>
      </c>
      <c r="AE374" s="33" t="e">
        <f>VLOOKUP($B374,三大美股走勢!$A$4:$J$495,7,FALSE)</f>
        <v>#N/A</v>
      </c>
      <c r="AF374" s="33" t="e">
        <f>VLOOKUP($B374,三大美股走勢!$A$4:$J$495,10,FALSE)</f>
        <v>#N/A</v>
      </c>
    </row>
    <row r="375" spans="2:32">
      <c r="B375" s="32">
        <v>43154</v>
      </c>
      <c r="C375" s="33" t="e">
        <f>VLOOKUP($B375,大盤與近月台指!$A$4:$I$499,2,FALSE)</f>
        <v>#N/A</v>
      </c>
      <c r="D375" s="34" t="e">
        <f>VLOOKUP($B375,大盤與近月台指!$A$4:$I$499,3,FALSE)</f>
        <v>#N/A</v>
      </c>
      <c r="E375" s="35" t="e">
        <f>VLOOKUP($B375,大盤與近月台指!$A$4:$I$499,4,FALSE)</f>
        <v>#N/A</v>
      </c>
      <c r="F375" s="33" t="e">
        <f>VLOOKUP($B375,大盤與近月台指!$A$4:$I$499,5,FALSE)</f>
        <v>#N/A</v>
      </c>
      <c r="G375" s="49" t="e">
        <f>VLOOKUP($B375,三大法人買賣超!$A$4:$I$500,3,FALSE)</f>
        <v>#N/A</v>
      </c>
      <c r="H375" s="34" t="e">
        <f>VLOOKUP($B375,三大法人買賣超!$A$4:$I$500,5,FALSE)</f>
        <v>#N/A</v>
      </c>
      <c r="I375" s="27" t="e">
        <f>VLOOKUP($B375,三大法人買賣超!$A$4:$I$500,7,FALSE)</f>
        <v>#N/A</v>
      </c>
      <c r="J375" s="27" t="e">
        <f>VLOOKUP($B375,三大法人買賣超!$A$4:$I$500,9,FALSE)</f>
        <v>#N/A</v>
      </c>
      <c r="K375" s="37">
        <f>新台幣匯率美元指數!B376</f>
        <v>0</v>
      </c>
      <c r="L375" s="38">
        <f>新台幣匯率美元指數!C376</f>
        <v>0</v>
      </c>
      <c r="M375" s="39">
        <f>新台幣匯率美元指數!D376</f>
        <v>0</v>
      </c>
      <c r="N375" s="27" t="e">
        <f>VLOOKUP($B375,外資期貨未平倉口數!$A$4:$M$499,4,FALSE)</f>
        <v>#N/A</v>
      </c>
      <c r="O375" s="27" t="e">
        <f>VLOOKUP($B375,外資期貨未平倉口數!$A$4:$M$499,9,FALSE)</f>
        <v>#N/A</v>
      </c>
      <c r="P375" s="27" t="e">
        <f>VLOOKUP($B375,外資期貨未平倉口數!$A$4:$M$499,10,FALSE)</f>
        <v>#N/A</v>
      </c>
      <c r="Q375" s="27" t="e">
        <f>VLOOKUP($B375,外資期貨未平倉口數!$A$4:$M$499,11,FALSE)</f>
        <v>#N/A</v>
      </c>
      <c r="R375" s="64" t="e">
        <f>VLOOKUP($B375,選擇權未平倉餘額!$A$4:$I$500,6,FALSE)</f>
        <v>#N/A</v>
      </c>
      <c r="S375" s="64" t="e">
        <f>VLOOKUP($B375,選擇權未平倉餘額!$A$4:$I$500,7,FALSE)</f>
        <v>#N/A</v>
      </c>
      <c r="T375" s="64" t="e">
        <f>VLOOKUP($B375,選擇權未平倉餘額!$A$4:$I$500,8,FALSE)</f>
        <v>#N/A</v>
      </c>
      <c r="U375" s="64" t="e">
        <f>VLOOKUP($B375,選擇權未平倉餘額!$A$4:$I$500,9,FALSE)</f>
        <v>#N/A</v>
      </c>
      <c r="V375" s="39" t="e">
        <f>VLOOKUP($B375,臺指選擇權P_C_Ratios!$A$4:$C$500,3,FALSE)</f>
        <v>#N/A</v>
      </c>
      <c r="W375" s="41" t="e">
        <f>VLOOKUP($B375,散戶多空比!$A$6:$L$500,12,FALSE)</f>
        <v>#N/A</v>
      </c>
      <c r="X375" s="40" t="e">
        <f>VLOOKUP($B375,期貨大額交易人未沖銷部位!$A$4:$O$499,4,FALSE)</f>
        <v>#N/A</v>
      </c>
      <c r="Y375" s="40" t="e">
        <f>VLOOKUP($B375,期貨大額交易人未沖銷部位!$A$4:$O$499,7,FALSE)</f>
        <v>#N/A</v>
      </c>
      <c r="Z375" s="40" t="e">
        <f>VLOOKUP($B375,期貨大額交易人未沖銷部位!$A$4:$O$499,10,FALSE)</f>
        <v>#N/A</v>
      </c>
      <c r="AA375" s="40" t="e">
        <f>VLOOKUP($B375,期貨大額交易人未沖銷部位!$A$4:$O$499,13,FALSE)</f>
        <v>#N/A</v>
      </c>
      <c r="AB375" s="40" t="e">
        <f>VLOOKUP($B375,期貨大額交易人未沖銷部位!$A$4:$O$499,14,FALSE)</f>
        <v>#N/A</v>
      </c>
      <c r="AC375" s="40" t="e">
        <f>VLOOKUP($B375,期貨大額交易人未沖銷部位!$A$4:$O$499,15,FALSE)</f>
        <v>#N/A</v>
      </c>
      <c r="AD375" s="33" t="e">
        <f>VLOOKUP($B375,三大美股走勢!$A$4:$J$495,4,FALSE)</f>
        <v>#N/A</v>
      </c>
      <c r="AE375" s="33" t="e">
        <f>VLOOKUP($B375,三大美股走勢!$A$4:$J$495,7,FALSE)</f>
        <v>#N/A</v>
      </c>
      <c r="AF375" s="33" t="e">
        <f>VLOOKUP($B375,三大美股走勢!$A$4:$J$495,10,FALSE)</f>
        <v>#N/A</v>
      </c>
    </row>
    <row r="376" spans="2:32">
      <c r="B376" s="32">
        <v>43155</v>
      </c>
      <c r="C376" s="33" t="e">
        <f>VLOOKUP($B376,大盤與近月台指!$A$4:$I$499,2,FALSE)</f>
        <v>#N/A</v>
      </c>
      <c r="D376" s="34" t="e">
        <f>VLOOKUP($B376,大盤與近月台指!$A$4:$I$499,3,FALSE)</f>
        <v>#N/A</v>
      </c>
      <c r="E376" s="35" t="e">
        <f>VLOOKUP($B376,大盤與近月台指!$A$4:$I$499,4,FALSE)</f>
        <v>#N/A</v>
      </c>
      <c r="F376" s="33" t="e">
        <f>VLOOKUP($B376,大盤與近月台指!$A$4:$I$499,5,FALSE)</f>
        <v>#N/A</v>
      </c>
      <c r="G376" s="49" t="e">
        <f>VLOOKUP($B376,三大法人買賣超!$A$4:$I$500,3,FALSE)</f>
        <v>#N/A</v>
      </c>
      <c r="H376" s="34" t="e">
        <f>VLOOKUP($B376,三大法人買賣超!$A$4:$I$500,5,FALSE)</f>
        <v>#N/A</v>
      </c>
      <c r="I376" s="27" t="e">
        <f>VLOOKUP($B376,三大法人買賣超!$A$4:$I$500,7,FALSE)</f>
        <v>#N/A</v>
      </c>
      <c r="J376" s="27" t="e">
        <f>VLOOKUP($B376,三大法人買賣超!$A$4:$I$500,9,FALSE)</f>
        <v>#N/A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 t="e">
        <f>VLOOKUP($B376,外資期貨未平倉口數!$A$4:$M$499,4,FALSE)</f>
        <v>#N/A</v>
      </c>
      <c r="O376" s="27" t="e">
        <f>VLOOKUP($B376,外資期貨未平倉口數!$A$4:$M$499,9,FALSE)</f>
        <v>#N/A</v>
      </c>
      <c r="P376" s="27" t="e">
        <f>VLOOKUP($B376,外資期貨未平倉口數!$A$4:$M$499,10,FALSE)</f>
        <v>#N/A</v>
      </c>
      <c r="Q376" s="27" t="e">
        <f>VLOOKUP($B376,外資期貨未平倉口數!$A$4:$M$499,11,FALSE)</f>
        <v>#N/A</v>
      </c>
      <c r="R376" s="64" t="e">
        <f>VLOOKUP($B376,選擇權未平倉餘額!$A$4:$I$500,6,FALSE)</f>
        <v>#N/A</v>
      </c>
      <c r="S376" s="64" t="e">
        <f>VLOOKUP($B376,選擇權未平倉餘額!$A$4:$I$500,7,FALSE)</f>
        <v>#N/A</v>
      </c>
      <c r="T376" s="64" t="e">
        <f>VLOOKUP($B376,選擇權未平倉餘額!$A$4:$I$500,8,FALSE)</f>
        <v>#N/A</v>
      </c>
      <c r="U376" s="64" t="e">
        <f>VLOOKUP($B376,選擇權未平倉餘額!$A$4:$I$500,9,FALSE)</f>
        <v>#N/A</v>
      </c>
      <c r="V376" s="39" t="e">
        <f>VLOOKUP($B376,臺指選擇權P_C_Ratios!$A$4:$C$500,3,FALSE)</f>
        <v>#N/A</v>
      </c>
      <c r="W376" s="41" t="e">
        <f>VLOOKUP($B376,散戶多空比!$A$6:$L$500,12,FALSE)</f>
        <v>#N/A</v>
      </c>
      <c r="X376" s="40" t="e">
        <f>VLOOKUP($B376,期貨大額交易人未沖銷部位!$A$4:$O$499,4,FALSE)</f>
        <v>#N/A</v>
      </c>
      <c r="Y376" s="40" t="e">
        <f>VLOOKUP($B376,期貨大額交易人未沖銷部位!$A$4:$O$499,7,FALSE)</f>
        <v>#N/A</v>
      </c>
      <c r="Z376" s="40" t="e">
        <f>VLOOKUP($B376,期貨大額交易人未沖銷部位!$A$4:$O$499,10,FALSE)</f>
        <v>#N/A</v>
      </c>
      <c r="AA376" s="40" t="e">
        <f>VLOOKUP($B376,期貨大額交易人未沖銷部位!$A$4:$O$499,13,FALSE)</f>
        <v>#N/A</v>
      </c>
      <c r="AB376" s="40" t="e">
        <f>VLOOKUP($B376,期貨大額交易人未沖銷部位!$A$4:$O$499,14,FALSE)</f>
        <v>#N/A</v>
      </c>
      <c r="AC376" s="40" t="e">
        <f>VLOOKUP($B376,期貨大額交易人未沖銷部位!$A$4:$O$499,15,FALSE)</f>
        <v>#N/A</v>
      </c>
      <c r="AD376" s="33" t="e">
        <f>VLOOKUP($B376,三大美股走勢!$A$4:$J$495,4,FALSE)</f>
        <v>#N/A</v>
      </c>
      <c r="AE376" s="33" t="e">
        <f>VLOOKUP($B376,三大美股走勢!$A$4:$J$495,7,FALSE)</f>
        <v>#N/A</v>
      </c>
      <c r="AF376" s="33" t="e">
        <f>VLOOKUP($B376,三大美股走勢!$A$4:$J$495,10,FALSE)</f>
        <v>#N/A</v>
      </c>
    </row>
    <row r="377" spans="2:32">
      <c r="B377" s="32">
        <v>43156</v>
      </c>
      <c r="C377" s="33" t="e">
        <f>VLOOKUP($B377,大盤與近月台指!$A$4:$I$499,2,FALSE)</f>
        <v>#N/A</v>
      </c>
      <c r="D377" s="34" t="e">
        <f>VLOOKUP($B377,大盤與近月台指!$A$4:$I$499,3,FALSE)</f>
        <v>#N/A</v>
      </c>
      <c r="E377" s="35" t="e">
        <f>VLOOKUP($B377,大盤與近月台指!$A$4:$I$499,4,FALSE)</f>
        <v>#N/A</v>
      </c>
      <c r="F377" s="33" t="e">
        <f>VLOOKUP($B377,大盤與近月台指!$A$4:$I$499,5,FALSE)</f>
        <v>#N/A</v>
      </c>
      <c r="G377" s="49" t="e">
        <f>VLOOKUP($B377,三大法人買賣超!$A$4:$I$500,3,FALSE)</f>
        <v>#N/A</v>
      </c>
      <c r="H377" s="34" t="e">
        <f>VLOOKUP($B377,三大法人買賣超!$A$4:$I$500,5,FALSE)</f>
        <v>#N/A</v>
      </c>
      <c r="I377" s="27" t="e">
        <f>VLOOKUP($B377,三大法人買賣超!$A$4:$I$500,7,FALSE)</f>
        <v>#N/A</v>
      </c>
      <c r="J377" s="27" t="e">
        <f>VLOOKUP($B377,三大法人買賣超!$A$4:$I$500,9,FALSE)</f>
        <v>#N/A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 t="e">
        <f>VLOOKUP($B377,外資期貨未平倉口數!$A$4:$M$499,4,FALSE)</f>
        <v>#N/A</v>
      </c>
      <c r="O377" s="27" t="e">
        <f>VLOOKUP($B377,外資期貨未平倉口數!$A$4:$M$499,9,FALSE)</f>
        <v>#N/A</v>
      </c>
      <c r="P377" s="27" t="e">
        <f>VLOOKUP($B377,外資期貨未平倉口數!$A$4:$M$499,10,FALSE)</f>
        <v>#N/A</v>
      </c>
      <c r="Q377" s="27" t="e">
        <f>VLOOKUP($B377,外資期貨未平倉口數!$A$4:$M$499,11,FALSE)</f>
        <v>#N/A</v>
      </c>
      <c r="R377" s="64" t="e">
        <f>VLOOKUP($B377,選擇權未平倉餘額!$A$4:$I$500,6,FALSE)</f>
        <v>#N/A</v>
      </c>
      <c r="S377" s="64" t="e">
        <f>VLOOKUP($B377,選擇權未平倉餘額!$A$4:$I$500,7,FALSE)</f>
        <v>#N/A</v>
      </c>
      <c r="T377" s="64" t="e">
        <f>VLOOKUP($B377,選擇權未平倉餘額!$A$4:$I$500,8,FALSE)</f>
        <v>#N/A</v>
      </c>
      <c r="U377" s="64" t="e">
        <f>VLOOKUP($B377,選擇權未平倉餘額!$A$4:$I$500,9,FALSE)</f>
        <v>#N/A</v>
      </c>
      <c r="V377" s="39" t="e">
        <f>VLOOKUP($B377,臺指選擇權P_C_Ratios!$A$4:$C$500,3,FALSE)</f>
        <v>#N/A</v>
      </c>
      <c r="W377" s="41" t="e">
        <f>VLOOKUP($B377,散戶多空比!$A$6:$L$500,12,FALSE)</f>
        <v>#N/A</v>
      </c>
      <c r="X377" s="40" t="e">
        <f>VLOOKUP($B377,期貨大額交易人未沖銷部位!$A$4:$O$499,4,FALSE)</f>
        <v>#N/A</v>
      </c>
      <c r="Y377" s="40" t="e">
        <f>VLOOKUP($B377,期貨大額交易人未沖銷部位!$A$4:$O$499,7,FALSE)</f>
        <v>#N/A</v>
      </c>
      <c r="Z377" s="40" t="e">
        <f>VLOOKUP($B377,期貨大額交易人未沖銷部位!$A$4:$O$499,10,FALSE)</f>
        <v>#N/A</v>
      </c>
      <c r="AA377" s="40" t="e">
        <f>VLOOKUP($B377,期貨大額交易人未沖銷部位!$A$4:$O$499,13,FALSE)</f>
        <v>#N/A</v>
      </c>
      <c r="AB377" s="40" t="e">
        <f>VLOOKUP($B377,期貨大額交易人未沖銷部位!$A$4:$O$499,14,FALSE)</f>
        <v>#N/A</v>
      </c>
      <c r="AC377" s="40" t="e">
        <f>VLOOKUP($B377,期貨大額交易人未沖銷部位!$A$4:$O$499,15,FALSE)</f>
        <v>#N/A</v>
      </c>
      <c r="AD377" s="33" t="e">
        <f>VLOOKUP($B377,三大美股走勢!$A$4:$J$495,4,FALSE)</f>
        <v>#N/A</v>
      </c>
      <c r="AE377" s="33" t="e">
        <f>VLOOKUP($B377,三大美股走勢!$A$4:$J$495,7,FALSE)</f>
        <v>#N/A</v>
      </c>
      <c r="AF377" s="33" t="e">
        <f>VLOOKUP($B377,三大美股走勢!$A$4:$J$495,10,FALSE)</f>
        <v>#N/A</v>
      </c>
    </row>
    <row r="378" spans="2:32">
      <c r="B378" s="32">
        <v>43157</v>
      </c>
      <c r="C378" s="33" t="e">
        <f>VLOOKUP($B378,大盤與近月台指!$A$4:$I$499,2,FALSE)</f>
        <v>#N/A</v>
      </c>
      <c r="D378" s="34" t="e">
        <f>VLOOKUP($B378,大盤與近月台指!$A$4:$I$499,3,FALSE)</f>
        <v>#N/A</v>
      </c>
      <c r="E378" s="35" t="e">
        <f>VLOOKUP($B378,大盤與近月台指!$A$4:$I$499,4,FALSE)</f>
        <v>#N/A</v>
      </c>
      <c r="F378" s="33" t="e">
        <f>VLOOKUP($B378,大盤與近月台指!$A$4:$I$499,5,FALSE)</f>
        <v>#N/A</v>
      </c>
      <c r="G378" s="49" t="e">
        <f>VLOOKUP($B378,三大法人買賣超!$A$4:$I$500,3,FALSE)</f>
        <v>#N/A</v>
      </c>
      <c r="H378" s="34" t="e">
        <f>VLOOKUP($B378,三大法人買賣超!$A$4:$I$500,5,FALSE)</f>
        <v>#N/A</v>
      </c>
      <c r="I378" s="27" t="e">
        <f>VLOOKUP($B378,三大法人買賣超!$A$4:$I$500,7,FALSE)</f>
        <v>#N/A</v>
      </c>
      <c r="J378" s="27" t="e">
        <f>VLOOKUP($B378,三大法人買賣超!$A$4:$I$500,9,FALSE)</f>
        <v>#N/A</v>
      </c>
      <c r="K378" s="37">
        <f>新台幣匯率美元指數!B379</f>
        <v>0</v>
      </c>
      <c r="L378" s="38">
        <f>新台幣匯率美元指數!C379</f>
        <v>0</v>
      </c>
      <c r="M378" s="39">
        <f>新台幣匯率美元指數!D379</f>
        <v>0</v>
      </c>
      <c r="N378" s="27" t="e">
        <f>VLOOKUP($B378,外資期貨未平倉口數!$A$4:$M$499,4,FALSE)</f>
        <v>#N/A</v>
      </c>
      <c r="O378" s="27" t="e">
        <f>VLOOKUP($B378,外資期貨未平倉口數!$A$4:$M$499,9,FALSE)</f>
        <v>#N/A</v>
      </c>
      <c r="P378" s="27" t="e">
        <f>VLOOKUP($B378,外資期貨未平倉口數!$A$4:$M$499,10,FALSE)</f>
        <v>#N/A</v>
      </c>
      <c r="Q378" s="27" t="e">
        <f>VLOOKUP($B378,外資期貨未平倉口數!$A$4:$M$499,11,FALSE)</f>
        <v>#N/A</v>
      </c>
      <c r="R378" s="64" t="e">
        <f>VLOOKUP($B378,選擇權未平倉餘額!$A$4:$I$500,6,FALSE)</f>
        <v>#N/A</v>
      </c>
      <c r="S378" s="64" t="e">
        <f>VLOOKUP($B378,選擇權未平倉餘額!$A$4:$I$500,7,FALSE)</f>
        <v>#N/A</v>
      </c>
      <c r="T378" s="64" t="e">
        <f>VLOOKUP($B378,選擇權未平倉餘額!$A$4:$I$500,8,FALSE)</f>
        <v>#N/A</v>
      </c>
      <c r="U378" s="64" t="e">
        <f>VLOOKUP($B378,選擇權未平倉餘額!$A$4:$I$500,9,FALSE)</f>
        <v>#N/A</v>
      </c>
      <c r="V378" s="39" t="e">
        <f>VLOOKUP($B378,臺指選擇權P_C_Ratios!$A$4:$C$500,3,FALSE)</f>
        <v>#N/A</v>
      </c>
      <c r="W378" s="41" t="e">
        <f>VLOOKUP($B378,散戶多空比!$A$6:$L$500,12,FALSE)</f>
        <v>#N/A</v>
      </c>
      <c r="X378" s="40" t="e">
        <f>VLOOKUP($B378,期貨大額交易人未沖銷部位!$A$4:$O$499,4,FALSE)</f>
        <v>#N/A</v>
      </c>
      <c r="Y378" s="40" t="e">
        <f>VLOOKUP($B378,期貨大額交易人未沖銷部位!$A$4:$O$499,7,FALSE)</f>
        <v>#N/A</v>
      </c>
      <c r="Z378" s="40" t="e">
        <f>VLOOKUP($B378,期貨大額交易人未沖銷部位!$A$4:$O$499,10,FALSE)</f>
        <v>#N/A</v>
      </c>
      <c r="AA378" s="40" t="e">
        <f>VLOOKUP($B378,期貨大額交易人未沖銷部位!$A$4:$O$499,13,FALSE)</f>
        <v>#N/A</v>
      </c>
      <c r="AB378" s="40" t="e">
        <f>VLOOKUP($B378,期貨大額交易人未沖銷部位!$A$4:$O$499,14,FALSE)</f>
        <v>#N/A</v>
      </c>
      <c r="AC378" s="40" t="e">
        <f>VLOOKUP($B378,期貨大額交易人未沖銷部位!$A$4:$O$499,15,FALSE)</f>
        <v>#N/A</v>
      </c>
      <c r="AD378" s="33" t="e">
        <f>VLOOKUP($B378,三大美股走勢!$A$4:$J$495,4,FALSE)</f>
        <v>#N/A</v>
      </c>
      <c r="AE378" s="33" t="e">
        <f>VLOOKUP($B378,三大美股走勢!$A$4:$J$495,7,FALSE)</f>
        <v>#N/A</v>
      </c>
      <c r="AF378" s="33" t="e">
        <f>VLOOKUP($B378,三大美股走勢!$A$4:$J$495,10,FALSE)</f>
        <v>#N/A</v>
      </c>
    </row>
    <row r="379" spans="2:32">
      <c r="B379" s="32">
        <v>43158</v>
      </c>
      <c r="C379" s="33" t="e">
        <f>VLOOKUP($B379,大盤與近月台指!$A$4:$I$499,2,FALSE)</f>
        <v>#N/A</v>
      </c>
      <c r="D379" s="34" t="e">
        <f>VLOOKUP($B379,大盤與近月台指!$A$4:$I$499,3,FALSE)</f>
        <v>#N/A</v>
      </c>
      <c r="E379" s="35" t="e">
        <f>VLOOKUP($B379,大盤與近月台指!$A$4:$I$499,4,FALSE)</f>
        <v>#N/A</v>
      </c>
      <c r="F379" s="33" t="e">
        <f>VLOOKUP($B379,大盤與近月台指!$A$4:$I$499,5,FALSE)</f>
        <v>#N/A</v>
      </c>
      <c r="G379" s="49" t="e">
        <f>VLOOKUP($B379,三大法人買賣超!$A$4:$I$500,3,FALSE)</f>
        <v>#N/A</v>
      </c>
      <c r="H379" s="34" t="e">
        <f>VLOOKUP($B379,三大法人買賣超!$A$4:$I$500,5,FALSE)</f>
        <v>#N/A</v>
      </c>
      <c r="I379" s="27" t="e">
        <f>VLOOKUP($B379,三大法人買賣超!$A$4:$I$500,7,FALSE)</f>
        <v>#N/A</v>
      </c>
      <c r="J379" s="27" t="e">
        <f>VLOOKUP($B379,三大法人買賣超!$A$4:$I$500,9,FALSE)</f>
        <v>#N/A</v>
      </c>
      <c r="K379" s="37">
        <f>新台幣匯率美元指數!B380</f>
        <v>0</v>
      </c>
      <c r="L379" s="38">
        <f>新台幣匯率美元指數!C380</f>
        <v>0</v>
      </c>
      <c r="M379" s="39">
        <f>新台幣匯率美元指數!D380</f>
        <v>0</v>
      </c>
      <c r="N379" s="27" t="e">
        <f>VLOOKUP($B379,外資期貨未平倉口數!$A$4:$M$499,4,FALSE)</f>
        <v>#N/A</v>
      </c>
      <c r="O379" s="27" t="e">
        <f>VLOOKUP($B379,外資期貨未平倉口數!$A$4:$M$499,9,FALSE)</f>
        <v>#N/A</v>
      </c>
      <c r="P379" s="27" t="e">
        <f>VLOOKUP($B379,外資期貨未平倉口數!$A$4:$M$499,10,FALSE)</f>
        <v>#N/A</v>
      </c>
      <c r="Q379" s="27" t="e">
        <f>VLOOKUP($B379,外資期貨未平倉口數!$A$4:$M$499,11,FALSE)</f>
        <v>#N/A</v>
      </c>
      <c r="R379" s="64" t="e">
        <f>VLOOKUP($B379,選擇權未平倉餘額!$A$4:$I$500,6,FALSE)</f>
        <v>#N/A</v>
      </c>
      <c r="S379" s="64" t="e">
        <f>VLOOKUP($B379,選擇權未平倉餘額!$A$4:$I$500,7,FALSE)</f>
        <v>#N/A</v>
      </c>
      <c r="T379" s="64" t="e">
        <f>VLOOKUP($B379,選擇權未平倉餘額!$A$4:$I$500,8,FALSE)</f>
        <v>#N/A</v>
      </c>
      <c r="U379" s="64" t="e">
        <f>VLOOKUP($B379,選擇權未平倉餘額!$A$4:$I$500,9,FALSE)</f>
        <v>#N/A</v>
      </c>
      <c r="V379" s="39" t="e">
        <f>VLOOKUP($B379,臺指選擇權P_C_Ratios!$A$4:$C$500,3,FALSE)</f>
        <v>#N/A</v>
      </c>
      <c r="W379" s="41" t="e">
        <f>VLOOKUP($B379,散戶多空比!$A$6:$L$500,12,FALSE)</f>
        <v>#N/A</v>
      </c>
      <c r="X379" s="40" t="e">
        <f>VLOOKUP($B379,期貨大額交易人未沖銷部位!$A$4:$O$499,4,FALSE)</f>
        <v>#N/A</v>
      </c>
      <c r="Y379" s="40" t="e">
        <f>VLOOKUP($B379,期貨大額交易人未沖銷部位!$A$4:$O$499,7,FALSE)</f>
        <v>#N/A</v>
      </c>
      <c r="Z379" s="40" t="e">
        <f>VLOOKUP($B379,期貨大額交易人未沖銷部位!$A$4:$O$499,10,FALSE)</f>
        <v>#N/A</v>
      </c>
      <c r="AA379" s="40" t="e">
        <f>VLOOKUP($B379,期貨大額交易人未沖銷部位!$A$4:$O$499,13,FALSE)</f>
        <v>#N/A</v>
      </c>
      <c r="AB379" s="40" t="e">
        <f>VLOOKUP($B379,期貨大額交易人未沖銷部位!$A$4:$O$499,14,FALSE)</f>
        <v>#N/A</v>
      </c>
      <c r="AC379" s="40" t="e">
        <f>VLOOKUP($B379,期貨大額交易人未沖銷部位!$A$4:$O$499,15,FALSE)</f>
        <v>#N/A</v>
      </c>
      <c r="AD379" s="33" t="e">
        <f>VLOOKUP($B379,三大美股走勢!$A$4:$J$495,4,FALSE)</f>
        <v>#N/A</v>
      </c>
      <c r="AE379" s="33" t="e">
        <f>VLOOKUP($B379,三大美股走勢!$A$4:$J$495,7,FALSE)</f>
        <v>#N/A</v>
      </c>
      <c r="AF379" s="33" t="e">
        <f>VLOOKUP($B379,三大美股走勢!$A$4:$J$495,10,FALSE)</f>
        <v>#N/A</v>
      </c>
    </row>
    <row r="380" spans="2:32">
      <c r="B380" s="32">
        <v>43159</v>
      </c>
      <c r="C380" s="33" t="e">
        <f>VLOOKUP($B380,大盤與近月台指!$A$4:$I$499,2,FALSE)</f>
        <v>#N/A</v>
      </c>
      <c r="D380" s="34" t="e">
        <f>VLOOKUP($B380,大盤與近月台指!$A$4:$I$499,3,FALSE)</f>
        <v>#N/A</v>
      </c>
      <c r="E380" s="35" t="e">
        <f>VLOOKUP($B380,大盤與近月台指!$A$4:$I$499,4,FALSE)</f>
        <v>#N/A</v>
      </c>
      <c r="F380" s="33" t="e">
        <f>VLOOKUP($B380,大盤與近月台指!$A$4:$I$499,5,FALSE)</f>
        <v>#N/A</v>
      </c>
      <c r="G380" s="49" t="e">
        <f>VLOOKUP($B380,三大法人買賣超!$A$4:$I$500,3,FALSE)</f>
        <v>#N/A</v>
      </c>
      <c r="H380" s="34" t="e">
        <f>VLOOKUP($B380,三大法人買賣超!$A$4:$I$500,5,FALSE)</f>
        <v>#N/A</v>
      </c>
      <c r="I380" s="27" t="e">
        <f>VLOOKUP($B380,三大法人買賣超!$A$4:$I$500,7,FALSE)</f>
        <v>#N/A</v>
      </c>
      <c r="J380" s="27" t="e">
        <f>VLOOKUP($B380,三大法人買賣超!$A$4:$I$500,9,FALSE)</f>
        <v>#N/A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0</v>
      </c>
      <c r="N380" s="27" t="e">
        <f>VLOOKUP($B380,外資期貨未平倉口數!$A$4:$M$499,4,FALSE)</f>
        <v>#N/A</v>
      </c>
      <c r="O380" s="27" t="e">
        <f>VLOOKUP($B380,外資期貨未平倉口數!$A$4:$M$499,9,FALSE)</f>
        <v>#N/A</v>
      </c>
      <c r="P380" s="27" t="e">
        <f>VLOOKUP($B380,外資期貨未平倉口數!$A$4:$M$499,10,FALSE)</f>
        <v>#N/A</v>
      </c>
      <c r="Q380" s="27" t="e">
        <f>VLOOKUP($B380,外資期貨未平倉口數!$A$4:$M$499,11,FALSE)</f>
        <v>#N/A</v>
      </c>
      <c r="R380" s="64" t="e">
        <f>VLOOKUP($B380,選擇權未平倉餘額!$A$4:$I$500,6,FALSE)</f>
        <v>#N/A</v>
      </c>
      <c r="S380" s="64" t="e">
        <f>VLOOKUP($B380,選擇權未平倉餘額!$A$4:$I$500,7,FALSE)</f>
        <v>#N/A</v>
      </c>
      <c r="T380" s="64" t="e">
        <f>VLOOKUP($B380,選擇權未平倉餘額!$A$4:$I$500,8,FALSE)</f>
        <v>#N/A</v>
      </c>
      <c r="U380" s="64" t="e">
        <f>VLOOKUP($B380,選擇權未平倉餘額!$A$4:$I$500,9,FALSE)</f>
        <v>#N/A</v>
      </c>
      <c r="V380" s="39" t="e">
        <f>VLOOKUP($B380,臺指選擇權P_C_Ratios!$A$4:$C$500,3,FALSE)</f>
        <v>#N/A</v>
      </c>
      <c r="W380" s="41" t="e">
        <f>VLOOKUP($B380,散戶多空比!$A$6:$L$500,12,FALSE)</f>
        <v>#N/A</v>
      </c>
      <c r="X380" s="40" t="e">
        <f>VLOOKUP($B380,期貨大額交易人未沖銷部位!$A$4:$O$499,4,FALSE)</f>
        <v>#N/A</v>
      </c>
      <c r="Y380" s="40" t="e">
        <f>VLOOKUP($B380,期貨大額交易人未沖銷部位!$A$4:$O$499,7,FALSE)</f>
        <v>#N/A</v>
      </c>
      <c r="Z380" s="40" t="e">
        <f>VLOOKUP($B380,期貨大額交易人未沖銷部位!$A$4:$O$499,10,FALSE)</f>
        <v>#N/A</v>
      </c>
      <c r="AA380" s="40" t="e">
        <f>VLOOKUP($B380,期貨大額交易人未沖銷部位!$A$4:$O$499,13,FALSE)</f>
        <v>#N/A</v>
      </c>
      <c r="AB380" s="40" t="e">
        <f>VLOOKUP($B380,期貨大額交易人未沖銷部位!$A$4:$O$499,14,FALSE)</f>
        <v>#N/A</v>
      </c>
      <c r="AC380" s="40" t="e">
        <f>VLOOKUP($B380,期貨大額交易人未沖銷部位!$A$4:$O$499,15,FALSE)</f>
        <v>#N/A</v>
      </c>
      <c r="AD380" s="33" t="e">
        <f>VLOOKUP($B380,三大美股走勢!$A$4:$J$495,4,FALSE)</f>
        <v>#N/A</v>
      </c>
      <c r="AE380" s="33" t="e">
        <f>VLOOKUP($B380,三大美股走勢!$A$4:$J$495,7,FALSE)</f>
        <v>#N/A</v>
      </c>
      <c r="AF380" s="33" t="e">
        <f>VLOOKUP($B380,三大美股走勢!$A$4:$J$495,10,FALSE)</f>
        <v>#N/A</v>
      </c>
    </row>
    <row r="381" spans="2:32">
      <c r="B381" s="32">
        <v>43160</v>
      </c>
      <c r="C381" s="33" t="e">
        <f>VLOOKUP($B381,大盤與近月台指!$A$4:$I$499,2,FALSE)</f>
        <v>#N/A</v>
      </c>
      <c r="D381" s="34" t="e">
        <f>VLOOKUP($B381,大盤與近月台指!$A$4:$I$499,3,FALSE)</f>
        <v>#N/A</v>
      </c>
      <c r="E381" s="35" t="e">
        <f>VLOOKUP($B381,大盤與近月台指!$A$4:$I$499,4,FALSE)</f>
        <v>#N/A</v>
      </c>
      <c r="F381" s="33" t="e">
        <f>VLOOKUP($B381,大盤與近月台指!$A$4:$I$499,5,FALSE)</f>
        <v>#N/A</v>
      </c>
      <c r="G381" s="49" t="e">
        <f>VLOOKUP($B381,三大法人買賣超!$A$4:$I$500,3,FALSE)</f>
        <v>#N/A</v>
      </c>
      <c r="H381" s="34" t="e">
        <f>VLOOKUP($B381,三大法人買賣超!$A$4:$I$500,5,FALSE)</f>
        <v>#N/A</v>
      </c>
      <c r="I381" s="27" t="e">
        <f>VLOOKUP($B381,三大法人買賣超!$A$4:$I$500,7,FALSE)</f>
        <v>#N/A</v>
      </c>
      <c r="J381" s="27" t="e">
        <f>VLOOKUP($B381,三大法人買賣超!$A$4:$I$500,9,FALSE)</f>
        <v>#N/A</v>
      </c>
      <c r="K381" s="37">
        <f>新台幣匯率美元指數!B382</f>
        <v>0</v>
      </c>
      <c r="L381" s="38">
        <f>新台幣匯率美元指數!C382</f>
        <v>0</v>
      </c>
      <c r="M381" s="39">
        <f>新台幣匯率美元指數!D382</f>
        <v>0</v>
      </c>
      <c r="N381" s="27" t="e">
        <f>VLOOKUP($B381,外資期貨未平倉口數!$A$4:$M$499,4,FALSE)</f>
        <v>#N/A</v>
      </c>
      <c r="O381" s="27" t="e">
        <f>VLOOKUP($B381,外資期貨未平倉口數!$A$4:$M$499,9,FALSE)</f>
        <v>#N/A</v>
      </c>
      <c r="P381" s="27" t="e">
        <f>VLOOKUP($B381,外資期貨未平倉口數!$A$4:$M$499,10,FALSE)</f>
        <v>#N/A</v>
      </c>
      <c r="Q381" s="27" t="e">
        <f>VLOOKUP($B381,外資期貨未平倉口數!$A$4:$M$499,11,FALSE)</f>
        <v>#N/A</v>
      </c>
      <c r="R381" s="64" t="e">
        <f>VLOOKUP($B381,選擇權未平倉餘額!$A$4:$I$500,6,FALSE)</f>
        <v>#N/A</v>
      </c>
      <c r="S381" s="64" t="e">
        <f>VLOOKUP($B381,選擇權未平倉餘額!$A$4:$I$500,7,FALSE)</f>
        <v>#N/A</v>
      </c>
      <c r="T381" s="64" t="e">
        <f>VLOOKUP($B381,選擇權未平倉餘額!$A$4:$I$500,8,FALSE)</f>
        <v>#N/A</v>
      </c>
      <c r="U381" s="64" t="e">
        <f>VLOOKUP($B381,選擇權未平倉餘額!$A$4:$I$500,9,FALSE)</f>
        <v>#N/A</v>
      </c>
      <c r="V381" s="39" t="e">
        <f>VLOOKUP($B381,臺指選擇權P_C_Ratios!$A$4:$C$500,3,FALSE)</f>
        <v>#N/A</v>
      </c>
      <c r="W381" s="41" t="e">
        <f>VLOOKUP($B381,散戶多空比!$A$6:$L$500,12,FALSE)</f>
        <v>#N/A</v>
      </c>
      <c r="X381" s="40" t="e">
        <f>VLOOKUP($B381,期貨大額交易人未沖銷部位!$A$4:$O$499,4,FALSE)</f>
        <v>#N/A</v>
      </c>
      <c r="Y381" s="40" t="e">
        <f>VLOOKUP($B381,期貨大額交易人未沖銷部位!$A$4:$O$499,7,FALSE)</f>
        <v>#N/A</v>
      </c>
      <c r="Z381" s="40" t="e">
        <f>VLOOKUP($B381,期貨大額交易人未沖銷部位!$A$4:$O$499,10,FALSE)</f>
        <v>#N/A</v>
      </c>
      <c r="AA381" s="40" t="e">
        <f>VLOOKUP($B381,期貨大額交易人未沖銷部位!$A$4:$O$499,13,FALSE)</f>
        <v>#N/A</v>
      </c>
      <c r="AB381" s="40" t="e">
        <f>VLOOKUP($B381,期貨大額交易人未沖銷部位!$A$4:$O$499,14,FALSE)</f>
        <v>#N/A</v>
      </c>
      <c r="AC381" s="40" t="e">
        <f>VLOOKUP($B381,期貨大額交易人未沖銷部位!$A$4:$O$499,15,FALSE)</f>
        <v>#N/A</v>
      </c>
      <c r="AD381" s="33" t="e">
        <f>VLOOKUP($B381,三大美股走勢!$A$4:$J$495,4,FALSE)</f>
        <v>#N/A</v>
      </c>
      <c r="AE381" s="33" t="e">
        <f>VLOOKUP($B381,三大美股走勢!$A$4:$J$495,7,FALSE)</f>
        <v>#N/A</v>
      </c>
      <c r="AF381" s="33" t="e">
        <f>VLOOKUP($B381,三大美股走勢!$A$4:$J$495,10,FALSE)</f>
        <v>#N/A</v>
      </c>
    </row>
    <row r="382" spans="2:32">
      <c r="B382" s="32">
        <v>43161</v>
      </c>
      <c r="C382" s="33" t="e">
        <f>VLOOKUP($B382,大盤與近月台指!$A$4:$I$499,2,FALSE)</f>
        <v>#N/A</v>
      </c>
      <c r="D382" s="34" t="e">
        <f>VLOOKUP($B382,大盤與近月台指!$A$4:$I$499,3,FALSE)</f>
        <v>#N/A</v>
      </c>
      <c r="E382" s="35" t="e">
        <f>VLOOKUP($B382,大盤與近月台指!$A$4:$I$499,4,FALSE)</f>
        <v>#N/A</v>
      </c>
      <c r="F382" s="33" t="e">
        <f>VLOOKUP($B382,大盤與近月台指!$A$4:$I$499,5,FALSE)</f>
        <v>#N/A</v>
      </c>
      <c r="G382" s="49" t="e">
        <f>VLOOKUP($B382,三大法人買賣超!$A$4:$I$500,3,FALSE)</f>
        <v>#N/A</v>
      </c>
      <c r="H382" s="34" t="e">
        <f>VLOOKUP($B382,三大法人買賣超!$A$4:$I$500,5,FALSE)</f>
        <v>#N/A</v>
      </c>
      <c r="I382" s="27" t="e">
        <f>VLOOKUP($B382,三大法人買賣超!$A$4:$I$500,7,FALSE)</f>
        <v>#N/A</v>
      </c>
      <c r="J382" s="27" t="e">
        <f>VLOOKUP($B382,三大法人買賣超!$A$4:$I$500,9,FALSE)</f>
        <v>#N/A</v>
      </c>
      <c r="K382" s="37">
        <f>新台幣匯率美元指數!B383</f>
        <v>0</v>
      </c>
      <c r="L382" s="38">
        <f>新台幣匯率美元指數!C383</f>
        <v>0</v>
      </c>
      <c r="M382" s="39">
        <f>新台幣匯率美元指數!D383</f>
        <v>0</v>
      </c>
      <c r="N382" s="27" t="e">
        <f>VLOOKUP($B382,外資期貨未平倉口數!$A$4:$M$499,4,FALSE)</f>
        <v>#N/A</v>
      </c>
      <c r="O382" s="27" t="e">
        <f>VLOOKUP($B382,外資期貨未平倉口數!$A$4:$M$499,9,FALSE)</f>
        <v>#N/A</v>
      </c>
      <c r="P382" s="27" t="e">
        <f>VLOOKUP($B382,外資期貨未平倉口數!$A$4:$M$499,10,FALSE)</f>
        <v>#N/A</v>
      </c>
      <c r="Q382" s="27" t="e">
        <f>VLOOKUP($B382,外資期貨未平倉口數!$A$4:$M$499,11,FALSE)</f>
        <v>#N/A</v>
      </c>
      <c r="R382" s="64" t="e">
        <f>VLOOKUP($B382,選擇權未平倉餘額!$A$4:$I$500,6,FALSE)</f>
        <v>#N/A</v>
      </c>
      <c r="S382" s="64" t="e">
        <f>VLOOKUP($B382,選擇權未平倉餘額!$A$4:$I$500,7,FALSE)</f>
        <v>#N/A</v>
      </c>
      <c r="T382" s="64" t="e">
        <f>VLOOKUP($B382,選擇權未平倉餘額!$A$4:$I$500,8,FALSE)</f>
        <v>#N/A</v>
      </c>
      <c r="U382" s="64" t="e">
        <f>VLOOKUP($B382,選擇權未平倉餘額!$A$4:$I$500,9,FALSE)</f>
        <v>#N/A</v>
      </c>
      <c r="V382" s="39" t="e">
        <f>VLOOKUP($B382,臺指選擇權P_C_Ratios!$A$4:$C$500,3,FALSE)</f>
        <v>#N/A</v>
      </c>
      <c r="W382" s="41" t="e">
        <f>VLOOKUP($B382,散戶多空比!$A$6:$L$500,12,FALSE)</f>
        <v>#N/A</v>
      </c>
      <c r="X382" s="40" t="e">
        <f>VLOOKUP($B382,期貨大額交易人未沖銷部位!$A$4:$O$499,4,FALSE)</f>
        <v>#N/A</v>
      </c>
      <c r="Y382" s="40" t="e">
        <f>VLOOKUP($B382,期貨大額交易人未沖銷部位!$A$4:$O$499,7,FALSE)</f>
        <v>#N/A</v>
      </c>
      <c r="Z382" s="40" t="e">
        <f>VLOOKUP($B382,期貨大額交易人未沖銷部位!$A$4:$O$499,10,FALSE)</f>
        <v>#N/A</v>
      </c>
      <c r="AA382" s="40" t="e">
        <f>VLOOKUP($B382,期貨大額交易人未沖銷部位!$A$4:$O$499,13,FALSE)</f>
        <v>#N/A</v>
      </c>
      <c r="AB382" s="40" t="e">
        <f>VLOOKUP($B382,期貨大額交易人未沖銷部位!$A$4:$O$499,14,FALSE)</f>
        <v>#N/A</v>
      </c>
      <c r="AC382" s="40" t="e">
        <f>VLOOKUP($B382,期貨大額交易人未沖銷部位!$A$4:$O$499,15,FALSE)</f>
        <v>#N/A</v>
      </c>
      <c r="AD382" s="33" t="e">
        <f>VLOOKUP($B382,三大美股走勢!$A$4:$J$495,4,FALSE)</f>
        <v>#N/A</v>
      </c>
      <c r="AE382" s="33" t="e">
        <f>VLOOKUP($B382,三大美股走勢!$A$4:$J$495,7,FALSE)</f>
        <v>#N/A</v>
      </c>
      <c r="AF382" s="33" t="e">
        <f>VLOOKUP($B382,三大美股走勢!$A$4:$J$495,10,FALSE)</f>
        <v>#N/A</v>
      </c>
    </row>
    <row r="383" spans="2:32">
      <c r="B383" s="32">
        <v>43162</v>
      </c>
      <c r="C383" s="33" t="e">
        <f>VLOOKUP($B383,大盤與近月台指!$A$4:$I$499,2,FALSE)</f>
        <v>#N/A</v>
      </c>
      <c r="D383" s="34" t="e">
        <f>VLOOKUP($B383,大盤與近月台指!$A$4:$I$499,3,FALSE)</f>
        <v>#N/A</v>
      </c>
      <c r="E383" s="35" t="e">
        <f>VLOOKUP($B383,大盤與近月台指!$A$4:$I$499,4,FALSE)</f>
        <v>#N/A</v>
      </c>
      <c r="F383" s="33" t="e">
        <f>VLOOKUP($B383,大盤與近月台指!$A$4:$I$499,5,FALSE)</f>
        <v>#N/A</v>
      </c>
      <c r="G383" s="49" t="e">
        <f>VLOOKUP($B383,三大法人買賣超!$A$4:$I$500,3,FALSE)</f>
        <v>#N/A</v>
      </c>
      <c r="H383" s="34" t="e">
        <f>VLOOKUP($B383,三大法人買賣超!$A$4:$I$500,5,FALSE)</f>
        <v>#N/A</v>
      </c>
      <c r="I383" s="27" t="e">
        <f>VLOOKUP($B383,三大法人買賣超!$A$4:$I$500,7,FALSE)</f>
        <v>#N/A</v>
      </c>
      <c r="J383" s="27" t="e">
        <f>VLOOKUP($B383,三大法人買賣超!$A$4:$I$500,9,FALSE)</f>
        <v>#N/A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 t="e">
        <f>VLOOKUP($B383,外資期貨未平倉口數!$A$4:$M$499,4,FALSE)</f>
        <v>#N/A</v>
      </c>
      <c r="O383" s="27" t="e">
        <f>VLOOKUP($B383,外資期貨未平倉口數!$A$4:$M$499,9,FALSE)</f>
        <v>#N/A</v>
      </c>
      <c r="P383" s="27" t="e">
        <f>VLOOKUP($B383,外資期貨未平倉口數!$A$4:$M$499,10,FALSE)</f>
        <v>#N/A</v>
      </c>
      <c r="Q383" s="27" t="e">
        <f>VLOOKUP($B383,外資期貨未平倉口數!$A$4:$M$499,11,FALSE)</f>
        <v>#N/A</v>
      </c>
      <c r="R383" s="64" t="e">
        <f>VLOOKUP($B383,選擇權未平倉餘額!$A$4:$I$500,6,FALSE)</f>
        <v>#N/A</v>
      </c>
      <c r="S383" s="64" t="e">
        <f>VLOOKUP($B383,選擇權未平倉餘額!$A$4:$I$500,7,FALSE)</f>
        <v>#N/A</v>
      </c>
      <c r="T383" s="64" t="e">
        <f>VLOOKUP($B383,選擇權未平倉餘額!$A$4:$I$500,8,FALSE)</f>
        <v>#N/A</v>
      </c>
      <c r="U383" s="64" t="e">
        <f>VLOOKUP($B383,選擇權未平倉餘額!$A$4:$I$500,9,FALSE)</f>
        <v>#N/A</v>
      </c>
      <c r="V383" s="39" t="e">
        <f>VLOOKUP($B383,臺指選擇權P_C_Ratios!$A$4:$C$500,3,FALSE)</f>
        <v>#N/A</v>
      </c>
      <c r="W383" s="41" t="e">
        <f>VLOOKUP($B383,散戶多空比!$A$6:$L$500,12,FALSE)</f>
        <v>#N/A</v>
      </c>
      <c r="X383" s="40" t="e">
        <f>VLOOKUP($B383,期貨大額交易人未沖銷部位!$A$4:$O$499,4,FALSE)</f>
        <v>#N/A</v>
      </c>
      <c r="Y383" s="40" t="e">
        <f>VLOOKUP($B383,期貨大額交易人未沖銷部位!$A$4:$O$499,7,FALSE)</f>
        <v>#N/A</v>
      </c>
      <c r="Z383" s="40" t="e">
        <f>VLOOKUP($B383,期貨大額交易人未沖銷部位!$A$4:$O$499,10,FALSE)</f>
        <v>#N/A</v>
      </c>
      <c r="AA383" s="40" t="e">
        <f>VLOOKUP($B383,期貨大額交易人未沖銷部位!$A$4:$O$499,13,FALSE)</f>
        <v>#N/A</v>
      </c>
      <c r="AB383" s="40" t="e">
        <f>VLOOKUP($B383,期貨大額交易人未沖銷部位!$A$4:$O$499,14,FALSE)</f>
        <v>#N/A</v>
      </c>
      <c r="AC383" s="40" t="e">
        <f>VLOOKUP($B383,期貨大額交易人未沖銷部位!$A$4:$O$499,15,FALSE)</f>
        <v>#N/A</v>
      </c>
      <c r="AD383" s="33" t="e">
        <f>VLOOKUP($B383,三大美股走勢!$A$4:$J$495,4,FALSE)</f>
        <v>#N/A</v>
      </c>
      <c r="AE383" s="33" t="e">
        <f>VLOOKUP($B383,三大美股走勢!$A$4:$J$495,7,FALSE)</f>
        <v>#N/A</v>
      </c>
      <c r="AF383" s="33" t="e">
        <f>VLOOKUP($B383,三大美股走勢!$A$4:$J$495,10,FALSE)</f>
        <v>#N/A</v>
      </c>
    </row>
    <row r="384" spans="2:32">
      <c r="B384" s="32">
        <v>43163</v>
      </c>
      <c r="C384" s="33" t="e">
        <f>VLOOKUP($B384,大盤與近月台指!$A$4:$I$499,2,FALSE)</f>
        <v>#N/A</v>
      </c>
      <c r="D384" s="34" t="e">
        <f>VLOOKUP($B384,大盤與近月台指!$A$4:$I$499,3,FALSE)</f>
        <v>#N/A</v>
      </c>
      <c r="E384" s="35" t="e">
        <f>VLOOKUP($B384,大盤與近月台指!$A$4:$I$499,4,FALSE)</f>
        <v>#N/A</v>
      </c>
      <c r="F384" s="33" t="e">
        <f>VLOOKUP($B384,大盤與近月台指!$A$4:$I$499,5,FALSE)</f>
        <v>#N/A</v>
      </c>
      <c r="G384" s="49" t="e">
        <f>VLOOKUP($B384,三大法人買賣超!$A$4:$I$500,3,FALSE)</f>
        <v>#N/A</v>
      </c>
      <c r="H384" s="34" t="e">
        <f>VLOOKUP($B384,三大法人買賣超!$A$4:$I$500,5,FALSE)</f>
        <v>#N/A</v>
      </c>
      <c r="I384" s="27" t="e">
        <f>VLOOKUP($B384,三大法人買賣超!$A$4:$I$500,7,FALSE)</f>
        <v>#N/A</v>
      </c>
      <c r="J384" s="27" t="e">
        <f>VLOOKUP($B384,三大法人買賣超!$A$4:$I$500,9,FALSE)</f>
        <v>#N/A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 t="e">
        <f>VLOOKUP($B384,外資期貨未平倉口數!$A$4:$M$499,4,FALSE)</f>
        <v>#N/A</v>
      </c>
      <c r="O384" s="27" t="e">
        <f>VLOOKUP($B384,外資期貨未平倉口數!$A$4:$M$499,9,FALSE)</f>
        <v>#N/A</v>
      </c>
      <c r="P384" s="27" t="e">
        <f>VLOOKUP($B384,外資期貨未平倉口數!$A$4:$M$499,10,FALSE)</f>
        <v>#N/A</v>
      </c>
      <c r="Q384" s="27" t="e">
        <f>VLOOKUP($B384,外資期貨未平倉口數!$A$4:$M$499,11,FALSE)</f>
        <v>#N/A</v>
      </c>
      <c r="R384" s="64" t="e">
        <f>VLOOKUP($B384,選擇權未平倉餘額!$A$4:$I$500,6,FALSE)</f>
        <v>#N/A</v>
      </c>
      <c r="S384" s="64" t="e">
        <f>VLOOKUP($B384,選擇權未平倉餘額!$A$4:$I$500,7,FALSE)</f>
        <v>#N/A</v>
      </c>
      <c r="T384" s="64" t="e">
        <f>VLOOKUP($B384,選擇權未平倉餘額!$A$4:$I$500,8,FALSE)</f>
        <v>#N/A</v>
      </c>
      <c r="U384" s="64" t="e">
        <f>VLOOKUP($B384,選擇權未平倉餘額!$A$4:$I$500,9,FALSE)</f>
        <v>#N/A</v>
      </c>
      <c r="V384" s="39" t="e">
        <f>VLOOKUP($B384,臺指選擇權P_C_Ratios!$A$4:$C$500,3,FALSE)</f>
        <v>#N/A</v>
      </c>
      <c r="W384" s="41" t="e">
        <f>VLOOKUP($B384,散戶多空比!$A$6:$L$500,12,FALSE)</f>
        <v>#N/A</v>
      </c>
      <c r="X384" s="40" t="e">
        <f>VLOOKUP($B384,期貨大額交易人未沖銷部位!$A$4:$O$499,4,FALSE)</f>
        <v>#N/A</v>
      </c>
      <c r="Y384" s="40" t="e">
        <f>VLOOKUP($B384,期貨大額交易人未沖銷部位!$A$4:$O$499,7,FALSE)</f>
        <v>#N/A</v>
      </c>
      <c r="Z384" s="40" t="e">
        <f>VLOOKUP($B384,期貨大額交易人未沖銷部位!$A$4:$O$499,10,FALSE)</f>
        <v>#N/A</v>
      </c>
      <c r="AA384" s="40" t="e">
        <f>VLOOKUP($B384,期貨大額交易人未沖銷部位!$A$4:$O$499,13,FALSE)</f>
        <v>#N/A</v>
      </c>
      <c r="AB384" s="40" t="e">
        <f>VLOOKUP($B384,期貨大額交易人未沖銷部位!$A$4:$O$499,14,FALSE)</f>
        <v>#N/A</v>
      </c>
      <c r="AC384" s="40" t="e">
        <f>VLOOKUP($B384,期貨大額交易人未沖銷部位!$A$4:$O$499,15,FALSE)</f>
        <v>#N/A</v>
      </c>
      <c r="AD384" s="33" t="e">
        <f>VLOOKUP($B384,三大美股走勢!$A$4:$J$495,4,FALSE)</f>
        <v>#N/A</v>
      </c>
      <c r="AE384" s="33" t="e">
        <f>VLOOKUP($B384,三大美股走勢!$A$4:$J$495,7,FALSE)</f>
        <v>#N/A</v>
      </c>
      <c r="AF384" s="33" t="e">
        <f>VLOOKUP($B384,三大美股走勢!$A$4:$J$495,10,FALSE)</f>
        <v>#N/A</v>
      </c>
    </row>
    <row r="385" spans="2:32">
      <c r="B385" s="32">
        <v>43164</v>
      </c>
      <c r="C385" s="33" t="e">
        <f>VLOOKUP($B385,大盤與近月台指!$A$4:$I$499,2,FALSE)</f>
        <v>#N/A</v>
      </c>
      <c r="D385" s="34" t="e">
        <f>VLOOKUP($B385,大盤與近月台指!$A$4:$I$499,3,FALSE)</f>
        <v>#N/A</v>
      </c>
      <c r="E385" s="35" t="e">
        <f>VLOOKUP($B385,大盤與近月台指!$A$4:$I$499,4,FALSE)</f>
        <v>#N/A</v>
      </c>
      <c r="F385" s="33" t="e">
        <f>VLOOKUP($B385,大盤與近月台指!$A$4:$I$499,5,FALSE)</f>
        <v>#N/A</v>
      </c>
      <c r="G385" s="49" t="e">
        <f>VLOOKUP($B385,三大法人買賣超!$A$4:$I$500,3,FALSE)</f>
        <v>#N/A</v>
      </c>
      <c r="H385" s="34" t="e">
        <f>VLOOKUP($B385,三大法人買賣超!$A$4:$I$500,5,FALSE)</f>
        <v>#N/A</v>
      </c>
      <c r="I385" s="27" t="e">
        <f>VLOOKUP($B385,三大法人買賣超!$A$4:$I$500,7,FALSE)</f>
        <v>#N/A</v>
      </c>
      <c r="J385" s="27" t="e">
        <f>VLOOKUP($B385,三大法人買賣超!$A$4:$I$500,9,FALSE)</f>
        <v>#N/A</v>
      </c>
      <c r="K385" s="37">
        <f>新台幣匯率美元指數!B386</f>
        <v>0</v>
      </c>
      <c r="L385" s="38">
        <f>新台幣匯率美元指數!C386</f>
        <v>0</v>
      </c>
      <c r="M385" s="39">
        <f>新台幣匯率美元指數!D386</f>
        <v>0</v>
      </c>
      <c r="N385" s="27" t="e">
        <f>VLOOKUP($B385,外資期貨未平倉口數!$A$4:$M$499,4,FALSE)</f>
        <v>#N/A</v>
      </c>
      <c r="O385" s="27" t="e">
        <f>VLOOKUP($B385,外資期貨未平倉口數!$A$4:$M$499,9,FALSE)</f>
        <v>#N/A</v>
      </c>
      <c r="P385" s="27" t="e">
        <f>VLOOKUP($B385,外資期貨未平倉口數!$A$4:$M$499,10,FALSE)</f>
        <v>#N/A</v>
      </c>
      <c r="Q385" s="27" t="e">
        <f>VLOOKUP($B385,外資期貨未平倉口數!$A$4:$M$499,11,FALSE)</f>
        <v>#N/A</v>
      </c>
      <c r="R385" s="64" t="e">
        <f>VLOOKUP($B385,選擇權未平倉餘額!$A$4:$I$500,6,FALSE)</f>
        <v>#N/A</v>
      </c>
      <c r="S385" s="64" t="e">
        <f>VLOOKUP($B385,選擇權未平倉餘額!$A$4:$I$500,7,FALSE)</f>
        <v>#N/A</v>
      </c>
      <c r="T385" s="64" t="e">
        <f>VLOOKUP($B385,選擇權未平倉餘額!$A$4:$I$500,8,FALSE)</f>
        <v>#N/A</v>
      </c>
      <c r="U385" s="64" t="e">
        <f>VLOOKUP($B385,選擇權未平倉餘額!$A$4:$I$500,9,FALSE)</f>
        <v>#N/A</v>
      </c>
      <c r="V385" s="39" t="e">
        <f>VLOOKUP($B385,臺指選擇權P_C_Ratios!$A$4:$C$500,3,FALSE)</f>
        <v>#N/A</v>
      </c>
      <c r="W385" s="41" t="e">
        <f>VLOOKUP($B385,散戶多空比!$A$6:$L$500,12,FALSE)</f>
        <v>#N/A</v>
      </c>
      <c r="X385" s="40" t="e">
        <f>VLOOKUP($B385,期貨大額交易人未沖銷部位!$A$4:$O$499,4,FALSE)</f>
        <v>#N/A</v>
      </c>
      <c r="Y385" s="40" t="e">
        <f>VLOOKUP($B385,期貨大額交易人未沖銷部位!$A$4:$O$499,7,FALSE)</f>
        <v>#N/A</v>
      </c>
      <c r="Z385" s="40" t="e">
        <f>VLOOKUP($B385,期貨大額交易人未沖銷部位!$A$4:$O$499,10,FALSE)</f>
        <v>#N/A</v>
      </c>
      <c r="AA385" s="40" t="e">
        <f>VLOOKUP($B385,期貨大額交易人未沖銷部位!$A$4:$O$499,13,FALSE)</f>
        <v>#N/A</v>
      </c>
      <c r="AB385" s="40" t="e">
        <f>VLOOKUP($B385,期貨大額交易人未沖銷部位!$A$4:$O$499,14,FALSE)</f>
        <v>#N/A</v>
      </c>
      <c r="AC385" s="40" t="e">
        <f>VLOOKUP($B385,期貨大額交易人未沖銷部位!$A$4:$O$499,15,FALSE)</f>
        <v>#N/A</v>
      </c>
      <c r="AD385" s="33" t="e">
        <f>VLOOKUP($B385,三大美股走勢!$A$4:$J$495,4,FALSE)</f>
        <v>#N/A</v>
      </c>
      <c r="AE385" s="33" t="e">
        <f>VLOOKUP($B385,三大美股走勢!$A$4:$J$495,7,FALSE)</f>
        <v>#N/A</v>
      </c>
      <c r="AF385" s="33" t="e">
        <f>VLOOKUP($B385,三大美股走勢!$A$4:$J$495,10,FALSE)</f>
        <v>#N/A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VLOOKUP($B386,外資期貨未平倉口數!$A$4:$M$499,4,FALSE)</f>
        <v>#N/A</v>
      </c>
      <c r="O386" s="27" t="e">
        <f>VLOOKUP($B386,外資期貨未平倉口數!$A$4:$M$499,9,FALSE)</f>
        <v>#N/A</v>
      </c>
      <c r="P386" s="27" t="e">
        <f>VLOOKUP($B386,外資期貨未平倉口數!$A$4:$M$499,10,FALSE)</f>
        <v>#N/A</v>
      </c>
      <c r="Q386" s="27" t="e">
        <f>VLOOKUP($B386,外資期貨未平倉口數!$A$4:$M$499,11,FALSE)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VLOOKUP($B387,外資期貨未平倉口數!$A$4:$M$499,4,FALSE)</f>
        <v>#N/A</v>
      </c>
      <c r="O387" s="27" t="e">
        <f>VLOOKUP($B387,外資期貨未平倉口數!$A$4:$M$499,9,FALSE)</f>
        <v>#N/A</v>
      </c>
      <c r="P387" s="27" t="e">
        <f>VLOOKUP($B387,外資期貨未平倉口數!$A$4:$M$499,10,FALSE)</f>
        <v>#N/A</v>
      </c>
      <c r="Q387" s="27" t="e">
        <f>VLOOKUP($B387,外資期貨未平倉口數!$A$4:$M$499,11,FALSE)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58"/>
  <sheetViews>
    <sheetView zoomScaleNormal="100" workbookViewId="0">
      <pane ySplit="3" topLeftCell="A347" activePane="bottomLeft" state="frozen"/>
      <selection pane="bottomLeft" activeCell="I363" sqref="I363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230</v>
      </c>
      <c r="F332" s="72">
        <v>10774</v>
      </c>
      <c r="G332" s="21">
        <v>-36</v>
      </c>
      <c r="H332" s="44">
        <v>-3.3E-3</v>
      </c>
      <c r="I332" s="42" t="s">
        <v>231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232</v>
      </c>
      <c r="F333" s="72">
        <v>10792</v>
      </c>
      <c r="G333" s="21">
        <v>-7</v>
      </c>
      <c r="H333" s="44">
        <v>-5.9999999999999995E-4</v>
      </c>
      <c r="I333" s="42" t="s">
        <v>233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234</v>
      </c>
      <c r="F334" s="72">
        <v>10916</v>
      </c>
      <c r="G334" s="21">
        <v>40</v>
      </c>
      <c r="H334" s="44">
        <v>3.7000000000000002E-3</v>
      </c>
      <c r="I334" s="42" t="s">
        <v>235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236</v>
      </c>
      <c r="F337" s="72">
        <v>10943</v>
      </c>
      <c r="G337" s="21">
        <v>-13</v>
      </c>
      <c r="H337" s="44">
        <v>-1.1999999999999999E-3</v>
      </c>
      <c r="I337" s="42" t="s">
        <v>237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238</v>
      </c>
      <c r="F338" s="72">
        <v>11010</v>
      </c>
      <c r="G338" s="21">
        <v>27</v>
      </c>
      <c r="H338" s="44">
        <v>2.5000000000000001E-3</v>
      </c>
      <c r="I338" s="42" t="s">
        <v>239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240</v>
      </c>
      <c r="F339" s="72">
        <v>11008</v>
      </c>
      <c r="G339" s="21">
        <v>19</v>
      </c>
      <c r="H339" s="44">
        <v>1.6999999999999999E-3</v>
      </c>
      <c r="I339" s="42" t="s">
        <v>241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243</v>
      </c>
      <c r="F340" s="72">
        <v>11068</v>
      </c>
      <c r="G340" s="21">
        <v>10</v>
      </c>
      <c r="H340" s="44">
        <v>8.9999999999999998E-4</v>
      </c>
      <c r="I340" s="42" t="s">
        <v>244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245</v>
      </c>
      <c r="F341" s="72">
        <v>11180</v>
      </c>
      <c r="G341" s="21">
        <v>42</v>
      </c>
      <c r="H341" s="44">
        <v>3.8E-3</v>
      </c>
      <c r="I341" s="42" t="s">
        <v>246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256</v>
      </c>
      <c r="F344" s="72">
        <v>11201</v>
      </c>
      <c r="G344" s="21">
        <v>-21</v>
      </c>
      <c r="H344" s="44">
        <v>-1.9E-3</v>
      </c>
      <c r="I344" s="42" t="s">
        <v>257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264</v>
      </c>
      <c r="F345" s="72">
        <v>11204</v>
      </c>
      <c r="G345" s="21">
        <v>-21</v>
      </c>
      <c r="H345" s="44">
        <v>-1.9E-3</v>
      </c>
      <c r="I345" s="42" t="s">
        <v>265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266</v>
      </c>
      <c r="F346" s="72">
        <v>11140</v>
      </c>
      <c r="G346" s="21">
        <v>15</v>
      </c>
      <c r="H346" s="44">
        <v>1.2999999999999999E-3</v>
      </c>
      <c r="I346" s="42" t="s">
        <v>267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268</v>
      </c>
      <c r="F347" s="72">
        <v>11164</v>
      </c>
      <c r="G347" s="21">
        <v>15</v>
      </c>
      <c r="H347" s="44">
        <v>1.2999999999999999E-3</v>
      </c>
      <c r="I347" s="42" t="s">
        <v>269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270</v>
      </c>
      <c r="F348" s="72">
        <v>11151</v>
      </c>
      <c r="G348" s="21">
        <v>7</v>
      </c>
      <c r="H348" s="44">
        <v>5.9999999999999995E-4</v>
      </c>
      <c r="I348" s="42" t="s">
        <v>271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338</v>
      </c>
      <c r="F351" s="72">
        <v>11173</v>
      </c>
      <c r="G351" s="21">
        <v>-24</v>
      </c>
      <c r="H351" s="44">
        <v>-2.0999999999999999E-3</v>
      </c>
      <c r="I351" s="42" t="s">
        <v>339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340</v>
      </c>
      <c r="F353" s="72">
        <v>11115</v>
      </c>
      <c r="G353" s="21">
        <v>17</v>
      </c>
      <c r="H353" s="44">
        <v>1.5E-3</v>
      </c>
      <c r="I353" s="42" t="s">
        <v>341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342</v>
      </c>
      <c r="F354" s="72">
        <v>11143</v>
      </c>
      <c r="G354" s="21">
        <v>-17</v>
      </c>
      <c r="H354" s="44">
        <v>-1.5E-3</v>
      </c>
      <c r="I354" s="42" t="s">
        <v>343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344</v>
      </c>
      <c r="F355" s="72">
        <v>11074</v>
      </c>
      <c r="G355" s="21">
        <v>-40</v>
      </c>
      <c r="H355" s="44">
        <v>-3.5999999999999999E-3</v>
      </c>
      <c r="I355" s="42" t="s">
        <v>345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346</v>
      </c>
      <c r="F358" s="72">
        <v>10907</v>
      </c>
      <c r="G358" s="21">
        <v>-20</v>
      </c>
      <c r="H358" s="44">
        <v>-1.8E-3</v>
      </c>
      <c r="I358" s="42" t="s">
        <v>347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58"/>
  <sheetViews>
    <sheetView workbookViewId="0">
      <pane ySplit="3" topLeftCell="A344" activePane="bottomLeft" state="frozen"/>
      <selection pane="bottomLeft" activeCell="H363" sqref="H363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242</v>
      </c>
      <c r="I2" s="135"/>
      <c r="J2" s="1">
        <v>1</v>
      </c>
      <c r="K2" s="1" t="s">
        <v>193</v>
      </c>
      <c r="L2" s="94" t="s">
        <v>249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248</v>
      </c>
      <c r="L3" s="2" t="s">
        <v>247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6:C358" si="252">B358/100000000</f>
        <v>-11.65803075</v>
      </c>
      <c r="D358" s="102">
        <v>-830339612</v>
      </c>
      <c r="E358" s="95">
        <f t="shared" ref="E356:E358" si="253">D358/100000000</f>
        <v>-8.3033961200000004</v>
      </c>
      <c r="F358" s="102">
        <v>-450250074</v>
      </c>
      <c r="G358" s="98">
        <f t="shared" ref="G356:G358" si="254">F358/100000000</f>
        <v>-4.5025007400000003</v>
      </c>
      <c r="H358" s="102">
        <v>-8343955637</v>
      </c>
      <c r="I358" s="98">
        <f t="shared" ref="I356:I358" si="255">H358/100000000</f>
        <v>-83.439556370000005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59"/>
  <sheetViews>
    <sheetView zoomScale="85" zoomScaleNormal="85" workbookViewId="0">
      <pane ySplit="3" topLeftCell="A352" activePane="bottomLeft" state="frozen"/>
      <selection pane="bottomLeft" activeCell="I380" sqref="I380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255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253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254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7: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7:I359" si="226">G359+H359/4</f>
        <v>40000.25</v>
      </c>
      <c r="J359" s="10">
        <f t="shared" ref="J357: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58"/>
  <sheetViews>
    <sheetView zoomScale="80" zoomScaleNormal="80" workbookViewId="0">
      <pane ySplit="3" topLeftCell="A344" activePane="bottomLeft" state="frozen"/>
      <selection pane="bottomLeft" activeCell="L358" sqref="L358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262</v>
      </c>
      <c r="R2" s="94" t="s">
        <v>263</v>
      </c>
    </row>
    <row r="3" spans="1:18" ht="16.2">
      <c r="A3" s="15" t="s">
        <v>40</v>
      </c>
      <c r="B3" s="147" t="s">
        <v>229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6:D358" si="441">B358-C358</f>
        <v>-3111</v>
      </c>
      <c r="E358" s="10">
        <v>59318</v>
      </c>
      <c r="F358" s="10">
        <v>58903</v>
      </c>
      <c r="G358" s="26">
        <f t="shared" ref="G356:G358" si="442">E358-F358</f>
        <v>415</v>
      </c>
      <c r="H358" s="10">
        <v>47614</v>
      </c>
      <c r="I358" s="10">
        <v>50869</v>
      </c>
      <c r="J358" s="25">
        <f t="shared" ref="J356:J358" si="443">H358-I358</f>
        <v>-3255</v>
      </c>
      <c r="K358" s="10">
        <v>65161</v>
      </c>
      <c r="L358" s="10">
        <v>62876</v>
      </c>
      <c r="M358" s="26">
        <f t="shared" ref="M356:M358" si="444">K358-L358</f>
        <v>2285</v>
      </c>
      <c r="N358" s="25">
        <f t="shared" ref="N356:N358" si="445">J358-D358</f>
        <v>-144</v>
      </c>
      <c r="O358" s="26">
        <f t="shared" ref="O356:O358" si="446">M358-G358</f>
        <v>1870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58"/>
  <sheetViews>
    <sheetView zoomScale="85" zoomScaleNormal="85" workbookViewId="0">
      <pane ySplit="3" topLeftCell="A356" activePane="bottomLeft" state="frozen"/>
      <selection pane="bottomLeft" activeCell="J355" sqref="J355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258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6:F358" si="303">B358/10000</f>
        <v>-2.3456000000000001</v>
      </c>
      <c r="G358" s="22">
        <f t="shared" ref="G356:G358" si="304">C358/10000</f>
        <v>-12.3498</v>
      </c>
      <c r="H358" s="22">
        <f t="shared" ref="H356:H358" si="305">D358/10000</f>
        <v>38.532299999999999</v>
      </c>
      <c r="I358" s="22">
        <f t="shared" ref="I356:I358" si="306">E358/10000</f>
        <v>66.917900000000003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58"/>
  <sheetViews>
    <sheetView zoomScaleNormal="100" workbookViewId="0">
      <pane xSplit="1" ySplit="3" topLeftCell="B348" activePane="bottomRight" state="frozen"/>
      <selection pane="topRight" activeCell="B1" sqref="B1"/>
      <selection pane="bottomLeft" activeCell="A4" sqref="A4"/>
      <selection pane="bottomRight" activeCell="E360" sqref="E360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259</v>
      </c>
      <c r="F2" s="94" t="s">
        <v>261</v>
      </c>
    </row>
    <row r="3" spans="1:6">
      <c r="A3" s="15" t="s">
        <v>40</v>
      </c>
      <c r="B3" s="125" t="s">
        <v>72</v>
      </c>
      <c r="C3" s="122"/>
      <c r="E3" s="2" t="s">
        <v>260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6:C358" si="73">B358/100</f>
        <v>1.4784999999999999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58"/>
  <sheetViews>
    <sheetView workbookViewId="0">
      <pane ySplit="3" topLeftCell="A348" activePane="bottomLeft" state="frozen"/>
      <selection pane="bottomLeft" activeCell="D364" sqref="D364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250</v>
      </c>
      <c r="G2" s="94" t="s">
        <v>251</v>
      </c>
    </row>
    <row r="3" spans="1:7" ht="16.2">
      <c r="A3" s="122"/>
      <c r="B3" s="153" t="s">
        <v>149</v>
      </c>
      <c r="C3" s="122"/>
      <c r="D3" s="122"/>
      <c r="G3" s="2" t="s">
        <v>252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60"/>
  <sheetViews>
    <sheetView zoomScale="85" zoomScaleNormal="85" workbookViewId="0">
      <pane xSplit="1" ySplit="4" topLeftCell="B354" activePane="bottomRight" state="frozen"/>
      <selection pane="topRight" activeCell="B1" sqref="B1"/>
      <selection pane="bottomLeft" activeCell="A5" sqref="A5"/>
      <selection pane="bottomRight" activeCell="J361" sqref="J361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332031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58: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58:K360" si="217">B360-SUM(H360:J360)</f>
        <v>27772</v>
      </c>
      <c r="L360" s="20">
        <f t="shared" ref="L358:L360" si="218">(F360-K360)/B360</f>
        <v>3.331272752249468E-2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62"/>
  <sheetViews>
    <sheetView zoomScaleNormal="100" workbookViewId="0">
      <pane ySplit="3" topLeftCell="A349" activePane="bottomLeft" state="frozen"/>
      <selection pane="bottomLeft" activeCell="L360" sqref="L360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/>
      <c r="C358" s="27"/>
      <c r="D358" s="91"/>
      <c r="E358" s="89"/>
      <c r="F358" s="27"/>
      <c r="G358" s="91"/>
      <c r="H358" s="89"/>
      <c r="I358" s="27"/>
      <c r="J358" s="91"/>
    </row>
    <row r="359" spans="1:10">
      <c r="A359" s="92">
        <v>43137</v>
      </c>
      <c r="B359" s="89"/>
      <c r="C359" s="27"/>
      <c r="D359" s="91"/>
      <c r="E359" s="89"/>
      <c r="F359" s="27"/>
      <c r="G359" s="91"/>
      <c r="H359" s="89"/>
      <c r="I359" s="27"/>
      <c r="J359" s="91"/>
    </row>
    <row r="360" spans="1:10">
      <c r="A360" s="92">
        <v>43138</v>
      </c>
      <c r="B360" s="89"/>
      <c r="C360" s="27"/>
      <c r="D360" s="91"/>
      <c r="E360" s="89"/>
      <c r="F360" s="27"/>
      <c r="G360" s="91"/>
      <c r="H360" s="89"/>
      <c r="I360" s="27"/>
      <c r="J360" s="91"/>
    </row>
    <row r="361" spans="1:10">
      <c r="A361" s="92">
        <v>43139</v>
      </c>
      <c r="B361" s="89"/>
      <c r="C361" s="27"/>
      <c r="D361" s="91"/>
      <c r="E361" s="89"/>
      <c r="F361" s="27"/>
      <c r="G361" s="91"/>
      <c r="H361" s="89"/>
      <c r="I361" s="27"/>
      <c r="J361" s="91"/>
    </row>
    <row r="362" spans="1:10">
      <c r="A362" s="92">
        <v>43140</v>
      </c>
      <c r="B362" s="89"/>
      <c r="C362" s="27"/>
      <c r="D362" s="91"/>
      <c r="E362" s="89"/>
      <c r="F362" s="27"/>
      <c r="G362" s="91"/>
      <c r="H362" s="89"/>
      <c r="I362" s="27"/>
      <c r="J362" s="91"/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2018-02-05T11:51:44Z</dcterms:modified>
</cp:coreProperties>
</file>