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3" i="15" l="1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<sst xmlns="http://schemas.openxmlformats.org/spreadsheetml/2006/main" count="431" uniqueCount="340">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</sst>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520093697"/>
  <ax:ocxPr ax:name="CurrentDate" ax:value="4312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272</v>
      </c>
    </row>
    <row r="4" spans="2:2">
      <c r="B4" t="s">
        <v>273</v>
      </c>
    </row>
    <row r="5" spans="2:2">
      <c r="B5" t="s">
        <v>274</v>
      </c>
    </row>
    <row r="6" spans="2:2">
      <c r="B6" t="s">
        <v>275</v>
      </c>
    </row>
    <row r="7" spans="2:2">
      <c r="B7" t="s">
        <v>276</v>
      </c>
    </row>
    <row r="8" spans="2:2">
      <c r="B8" t="s">
        <v>277</v>
      </c>
    </row>
    <row r="9" spans="2:2">
      <c r="B9" t="s">
        <v>278</v>
      </c>
    </row>
    <row r="10" spans="2:2">
      <c r="B10" t="s">
        <v>279</v>
      </c>
    </row>
    <row r="11" spans="2:2">
      <c r="B11" t="s">
        <v>280</v>
      </c>
    </row>
    <row r="12" spans="2:2">
      <c r="B12" t="s">
        <v>281</v>
      </c>
    </row>
    <row r="13" spans="2:2">
      <c r="B13" t="s">
        <v>282</v>
      </c>
    </row>
    <row r="14" spans="2:2">
      <c r="B14" t="s">
        <v>283</v>
      </c>
    </row>
    <row r="15" spans="2:2">
      <c r="B15" t="s">
        <v>284</v>
      </c>
    </row>
    <row r="17" spans="2:2">
      <c r="B17" t="s">
        <v>285</v>
      </c>
    </row>
    <row r="18" spans="2:2">
      <c r="B18" t="s">
        <v>286</v>
      </c>
    </row>
    <row r="19" spans="2:2">
      <c r="B19" t="s">
        <v>287</v>
      </c>
    </row>
    <row r="20" spans="2:2">
      <c r="B20" t="s">
        <v>288</v>
      </c>
    </row>
    <row r="22" spans="2:2">
      <c r="B22" t="s">
        <v>289</v>
      </c>
    </row>
    <row r="23" spans="2:2">
      <c r="B23" t="s">
        <v>290</v>
      </c>
    </row>
    <row r="24" spans="2:2">
      <c r="B24" t="s">
        <v>291</v>
      </c>
    </row>
    <row r="25" spans="2:2">
      <c r="B25" t="s">
        <v>292</v>
      </c>
    </row>
    <row r="26" spans="2:2">
      <c r="B26" t="s">
        <v>293</v>
      </c>
    </row>
    <row r="27" spans="2:2">
      <c r="B27" t="s">
        <v>294</v>
      </c>
    </row>
    <row r="28" spans="2:2">
      <c r="B28" t="s">
        <v>295</v>
      </c>
    </row>
    <row r="29" spans="2:2">
      <c r="B29" t="s">
        <v>296</v>
      </c>
    </row>
    <row r="30" spans="2:2">
      <c r="B30" t="s">
        <v>297</v>
      </c>
    </row>
    <row r="31" spans="2:2">
      <c r="B31" t="s">
        <v>298</v>
      </c>
    </row>
    <row r="32" spans="2:2">
      <c r="B32" t="s">
        <v>299</v>
      </c>
    </row>
    <row r="33" spans="2:2">
      <c r="B33" t="s">
        <v>300</v>
      </c>
    </row>
    <row r="34" spans="2:2">
      <c r="B34" t="s">
        <v>301</v>
      </c>
    </row>
    <row r="35" spans="2:2">
      <c r="B35" t="s">
        <v>302</v>
      </c>
    </row>
    <row r="36" spans="2:2">
      <c r="B36" t="s">
        <v>303</v>
      </c>
    </row>
    <row r="37" spans="2:2">
      <c r="B37" t="s">
        <v>304</v>
      </c>
    </row>
    <row r="38" spans="2:2">
      <c r="B38" t="s">
        <v>305</v>
      </c>
    </row>
    <row r="39" spans="2:2">
      <c r="B39" t="s">
        <v>306</v>
      </c>
    </row>
    <row r="40" spans="2:2">
      <c r="B40" t="s">
        <v>307</v>
      </c>
    </row>
    <row r="41" spans="2:2">
      <c r="B41" t="s">
        <v>308</v>
      </c>
    </row>
    <row r="42" spans="2:2">
      <c r="B42" t="s">
        <v>309</v>
      </c>
    </row>
    <row r="43" spans="2:2">
      <c r="B43" t="s">
        <v>310</v>
      </c>
    </row>
    <row r="44" spans="2:2">
      <c r="B44" t="s">
        <v>311</v>
      </c>
    </row>
    <row r="45" spans="2:2">
      <c r="B45" t="s">
        <v>312</v>
      </c>
    </row>
    <row r="46" spans="2:2">
      <c r="B46" t="s">
        <v>313</v>
      </c>
    </row>
    <row r="47" spans="2:2">
      <c r="B47" t="s">
        <v>314</v>
      </c>
    </row>
    <row r="49" spans="2:2">
      <c r="B49" t="s">
        <v>315</v>
      </c>
    </row>
    <row r="50" spans="2:2">
      <c r="B50" t="s">
        <v>316</v>
      </c>
    </row>
    <row r="51" spans="2:2">
      <c r="B51" t="s">
        <v>317</v>
      </c>
    </row>
    <row r="52" spans="2:2">
      <c r="B52" t="s">
        <v>318</v>
      </c>
    </row>
    <row r="53" spans="2:2">
      <c r="B53" t="s">
        <v>319</v>
      </c>
    </row>
    <row r="54" spans="2:2">
      <c r="B54" t="s">
        <v>320</v>
      </c>
    </row>
    <row r="55" spans="2:2">
      <c r="B55" t="s">
        <v>321</v>
      </c>
    </row>
    <row r="56" spans="2:2">
      <c r="B56" t="s">
        <v>322</v>
      </c>
    </row>
    <row r="57" spans="2:2">
      <c r="B57" t="s">
        <v>323</v>
      </c>
    </row>
    <row r="58" spans="2:2">
      <c r="B58" t="s">
        <v>324</v>
      </c>
    </row>
    <row r="59" spans="2:2">
      <c r="B59" t="s">
        <v>325</v>
      </c>
    </row>
    <row r="60" spans="2:2">
      <c r="B60" t="s">
        <v>326</v>
      </c>
    </row>
    <row r="62" spans="2:2">
      <c r="B62" t="s">
        <v>327</v>
      </c>
    </row>
    <row r="63" spans="2:2">
      <c r="B63" t="s">
        <v>328</v>
      </c>
    </row>
    <row r="64" spans="2:2">
      <c r="B64" t="s">
        <v>329</v>
      </c>
    </row>
    <row r="65" spans="2:2">
      <c r="B65" t="s">
        <v>330</v>
      </c>
    </row>
    <row r="67" spans="2:2">
      <c r="B67" t="s">
        <v>331</v>
      </c>
    </row>
    <row r="68" spans="2:2">
      <c r="B68" t="s">
        <v>332</v>
      </c>
    </row>
    <row r="69" spans="2:2">
      <c r="B69" t="s">
        <v>333</v>
      </c>
    </row>
    <row r="70" spans="2:2">
      <c r="B70" t="s">
        <v>334</v>
      </c>
    </row>
    <row r="71" spans="2:2">
      <c r="B71" t="s">
        <v>335</v>
      </c>
    </row>
    <row r="72" spans="2:2">
      <c r="B72" t="s">
        <v>336</v>
      </c>
    </row>
    <row r="73" spans="2:2">
      <c r="B73" t="s">
        <v>337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D17" sqref="D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43129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11221.81</v>
      </c>
      <c r="D7" s="34">
        <f>VLOOKUP($B$6,資料整合一覽!$B$3:$AF$500,3,FALSE)</f>
        <v>74.709999999999994</v>
      </c>
      <c r="E7" s="35">
        <f>VLOOKUP($B$6,資料整合一覽!$B$3:$AF$500,4,FALSE)</f>
        <v>6.7000000000000002E-3</v>
      </c>
      <c r="F7" s="33" t="str">
        <f>VLOOKUP($B$6,資料整合一覽!$B$3:$AF$500,5,FALSE)</f>
        <v>1307.71億</v>
      </c>
      <c r="G7" s="36">
        <f>VLOOKUP($B$6,資料整合一覽!$B$3:$AF$500,6,FALSE)</f>
        <v>2.1249595000000001</v>
      </c>
      <c r="H7" s="34">
        <f>VLOOKUP($B$6,資料整合一覽!$B$3:$AF$500,7,FALSE)</f>
        <v>-5.3802989999999999</v>
      </c>
      <c r="I7" s="34">
        <f>VLOOKUP($B$6,資料整合一覽!$B$3:$AF$500,8,FALSE)</f>
        <v>4.0118843200000001</v>
      </c>
      <c r="J7" s="34">
        <f>VLOOKUP($B$6,資料整合一覽!$B$3:$AF$500,9,FALSE)</f>
        <v>20.12535961</v>
      </c>
      <c r="K7" s="37">
        <f>VLOOKUP($B$6,資料整合一覽!$B$3:$AF$500,10,FALSE)</f>
        <v>29.15</v>
      </c>
      <c r="L7" s="38">
        <f>VLOOKUP($B$6,資料整合一覽!$B$3:$AF$500,11,FALSE)</f>
        <v>4.9000000000000002E-2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1861</v>
      </c>
      <c r="D11" s="27">
        <f>VLOOKUP($B$6,資料整合一覽!$B$3:$AF$500,14,FALSE)</f>
        <v>45441.75</v>
      </c>
      <c r="E11" s="64">
        <f>VLOOKUP($B$6,資料整合一覽!$B$3:$AF$500,17,FALSE)</f>
        <v>-8.8339999999999996</v>
      </c>
      <c r="F11" s="64">
        <f>VLOOKUP($B$6,資料整合一覽!$B$3:$AF$500,18,FALSE)</f>
        <v>-3.0874999999999999</v>
      </c>
      <c r="G11" s="64">
        <f>VLOOKUP($B$6,資料整合一覽!$B$3:$AF$500,19,FALSE)</f>
        <v>75.295299999999997</v>
      </c>
      <c r="H11" s="64">
        <f>VLOOKUP($B$6,資料整合一覽!$B$3:$AF$500,20,FALSE)</f>
        <v>21.161300000000001</v>
      </c>
      <c r="I11" s="39">
        <f>VLOOKUP($B$6,資料整合一覽!$B$3:$AF$500,21,FALSE)</f>
        <v>1.4924000000000002</v>
      </c>
      <c r="J11" s="41">
        <f>VLOOKUP($B$6,資料整合一覽!$B$3:$AF$500,22,FALSE)</f>
        <v>-0.17344487344487344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-7906.75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0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0</v>
      </c>
      <c r="AE350" s="33">
        <f>VLOOKUP($B350,三大美股走勢!$A$4:$J$495,7,FALSE)</f>
        <v>0</v>
      </c>
      <c r="AF350" s="33">
        <f>VLOOKUP($B350,三大美股走勢!$A$4:$J$495,10,FALSE)</f>
        <v>0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VLOOKUP($B351,外資期貨未平倉口數!$A$4:$M$499,4,FALSE)</f>
        <v>#N/A</v>
      </c>
      <c r="O351" s="27" t="e">
        <f>VLOOKUP($B351,外資期貨未平倉口數!$A$4:$M$499,9,FALSE)</f>
        <v>#N/A</v>
      </c>
      <c r="P351" s="27" t="e">
        <f>VLOOKUP($B351,外資期貨未平倉口數!$A$4:$M$499,10,FALSE)</f>
        <v>#N/A</v>
      </c>
      <c r="Q351" s="27" t="e">
        <f>VLOOKUP($B351,外資期貨未平倉口數!$A$4:$M$499,11,FALSE)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>
        <f>VLOOKUP($B351,三大美股走勢!$A$4:$J$495,4,FALSE)</f>
        <v>0</v>
      </c>
      <c r="AE351" s="33">
        <f>VLOOKUP($B351,三大美股走勢!$A$4:$J$495,7,FALSE)</f>
        <v>0</v>
      </c>
      <c r="AF351" s="33">
        <f>VLOOKUP($B351,三大美股走勢!$A$4:$J$495,10,FALSE)</f>
        <v>0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VLOOKUP($B352,外資期貨未平倉口數!$A$4:$M$499,4,FALSE)</f>
        <v>#N/A</v>
      </c>
      <c r="O352" s="27" t="e">
        <f>VLOOKUP($B352,外資期貨未平倉口數!$A$4:$M$499,9,FALSE)</f>
        <v>#N/A</v>
      </c>
      <c r="P352" s="27" t="e">
        <f>VLOOKUP($B352,外資期貨未平倉口數!$A$4:$M$499,10,FALSE)</f>
        <v>#N/A</v>
      </c>
      <c r="Q352" s="27" t="e">
        <f>VLOOKUP($B352,外資期貨未平倉口數!$A$4:$M$499,11,FALSE)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51"/>
  <sheetViews>
    <sheetView zoomScaleNormal="100" workbookViewId="0">
      <pane ySplit="3" topLeftCell="A343" activePane="bottomLeft" state="frozen"/>
      <selection pane="bottomLeft" activeCell="H354" sqref="H354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270</v>
      </c>
      <c r="F348" s="72">
        <v>11151</v>
      </c>
      <c r="G348" s="21">
        <v>7</v>
      </c>
      <c r="H348" s="44">
        <v>5.9999999999999995E-4</v>
      </c>
      <c r="I348" s="42" t="s">
        <v>271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338</v>
      </c>
      <c r="F351" s="72">
        <v>11173</v>
      </c>
      <c r="G351" s="21">
        <v>-24</v>
      </c>
      <c r="H351" s="44">
        <v>-2.0999999999999999E-3</v>
      </c>
      <c r="I351" s="42" t="s">
        <v>339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51"/>
  <sheetViews>
    <sheetView workbookViewId="0">
      <pane ySplit="3" topLeftCell="A344" activePane="bottomLeft" state="frozen"/>
      <selection pane="bottomLeft" activeCell="H351" sqref="H351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>
        <v>-97647010</v>
      </c>
      <c r="C346" s="98">
        <f t="shared" si="228"/>
        <v>-0.97647010000000001</v>
      </c>
      <c r="D346" s="97">
        <v>642944215</v>
      </c>
      <c r="E346" s="95">
        <f t="shared" si="229"/>
        <v>6.4294421499999999</v>
      </c>
      <c r="F346" s="96">
        <v>-551457011</v>
      </c>
      <c r="G346" s="98">
        <f t="shared" si="230"/>
        <v>-5.5145701100000002</v>
      </c>
      <c r="H346" s="96">
        <v>3523203831</v>
      </c>
      <c r="I346" s="98">
        <f t="shared" si="231"/>
        <v>35.23203831</v>
      </c>
    </row>
    <row r="347" spans="1:9">
      <c r="A347" s="92">
        <v>43125</v>
      </c>
      <c r="B347" s="96">
        <v>-429016825</v>
      </c>
      <c r="C347" s="98">
        <f t="shared" si="228"/>
        <v>-4.2901682499999998</v>
      </c>
      <c r="D347" s="97">
        <v>-1827931745</v>
      </c>
      <c r="E347" s="95">
        <f t="shared" si="229"/>
        <v>-18.279317450000001</v>
      </c>
      <c r="F347" s="96">
        <v>-149495537</v>
      </c>
      <c r="G347" s="98">
        <f t="shared" si="230"/>
        <v>-1.49495537</v>
      </c>
      <c r="H347" s="96">
        <v>5814233621</v>
      </c>
      <c r="I347" s="98">
        <f t="shared" si="231"/>
        <v>58.142336210000003</v>
      </c>
    </row>
    <row r="348" spans="1:9">
      <c r="A348" s="92">
        <v>43126</v>
      </c>
      <c r="B348" s="96">
        <v>-72674431</v>
      </c>
      <c r="C348" s="98">
        <f t="shared" ref="C348" si="232">B348/100000000</f>
        <v>-0.72674430999999995</v>
      </c>
      <c r="D348" s="97">
        <v>684072386</v>
      </c>
      <c r="E348" s="95">
        <f t="shared" ref="E348" si="233">D348/100000000</f>
        <v>6.8407238599999998</v>
      </c>
      <c r="F348" s="96">
        <v>-1914861281</v>
      </c>
      <c r="G348" s="98">
        <f t="shared" ref="G348" si="234">F348/100000000</f>
        <v>-19.148612809999999</v>
      </c>
      <c r="H348" s="96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96"/>
      <c r="C349" s="98">
        <f t="shared" ref="C349:C351" si="236">B349/100000000</f>
        <v>0</v>
      </c>
      <c r="D349" s="97"/>
      <c r="E349" s="95">
        <f t="shared" ref="E349:E351" si="237">D349/100000000</f>
        <v>0</v>
      </c>
      <c r="F349" s="96"/>
      <c r="G349" s="98">
        <f t="shared" ref="G349:G351" si="238">F349/100000000</f>
        <v>0</v>
      </c>
      <c r="H349" s="96"/>
      <c r="I349" s="98">
        <f t="shared" ref="I349:I351" si="239">H349/100000000</f>
        <v>0</v>
      </c>
    </row>
    <row r="350" spans="1:9">
      <c r="A350" s="92">
        <v>43128</v>
      </c>
      <c r="B350" s="96"/>
      <c r="C350" s="98">
        <f t="shared" si="236"/>
        <v>0</v>
      </c>
      <c r="D350" s="97"/>
      <c r="E350" s="95">
        <f t="shared" si="237"/>
        <v>0</v>
      </c>
      <c r="F350" s="96"/>
      <c r="G350" s="98">
        <f t="shared" si="238"/>
        <v>0</v>
      </c>
      <c r="H350" s="96"/>
      <c r="I350" s="98">
        <f t="shared" si="239"/>
        <v>0</v>
      </c>
    </row>
    <row r="351" spans="1:9">
      <c r="A351" s="92">
        <v>43129</v>
      </c>
      <c r="B351" s="96">
        <v>212495950</v>
      </c>
      <c r="C351" s="98">
        <f t="shared" si="236"/>
        <v>2.1249595000000001</v>
      </c>
      <c r="D351" s="97">
        <v>-538029900</v>
      </c>
      <c r="E351" s="95">
        <f t="shared" si="237"/>
        <v>-5.3802989999999999</v>
      </c>
      <c r="F351" s="96">
        <v>401188432</v>
      </c>
      <c r="G351" s="98">
        <f t="shared" si="238"/>
        <v>4.0118843200000001</v>
      </c>
      <c r="H351" s="96">
        <v>2012535961</v>
      </c>
      <c r="I351" s="98">
        <f t="shared" si="239"/>
        <v>20.12535961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52"/>
  <sheetViews>
    <sheetView zoomScale="85" zoomScaleNormal="85" workbookViewId="0">
      <pane ySplit="3" topLeftCell="A344" activePane="bottomLeft" state="frozen"/>
      <selection pane="bottomLeft" activeCell="K353" sqref="K353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0: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0:I352" si="214">G352+H352/4</f>
        <v>45441.75</v>
      </c>
      <c r="J352" s="10">
        <f t="shared" ref="J350:J352" si="215">I352-$I$340</f>
        <v>-7906.75</v>
      </c>
      <c r="K352" s="10">
        <f>I352-I349</f>
        <v>-2427.25</v>
      </c>
      <c r="L352" s="10">
        <v>98</v>
      </c>
      <c r="M352" s="10">
        <v>-1944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51"/>
  <sheetViews>
    <sheetView zoomScale="80" zoomScaleNormal="80" workbookViewId="0">
      <pane ySplit="3" topLeftCell="A340" activePane="bottomLeft" state="frozen"/>
      <selection pane="bottomLeft" activeCell="L351" sqref="L351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49:D351" si="417">B351-C351</f>
        <v>-4128</v>
      </c>
      <c r="E351" s="10">
        <v>60394</v>
      </c>
      <c r="F351" s="10">
        <v>57531</v>
      </c>
      <c r="G351" s="26">
        <f t="shared" ref="G349:G351" si="418">E351-F351</f>
        <v>2863</v>
      </c>
      <c r="H351" s="10">
        <v>46266</v>
      </c>
      <c r="I351" s="10">
        <v>50436</v>
      </c>
      <c r="J351" s="25">
        <f t="shared" ref="J349:J351" si="419">H351-I351</f>
        <v>-4170</v>
      </c>
      <c r="K351" s="10">
        <v>63548</v>
      </c>
      <c r="L351" s="10">
        <v>60094</v>
      </c>
      <c r="M351" s="26">
        <f t="shared" ref="M349:M351" si="420">K351-L351</f>
        <v>3454</v>
      </c>
      <c r="N351" s="25">
        <f t="shared" ref="N349:N351" si="421">J351-D351</f>
        <v>-42</v>
      </c>
      <c r="O351" s="26">
        <f t="shared" ref="O349:O351" si="422">M351-G351</f>
        <v>591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52"/>
  <sheetViews>
    <sheetView zoomScale="85" zoomScaleNormal="85" workbookViewId="0">
      <pane ySplit="3" topLeftCell="A332" activePane="bottomLeft" state="frozen"/>
      <selection pane="bottomLeft" activeCell="D355" sqref="D355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49:F352" si="287">B351/10000</f>
        <v>-8.8339999999999996</v>
      </c>
      <c r="G351" s="22">
        <f t="shared" ref="G349:G352" si="288">C351/10000</f>
        <v>-3.0874999999999999</v>
      </c>
      <c r="H351" s="22">
        <f t="shared" ref="H349:H352" si="289">D351/10000</f>
        <v>75.295299999999997</v>
      </c>
      <c r="I351" s="22">
        <f t="shared" ref="I349:I352" si="290">E351/10000</f>
        <v>21.161300000000001</v>
      </c>
    </row>
    <row r="352" spans="1:9">
      <c r="A352" s="9"/>
      <c r="B352" s="10"/>
      <c r="C352" s="10"/>
      <c r="D352" s="10"/>
      <c r="E352" s="10"/>
      <c r="F352" s="22"/>
      <c r="G352" s="22"/>
      <c r="H352" s="22"/>
      <c r="I352" s="22"/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51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E351" sqref="E351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49:C351" si="69">B351/100</f>
        <v>1.4924000000000002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51"/>
  <sheetViews>
    <sheetView workbookViewId="0">
      <pane ySplit="3" topLeftCell="A336" activePane="bottomLeft" state="frozen"/>
      <selection pane="bottomLeft" activeCell="B351" sqref="B351:C35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53"/>
  <sheetViews>
    <sheetView zoomScale="85" zoomScaleNormal="85" workbookViewId="0">
      <pane xSplit="1" ySplit="4" topLeftCell="B338" activePane="bottomRight" state="frozen"/>
      <selection pane="topRight" activeCell="B1" sqref="B1"/>
      <selection pane="bottomLeft" activeCell="A5" sqref="A5"/>
      <selection pane="bottomRight" activeCell="J354" sqref="J354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1: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1:K353" si="205">B353-SUM(H353:J353)</f>
        <v>33211</v>
      </c>
      <c r="L353" s="20">
        <f t="shared" ref="L351:L353" si="206">(F353-K353)/B353</f>
        <v>-0.17344487344487344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52"/>
  <sheetViews>
    <sheetView zoomScaleNormal="100" workbookViewId="0">
      <pane ySplit="3" topLeftCell="A341" activePane="bottomLeft" state="frozen"/>
      <selection pane="bottomLeft" activeCell="J358" sqref="J358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/>
      <c r="C351" s="27"/>
      <c r="D351" s="91"/>
      <c r="E351" s="89"/>
      <c r="F351" s="27"/>
      <c r="G351" s="91"/>
      <c r="H351" s="89"/>
      <c r="I351" s="27"/>
      <c r="J351" s="91"/>
    </row>
    <row r="352" spans="1:10">
      <c r="A352" s="92">
        <v>43130</v>
      </c>
      <c r="B352" s="89"/>
      <c r="C352" s="27"/>
      <c r="D352" s="91"/>
      <c r="E352" s="89"/>
      <c r="F352" s="27"/>
      <c r="G352" s="91"/>
      <c r="H352" s="89"/>
      <c r="I352" s="27"/>
      <c r="J352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2018-01-29T14:21:47Z</dcterms:modified>
</cp:coreProperties>
</file>