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18" l="1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<sst xmlns="http://schemas.openxmlformats.org/spreadsheetml/2006/main" count="224" uniqueCount="145">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</sst>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487"/>
  <ax:ocxPr ax:name="_ExtentY" ax:value="487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87849985"/>
  <ax:ocxPr ax:name="CurrentDate" ax:value="4305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D13" sqref="D13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43053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10687.18</v>
      </c>
      <c r="D7" s="37">
        <f>VLOOKUP($B$6,資料整合一覽!$B$3:$AF$500,3,FALSE)</f>
        <v>3.26</v>
      </c>
      <c r="E7" s="38">
        <f>VLOOKUP($B$6,資料整合一覽!$B$3:$AF$500,4,FALSE)</f>
        <v>2.9999999999999997E-4</v>
      </c>
      <c r="F7" s="36" t="str">
        <f>VLOOKUP($B$6,資料整合一覽!$B$3:$AF$500,5,FALSE)</f>
        <v>1242.02億</v>
      </c>
      <c r="G7" s="39">
        <f>VLOOKUP($B$6,資料整合一覽!$B$3:$AF$500,6,FALSE)</f>
        <v>-3.6129213999999998</v>
      </c>
      <c r="H7" s="37">
        <f>VLOOKUP($B$6,資料整合一覽!$B$3:$AF$500,7,FALSE)</f>
        <v>3.09918096</v>
      </c>
      <c r="I7" s="37">
        <f>VLOOKUP($B$6,資料整合一覽!$B$3:$AF$500,8,FALSE)</f>
        <v>-0.98495505999999999</v>
      </c>
      <c r="J7" s="37">
        <f>VLOOKUP($B$6,資料整合一覽!$B$3:$AF$500,9,FALSE)</f>
        <v>7.4199800800000002</v>
      </c>
      <c r="K7" s="40">
        <f>VLOOKUP($B$6,資料整合一覽!$B$3:$AF$500,10,FALSE)</f>
        <v>30.18</v>
      </c>
      <c r="L7" s="41">
        <f>VLOOKUP($B$6,資料整合一覽!$B$3:$AF$500,11,FALSE)</f>
        <v>-0.01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107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2443.5</v>
      </c>
      <c r="D11" s="29">
        <f>VLOOKUP($B$6,資料整合一覽!$B$3:$AF$500,14,FALSE)</f>
        <v>44283.5</v>
      </c>
      <c r="E11" s="67">
        <f>VLOOKUP($B$6,資料整合一覽!$B$3:$AF$500,17,FALSE)</f>
        <v>-12.4229</v>
      </c>
      <c r="F11" s="67">
        <f>VLOOKUP($B$6,資料整合一覽!$B$3:$AF$500,18,FALSE)</f>
        <v>1.3513999999999999</v>
      </c>
      <c r="G11" s="67">
        <f>VLOOKUP($B$6,資料整合一覽!$B$3:$AF$500,19,FALSE)</f>
        <v>39.650700000000001</v>
      </c>
      <c r="H11" s="67">
        <f>VLOOKUP($B$6,資料整合一覽!$B$3:$AF$500,20,FALSE)</f>
        <v>21.6937</v>
      </c>
      <c r="I11" s="42">
        <f>VLOOKUP($B$6,資料整合一覽!$B$3:$AF$500,21,FALSE)</f>
        <v>1.4801</v>
      </c>
      <c r="J11" s="44">
        <f>VLOOKUP($B$6,資料整合一覽!$B$3:$AF$500,22,FALSE)</f>
        <v>-1.8911675821565013E-2</v>
      </c>
      <c r="K11" s="36">
        <f>VLOOKUP($B$6,資料整合一覽!$B$3:$AF$500,29,FALSE)</f>
        <v>0</v>
      </c>
      <c r="L11" s="36">
        <f>VLOOKUP($B$6,資料整合一覽!$B$3:$AF$500,30,FALSE)</f>
        <v>0</v>
      </c>
      <c r="M11" s="36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5"/>
  <sheetViews>
    <sheetView zoomScale="80" zoomScaleNormal="80" workbookViewId="0">
      <pane ySplit="3" topLeftCell="A261" activePane="bottomLeft" state="frozen"/>
      <selection pane="bottomLeft" activeCell="L275" sqref="L27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5"/>
  <sheetViews>
    <sheetView zoomScaleNormal="100" workbookViewId="0">
      <pane ySplit="3" topLeftCell="A268" activePane="bottomLeft" state="frozen"/>
      <selection pane="bottomLeft" activeCell="E270" sqref="E270:G270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54" t="s">
        <v>92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/>
      <c r="C275" s="29"/>
      <c r="D275" s="94"/>
      <c r="E275" s="92"/>
      <c r="F275" s="29"/>
      <c r="G275" s="93"/>
      <c r="H275" s="92"/>
      <c r="I275" s="29"/>
      <c r="J275" s="93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0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0</v>
      </c>
      <c r="AE274" s="36">
        <f>VLOOKUP($B274,三大美股走勢!$A$4:$J$500,7,FALSE)</f>
        <v>0</v>
      </c>
      <c r="AF274" s="36">
        <f>VLOOKUP($B274,三大美股走勢!$A$4:$J$500,10,FALSE)</f>
        <v>0</v>
      </c>
    </row>
    <row r="275" spans="2:32">
      <c r="B275" s="35">
        <v>43054</v>
      </c>
      <c r="C275" s="36" t="e">
        <f>VLOOKUP($B275,大盤與近月台指!$A$4:$I$499,2,FALSE)</f>
        <v>#N/A</v>
      </c>
      <c r="D275" s="37" t="e">
        <f>VLOOKUP($B275,大盤與近月台指!$A$4:$I$499,3,FALSE)</f>
        <v>#N/A</v>
      </c>
      <c r="E275" s="38" t="e">
        <f>VLOOKUP($B275,大盤與近月台指!$A$4:$I$499,4,FALSE)</f>
        <v>#N/A</v>
      </c>
      <c r="F275" s="36" t="e">
        <f>VLOOKUP($B275,大盤與近月台指!$A$4:$I$499,5,FALSE)</f>
        <v>#N/A</v>
      </c>
      <c r="G275" s="52" t="e">
        <f>VLOOKUP($B275,三大法人買賣超!$A$4:$I$500,3,FALSE)</f>
        <v>#N/A</v>
      </c>
      <c r="H275" s="37" t="e">
        <f>VLOOKUP($B275,三大法人買賣超!$A$4:$I$500,5,FALSE)</f>
        <v>#N/A</v>
      </c>
      <c r="I275" s="29" t="e">
        <f>VLOOKUP($B275,三大法人買賣超!$A$4:$I$500,7,FALSE)</f>
        <v>#N/A</v>
      </c>
      <c r="J275" s="29" t="e">
        <f>VLOOKUP($B275,三大法人買賣超!$A$4:$I$500,9,FALSE)</f>
        <v>#N/A</v>
      </c>
      <c r="K275" s="40">
        <f>新台幣匯率美元指數!B276</f>
        <v>0</v>
      </c>
      <c r="L275" s="41">
        <f>新台幣匯率美元指數!C276</f>
        <v>0</v>
      </c>
      <c r="M275" s="42">
        <f>新台幣匯率美元指數!D276</f>
        <v>0</v>
      </c>
      <c r="N275" s="29" t="e">
        <f>VLOOKUP($B275,期貨未平倉口數!$A$4:$M$499,4,FALSE)</f>
        <v>#N/A</v>
      </c>
      <c r="O275" s="29" t="e">
        <f>VLOOKUP($B275,期貨未平倉口數!$A$4:$M$499,9,FALSE)</f>
        <v>#N/A</v>
      </c>
      <c r="P275" s="29" t="e">
        <f>VLOOKUP($B275,期貨未平倉口數!$A$4:$M$499,10,FALSE)</f>
        <v>#N/A</v>
      </c>
      <c r="Q275" s="29" t="e">
        <f>VLOOKUP($B275,期貨未平倉口數!$A$4:$M$499,11,FALSE)</f>
        <v>#N/A</v>
      </c>
      <c r="R275" s="67" t="e">
        <f>VLOOKUP($B275,選擇權未平倉餘額!$A$4:$I$500,6,FALSE)</f>
        <v>#N/A</v>
      </c>
      <c r="S275" s="67" t="e">
        <f>VLOOKUP($B275,選擇權未平倉餘額!$A$4:$I$500,7,FALSE)</f>
        <v>#N/A</v>
      </c>
      <c r="T275" s="67" t="e">
        <f>VLOOKUP($B275,選擇權未平倉餘額!$A$4:$I$500,8,FALSE)</f>
        <v>#N/A</v>
      </c>
      <c r="U275" s="67" t="e">
        <f>VLOOKUP($B275,選擇權未平倉餘額!$A$4:$I$500,9,FALSE)</f>
        <v>#N/A</v>
      </c>
      <c r="V275" s="42" t="e">
        <f>VLOOKUP($B275,臺指選擇權P_C_Ratios!$A$4:$C$500,3,FALSE)</f>
        <v>#N/A</v>
      </c>
      <c r="W275" s="44" t="e">
        <f>VLOOKUP($B275,散戶多空比!$A$6:$L$500,12,FALSE)</f>
        <v>#N/A</v>
      </c>
      <c r="X275" s="43" t="e">
        <f>VLOOKUP($B275,期貨大額交易人未沖銷部位!$A$4:$O$499,4,FALSE)</f>
        <v>#N/A</v>
      </c>
      <c r="Y275" s="43" t="e">
        <f>VLOOKUP($B275,期貨大額交易人未沖銷部位!$A$4:$O$499,7,FALSE)</f>
        <v>#N/A</v>
      </c>
      <c r="Z275" s="43" t="e">
        <f>VLOOKUP($B275,期貨大額交易人未沖銷部位!$A$4:$O$499,10,FALSE)</f>
        <v>#N/A</v>
      </c>
      <c r="AA275" s="43" t="e">
        <f>VLOOKUP($B275,期貨大額交易人未沖銷部位!$A$4:$O$499,13,FALSE)</f>
        <v>#N/A</v>
      </c>
      <c r="AB275" s="43" t="e">
        <f>VLOOKUP($B275,期貨大額交易人未沖銷部位!$A$4:$O$499,14,FALSE)</f>
        <v>#N/A</v>
      </c>
      <c r="AC275" s="43" t="e">
        <f>VLOOKUP($B275,期貨大額交易人未沖銷部位!$A$4:$O$499,15,FALSE)</f>
        <v>#N/A</v>
      </c>
      <c r="AD275" s="36" t="e">
        <f>VLOOKUP($B275,三大美股走勢!$A$4:$J$500,4,FALSE)</f>
        <v>#N/A</v>
      </c>
      <c r="AE275" s="36" t="e">
        <f>VLOOKUP($B275,三大美股走勢!$A$4:$J$500,7,FALSE)</f>
        <v>#N/A</v>
      </c>
      <c r="AF275" s="36" t="e">
        <f>VLOOKUP($B275,三大美股走勢!$A$4:$J$500,10,FALSE)</f>
        <v>#N/A</v>
      </c>
    </row>
    <row r="276" spans="2:32">
      <c r="B276" s="35">
        <v>43055</v>
      </c>
      <c r="C276" s="36" t="e">
        <f>VLOOKUP($B276,大盤與近月台指!$A$4:$I$499,2,FALSE)</f>
        <v>#N/A</v>
      </c>
      <c r="D276" s="37" t="e">
        <f>VLOOKUP($B276,大盤與近月台指!$A$4:$I$499,3,FALSE)</f>
        <v>#N/A</v>
      </c>
      <c r="E276" s="38" t="e">
        <f>VLOOKUP($B276,大盤與近月台指!$A$4:$I$499,4,FALSE)</f>
        <v>#N/A</v>
      </c>
      <c r="F276" s="36" t="e">
        <f>VLOOKUP($B276,大盤與近月台指!$A$4:$I$499,5,FALSE)</f>
        <v>#N/A</v>
      </c>
      <c r="G276" s="52" t="e">
        <f>VLOOKUP($B276,三大法人買賣超!$A$4:$I$500,3,FALSE)</f>
        <v>#N/A</v>
      </c>
      <c r="H276" s="37" t="e">
        <f>VLOOKUP($B276,三大法人買賣超!$A$4:$I$500,5,FALSE)</f>
        <v>#N/A</v>
      </c>
      <c r="I276" s="29" t="e">
        <f>VLOOKUP($B276,三大法人買賣超!$A$4:$I$500,7,FALSE)</f>
        <v>#N/A</v>
      </c>
      <c r="J276" s="29" t="e">
        <f>VLOOKUP($B276,三大法人買賣超!$A$4:$I$500,9,FALSE)</f>
        <v>#N/A</v>
      </c>
      <c r="K276" s="40">
        <f>新台幣匯率美元指數!B277</f>
        <v>0</v>
      </c>
      <c r="L276" s="41">
        <f>新台幣匯率美元指數!C277</f>
        <v>0</v>
      </c>
      <c r="M276" s="42">
        <f>新台幣匯率美元指數!D277</f>
        <v>0</v>
      </c>
      <c r="N276" s="29" t="e">
        <f>VLOOKUP($B276,期貨未平倉口數!$A$4:$M$499,4,FALSE)</f>
        <v>#N/A</v>
      </c>
      <c r="O276" s="29" t="e">
        <f>VLOOKUP($B276,期貨未平倉口數!$A$4:$M$499,9,FALSE)</f>
        <v>#N/A</v>
      </c>
      <c r="P276" s="29" t="e">
        <f>VLOOKUP($B276,期貨未平倉口數!$A$4:$M$499,10,FALSE)</f>
        <v>#N/A</v>
      </c>
      <c r="Q276" s="29" t="e">
        <f>VLOOKUP($B276,期貨未平倉口數!$A$4:$M$499,11,FALSE)</f>
        <v>#N/A</v>
      </c>
      <c r="R276" s="67" t="e">
        <f>VLOOKUP($B276,選擇權未平倉餘額!$A$4:$I$500,6,FALSE)</f>
        <v>#N/A</v>
      </c>
      <c r="S276" s="67" t="e">
        <f>VLOOKUP($B276,選擇權未平倉餘額!$A$4:$I$500,7,FALSE)</f>
        <v>#N/A</v>
      </c>
      <c r="T276" s="67" t="e">
        <f>VLOOKUP($B276,選擇權未平倉餘額!$A$4:$I$500,8,FALSE)</f>
        <v>#N/A</v>
      </c>
      <c r="U276" s="67" t="e">
        <f>VLOOKUP($B276,選擇權未平倉餘額!$A$4:$I$500,9,FALSE)</f>
        <v>#N/A</v>
      </c>
      <c r="V276" s="42" t="e">
        <f>VLOOKUP($B276,臺指選擇權P_C_Ratios!$A$4:$C$500,3,FALSE)</f>
        <v>#N/A</v>
      </c>
      <c r="W276" s="44" t="e">
        <f>VLOOKUP($B276,散戶多空比!$A$6:$L$500,12,FALSE)</f>
        <v>#N/A</v>
      </c>
      <c r="X276" s="43" t="e">
        <f>VLOOKUP($B276,期貨大額交易人未沖銷部位!$A$4:$O$499,4,FALSE)</f>
        <v>#N/A</v>
      </c>
      <c r="Y276" s="43" t="e">
        <f>VLOOKUP($B276,期貨大額交易人未沖銷部位!$A$4:$O$499,7,FALSE)</f>
        <v>#N/A</v>
      </c>
      <c r="Z276" s="43" t="e">
        <f>VLOOKUP($B276,期貨大額交易人未沖銷部位!$A$4:$O$499,10,FALSE)</f>
        <v>#N/A</v>
      </c>
      <c r="AA276" s="43" t="e">
        <f>VLOOKUP($B276,期貨大額交易人未沖銷部位!$A$4:$O$499,13,FALSE)</f>
        <v>#N/A</v>
      </c>
      <c r="AB276" s="43" t="e">
        <f>VLOOKUP($B276,期貨大額交易人未沖銷部位!$A$4:$O$499,14,FALSE)</f>
        <v>#N/A</v>
      </c>
      <c r="AC276" s="43" t="e">
        <f>VLOOKUP($B276,期貨大額交易人未沖銷部位!$A$4:$O$499,15,FALSE)</f>
        <v>#N/A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5"/>
  <sheetViews>
    <sheetView workbookViewId="0">
      <pane ySplit="3" topLeftCell="A266" activePane="bottomLeft" state="frozen"/>
      <selection pane="bottomLeft" activeCell="G275" sqref="G275:I275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138</v>
      </c>
      <c r="F270" s="75">
        <v>10692</v>
      </c>
      <c r="G270" s="23">
        <v>-30</v>
      </c>
      <c r="H270" s="47">
        <v>-2.8E-3</v>
      </c>
      <c r="I270" s="45" t="s">
        <v>139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140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141</v>
      </c>
      <c r="F274" s="75">
        <v>10668</v>
      </c>
      <c r="G274" s="23">
        <v>-23</v>
      </c>
      <c r="H274" s="47">
        <v>-2.2000000000000001E-3</v>
      </c>
      <c r="I274" s="45" t="s">
        <v>142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143</v>
      </c>
      <c r="F275" s="75">
        <v>10666</v>
      </c>
      <c r="G275" s="23">
        <v>-18</v>
      </c>
      <c r="H275" s="47">
        <v>-1.6999999999999999E-3</v>
      </c>
      <c r="I275" s="45" t="s">
        <v>144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5"/>
  <sheetViews>
    <sheetView workbookViewId="0">
      <pane ySplit="3" topLeftCell="A268" activePane="bottomLeft" state="frozen"/>
      <selection pane="bottomLeft" activeCell="H275" sqref="H275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101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137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5"/>
  <sheetViews>
    <sheetView workbookViewId="0">
      <pane ySplit="3" topLeftCell="A264" activePane="bottomLeft" state="frozen"/>
      <selection pane="bottomLeft" activeCell="G274" sqref="G27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102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6"/>
  <sheetViews>
    <sheetView zoomScale="85" zoomScaleNormal="85" workbookViewId="0">
      <pane ySplit="3" topLeftCell="A264" activePane="bottomLeft" state="frozen"/>
      <selection pane="bottomLeft" activeCell="K277" sqref="K27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5"/>
  <sheetViews>
    <sheetView zoomScale="85" zoomScaleNormal="85" workbookViewId="0">
      <pane ySplit="3" topLeftCell="A271" activePane="bottomLeft" state="frozen"/>
      <selection pane="bottomLeft" activeCell="E275" sqref="E27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93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7"/>
  <sheetViews>
    <sheetView zoomScale="85" zoomScaleNormal="85" workbookViewId="0">
      <pane xSplit="1" ySplit="4" topLeftCell="B268" activePane="bottomRight" state="frozen"/>
      <selection pane="topRight" activeCell="B1" sqref="B1"/>
      <selection pane="bottomLeft" activeCell="A5" sqref="A5"/>
      <selection pane="bottomRight" activeCell="J277" sqref="J277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104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5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J276" sqref="J276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2017-11-14T14:35:14Z</dcterms:modified>
</cp:coreProperties>
</file>