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cio.leone/Documents/RRII y MKT Corporativo/Plan de MKT/Acciones de MKT/B100-BEX Landing page/"/>
    </mc:Choice>
  </mc:AlternateContent>
  <xr:revisionPtr revIDLastSave="0" documentId="13_ncr:1_{266DFB3B-C181-5944-9F90-0322B847FE53}" xr6:coauthVersionLast="36" xr6:coauthVersionMax="36" xr10:uidLastSave="{00000000-0000-0000-0000-000000000000}"/>
  <bookViews>
    <workbookView xWindow="0" yWindow="460" windowWidth="25600" windowHeight="14740" xr2:uid="{8258B0C5-756E-1849-84C7-6AB5CB7B4B71}"/>
  </bookViews>
  <sheets>
    <sheet name="Modelo - CALCULADOR" sheetId="1" r:id="rId1"/>
    <sheet name="Los números de EXPLORA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4" i="1"/>
  <c r="B29" i="1"/>
  <c r="B40" i="3"/>
  <c r="B48" i="3" l="1"/>
  <c r="B47" i="3"/>
  <c r="B46" i="3"/>
  <c r="B18" i="3"/>
  <c r="B17" i="3"/>
  <c r="B16" i="3"/>
  <c r="B15" i="3"/>
  <c r="B30" i="3"/>
  <c r="B31" i="3" s="1"/>
  <c r="B35" i="3" s="1"/>
  <c r="B23" i="3"/>
  <c r="B22" i="3"/>
  <c r="B21" i="3"/>
  <c r="B28" i="1"/>
  <c r="B32" i="3" l="1"/>
  <c r="B33" i="3" s="1"/>
  <c r="B34" i="3" l="1"/>
  <c r="B38" i="3" s="1"/>
  <c r="B41" i="3" l="1"/>
  <c r="B45" i="3"/>
  <c r="B43" i="3"/>
  <c r="B39" i="3"/>
  <c r="B44" i="3"/>
  <c r="B17" i="1" l="1"/>
  <c r="B16" i="1" l="1"/>
  <c r="B15" i="1"/>
  <c r="B31" i="1" l="1"/>
  <c r="B30" i="1" l="1"/>
</calcChain>
</file>

<file path=xl/sharedStrings.xml><?xml version="1.0" encoding="utf-8"?>
<sst xmlns="http://schemas.openxmlformats.org/spreadsheetml/2006/main" count="144" uniqueCount="84">
  <si>
    <t>INPUT</t>
  </si>
  <si>
    <t>DATOS:</t>
  </si>
  <si>
    <t>Poder calorífico inferior Gasoil:</t>
  </si>
  <si>
    <t>MJ/Kg</t>
  </si>
  <si>
    <t>Fuente: Anexo III EU RED 2009/28/CE</t>
  </si>
  <si>
    <t>Poder calorífico inferior Biodiesel:</t>
  </si>
  <si>
    <t>Densidad Gasoil:</t>
  </si>
  <si>
    <t>Densidad Biodiesel:</t>
  </si>
  <si>
    <t>%</t>
  </si>
  <si>
    <t>Fuente: 2019-03-29 INFORME_FINAL_B-100 (Prueba BIOBUS Rosario, Santa Fe)</t>
  </si>
  <si>
    <t>Poder calorífico inferior B10:</t>
  </si>
  <si>
    <t>Kg/L</t>
  </si>
  <si>
    <t>Relación volumétrica de consumo Biodiesel/Gasoil (B10):</t>
  </si>
  <si>
    <t>MJ/kg</t>
  </si>
  <si>
    <t>Densidad B10:</t>
  </si>
  <si>
    <t>Fuente: Emission values for fossil references taken from ISCC 205 V. 3.0.</t>
  </si>
  <si>
    <t>gCO2eq/MJ</t>
  </si>
  <si>
    <t>Ahorro de emisiones:</t>
  </si>
  <si>
    <t>OUTPUT (reemplazo 100% de B10 a B100)</t>
  </si>
  <si>
    <t>CÁLCULOS INTERMEDIOS</t>
  </si>
  <si>
    <t>Emisiones específicas Gasoil:</t>
  </si>
  <si>
    <t>Emisiones específcas Biodiesel (B100-BEX EXPLORA):</t>
  </si>
  <si>
    <t>Emisiones específicas B10:</t>
  </si>
  <si>
    <t>Emisiones B100:</t>
  </si>
  <si>
    <t>KgCO2/año</t>
  </si>
  <si>
    <t>Absorción promedio (año) CO2 árbol:</t>
  </si>
  <si>
    <t>L/mes</t>
  </si>
  <si>
    <t>Ahorro emisiones:</t>
  </si>
  <si>
    <t>Vida media árbol mediano:</t>
  </si>
  <si>
    <t>años</t>
  </si>
  <si>
    <t>Fuente: https://www.plantarse.org/art-emision-carbono.htm</t>
  </si>
  <si>
    <t>Fuente: 2020.04.24 ET-ST02-002-7 GHG Biodiesel Plant - Processing Unit (Cálculo GEI EXPLORA aprobado por ISCC Alemania en Abril-2020)</t>
  </si>
  <si>
    <t>Calculador de ahorro de emisiones de Gases de Efecto Invernadero (como CO2eq) por reemplazo de Gasoil por Biodiesel B100-BEX EXPLORA</t>
  </si>
  <si>
    <t>CÁLCULOS INICIALES:</t>
  </si>
  <si>
    <t>Se asume mezcla líquido-líquido ideal</t>
  </si>
  <si>
    <t>Fuente: https://www.fundacionaquae.org/wp-content/uploads/2016/04/infografia_oxigeno.pdf // Validación contra datos de REG</t>
  </si>
  <si>
    <t>CO2 secuestrado por:</t>
  </si>
  <si>
    <t>Consumo mensual de Gasoil:</t>
  </si>
  <si>
    <t>KgCO2eq/año</t>
  </si>
  <si>
    <t>kgCO2eq/año</t>
  </si>
  <si>
    <t>TnCO2eq/año</t>
  </si>
  <si>
    <t>TnCO2eq/km</t>
  </si>
  <si>
    <t>TnCO2eq/TnCarbón</t>
  </si>
  <si>
    <t>CO2 emitido por:</t>
  </si>
  <si>
    <t>% VS Gasoil</t>
  </si>
  <si>
    <t>Emisiones Gasoil:</t>
  </si>
  <si>
    <t>Calculador de ahorro de emisiones de Gases de Efecto Invernadero (como CO2eq) TOTALES en la historia de EXPLORA</t>
  </si>
  <si>
    <t>Ventas TOTALES de Biodiesel:</t>
  </si>
  <si>
    <t>Tn</t>
  </si>
  <si>
    <t>millos de L</t>
  </si>
  <si>
    <t>m3</t>
  </si>
  <si>
    <t>Ventas TOTALES de GOLeq:</t>
  </si>
  <si>
    <t>TnCO2eq</t>
  </si>
  <si>
    <t>Millones de TnCO2eq</t>
  </si>
  <si>
    <t>CO2 secuestrado por un bosque de:</t>
  </si>
  <si>
    <t>Ejemplo de infografía (REG):</t>
  </si>
  <si>
    <t>Emisiones Biodiesel (B100):</t>
  </si>
  <si>
    <t>* Se considera un bosque con 1000 árboles / hectárea</t>
  </si>
  <si>
    <t>OUTPUT (aporte EXPLORA al Medio Ambiente)</t>
  </si>
  <si>
    <t>Emisiones específicas de camioneta promedio:</t>
  </si>
  <si>
    <t>Emisiones específicas de quema de carbón:</t>
  </si>
  <si>
    <t>CO2 emitido por una camioneta promedio al recorrer:</t>
  </si>
  <si>
    <t>Millones de km</t>
  </si>
  <si>
    <t>Miles de Tn de carbón quemadas</t>
  </si>
  <si>
    <t>Fuente: REG ENVIRONMENTAL, SOCIAL AND GOVERNANCE REPORT - 2019 // https://www.epa.gov/energy/greenhouse-gas-equivalencies-calculator</t>
  </si>
  <si>
    <t>Árboles en 1 año</t>
  </si>
  <si>
    <t>Fuente: https://www.epa.gov/energy/greenhouse-gas-equivalencies-calculator</t>
  </si>
  <si>
    <t>TnCO2/casa</t>
  </si>
  <si>
    <t>Emisiones específicas de una casa (por consumo de electricidad en 1 año):</t>
  </si>
  <si>
    <t>Emisiones específicas barril de petróleo:</t>
  </si>
  <si>
    <t>TnCO2/barril</t>
  </si>
  <si>
    <t>Emisiones espcíficas carga smartphone:</t>
  </si>
  <si>
    <t>TnCO2/sp</t>
  </si>
  <si>
    <t>Emisiones específicas molinos eólicos operando 1 año:</t>
  </si>
  <si>
    <t>TnCO2/molino</t>
  </si>
  <si>
    <t>CO2 emitido por consumo de electricidad de:</t>
  </si>
  <si>
    <t>Casas en 1 año</t>
  </si>
  <si>
    <t>Millones de árboles en 1 año</t>
  </si>
  <si>
    <t>Hectáreas* en 1 año</t>
  </si>
  <si>
    <t>Barriles de petróleo</t>
  </si>
  <si>
    <t>CO2 emitido al cargar:</t>
  </si>
  <si>
    <t>Billones de smart phones</t>
  </si>
  <si>
    <t>CO2 ahorrado por la operación de:</t>
  </si>
  <si>
    <t>Molinos eólicos en 1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</si>
</sst>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"/>
    <numFmt numFmtId="166" formatCode="0.000"/>
    <numFmt numFmtId="167" formatCode="#,##0.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quotePrefix="1"/>
    <xf numFmtId="0" fontId="1" fillId="0" borderId="0" xfId="0" applyFont="1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164" fontId="0" fillId="0" borderId="1" xfId="0" applyNumberFormat="1" applyBorder="1"/>
    <xf numFmtId="3" fontId="0" fillId="0" borderId="1" xfId="0" applyNumberFormat="1" applyBorder="1"/>
    <xf numFmtId="0" fontId="0" fillId="0" borderId="1" xfId="0" applyFont="1" applyBorder="1"/>
    <xf numFmtId="3" fontId="0" fillId="2" borderId="1" xfId="0" applyNumberFormat="1" applyFill="1" applyBorder="1"/>
    <xf numFmtId="3" fontId="0" fillId="0" borderId="1" xfId="0" applyNumberFormat="1" applyFill="1" applyBorder="1"/>
    <xf numFmtId="165" fontId="0" fillId="3" borderId="1" xfId="0" applyNumberFormat="1" applyFill="1" applyBorder="1"/>
    <xf numFmtId="3" fontId="0" fillId="3" borderId="1" xfId="0" applyNumberFormat="1" applyFill="1" applyBorder="1"/>
    <xf numFmtId="0" fontId="3" fillId="0" borderId="0" xfId="0" applyFont="1"/>
    <xf numFmtId="0" fontId="0" fillId="0" borderId="1" xfId="0" applyFont="1" applyFill="1" applyBorder="1"/>
    <xf numFmtId="3" fontId="0" fillId="0" borderId="1" xfId="0" applyNumberFormat="1" applyFont="1" applyBorder="1"/>
    <xf numFmtId="0" fontId="0" fillId="0" borderId="0" xfId="0" applyFont="1"/>
    <xf numFmtId="3" fontId="0" fillId="0" borderId="0" xfId="0" applyNumberFormat="1" applyBorder="1"/>
    <xf numFmtId="0" fontId="0" fillId="0" borderId="0" xfId="0" applyFont="1" applyFill="1" applyBorder="1"/>
    <xf numFmtId="0" fontId="0" fillId="0" borderId="0" xfId="0" applyFill="1" applyBorder="1"/>
    <xf numFmtId="166" fontId="0" fillId="0" borderId="0" xfId="0" applyNumberFormat="1"/>
    <xf numFmtId="1" fontId="0" fillId="0" borderId="0" xfId="0" applyNumberFormat="1"/>
    <xf numFmtId="0" fontId="4" fillId="0" borderId="0" xfId="0" applyFont="1"/>
    <xf numFmtId="4" fontId="3" fillId="0" borderId="0" xfId="0" applyNumberFormat="1" applyFont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0" fontId="0" fillId="0" borderId="1" xfId="0" applyFill="1" applyBorder="1"/>
    <xf numFmtId="0" fontId="2" fillId="0" borderId="0" xfId="0" applyFont="1" applyFill="1" applyBorder="1"/>
    <xf numFmtId="4" fontId="0" fillId="0" borderId="1" xfId="0" applyNumberFormat="1" applyFont="1" applyBorder="1"/>
    <xf numFmtId="0" fontId="0" fillId="0" borderId="1" xfId="0" quotePrefix="1" applyFill="1" applyBorder="1"/>
    <xf numFmtId="167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57727</xdr:colOff>
      <xdr:row>27</xdr:row>
      <xdr:rowOff>0</xdr:rowOff>
    </xdr:from>
    <xdr:to>
      <xdr:col>9</xdr:col>
      <xdr:colOff>465744</xdr:colOff>
      <xdr:row>51</xdr:row>
      <xdr:rowOff>41564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9C20BE-DD2E-5D45-91B0-224E809B8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1636" y="4860636"/>
          <a:ext cx="4691380" cy="502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E4337-C044-F04A-A51E-435EBC0A1A18}">
  <dimension ref="A1:F34"/>
  <sheetViews>
    <sheetView tabSelected="1" topLeftCell="A8" zoomScale="110" zoomScaleNormal="110" workbookViewId="0">
      <selection activeCell="B26" sqref="B26"/>
    </sheetView>
  </sheetViews>
  <sheetFormatPr baseColWidth="10" defaultRowHeight="16" x14ac:dyDescent="0.2"/>
  <cols>
    <col min="1" max="1" width="58.83203125" customWidth="1"/>
    <col min="2" max="2" width="11.6640625" bestFit="1" customWidth="1"/>
    <col min="3" max="3" width="17.33203125" customWidth="1"/>
    <col min="4" max="4" width="12.5" bestFit="1" customWidth="1"/>
    <col min="6" max="6" width="12.5" bestFit="1" customWidth="1"/>
    <col min="10" max="10" width="12.5" bestFit="1" customWidth="1"/>
  </cols>
  <sheetData>
    <row r="1" spans="1:5" x14ac:dyDescent="0.2">
      <c r="A1" s="2" t="s">
        <v>32</v>
      </c>
    </row>
    <row r="3" spans="1:5" x14ac:dyDescent="0.2">
      <c r="A3" s="2" t="s">
        <v>1</v>
      </c>
    </row>
    <row r="4" spans="1:5" x14ac:dyDescent="0.2">
      <c r="A4" s="4" t="s">
        <v>2</v>
      </c>
      <c r="B4" s="5">
        <v>43</v>
      </c>
      <c r="C4" t="s">
        <v>3</v>
      </c>
      <c r="D4" t="s">
        <v>4</v>
      </c>
    </row>
    <row r="5" spans="1:5" x14ac:dyDescent="0.2">
      <c r="A5" s="4" t="s">
        <v>5</v>
      </c>
      <c r="B5" s="5">
        <v>37</v>
      </c>
      <c r="C5" t="s">
        <v>3</v>
      </c>
      <c r="D5" t="s">
        <v>4</v>
      </c>
    </row>
    <row r="6" spans="1:5" x14ac:dyDescent="0.2">
      <c r="A6" s="4" t="s">
        <v>6</v>
      </c>
      <c r="B6" s="6">
        <v>0.84499999999999997</v>
      </c>
      <c r="C6" t="s">
        <v>11</v>
      </c>
    </row>
    <row r="7" spans="1:5" x14ac:dyDescent="0.2">
      <c r="A7" s="4" t="s">
        <v>7</v>
      </c>
      <c r="B7" s="6">
        <v>0.88500000000000001</v>
      </c>
      <c r="C7" t="s">
        <v>11</v>
      </c>
    </row>
    <row r="8" spans="1:5" x14ac:dyDescent="0.2">
      <c r="A8" s="4" t="s">
        <v>12</v>
      </c>
      <c r="B8" s="7">
        <v>4</v>
      </c>
      <c r="C8" t="s">
        <v>8</v>
      </c>
      <c r="D8" t="s">
        <v>9</v>
      </c>
    </row>
    <row r="9" spans="1:5" x14ac:dyDescent="0.2">
      <c r="A9" s="4" t="s">
        <v>20</v>
      </c>
      <c r="B9" s="5">
        <v>83.8</v>
      </c>
      <c r="C9" t="s">
        <v>16</v>
      </c>
      <c r="D9" t="s">
        <v>15</v>
      </c>
    </row>
    <row r="10" spans="1:5" x14ac:dyDescent="0.2">
      <c r="A10" s="4" t="s">
        <v>21</v>
      </c>
      <c r="B10" s="5">
        <v>36.46</v>
      </c>
      <c r="C10" t="s">
        <v>16</v>
      </c>
      <c r="D10" t="s">
        <v>31</v>
      </c>
    </row>
    <row r="11" spans="1:5" x14ac:dyDescent="0.2">
      <c r="A11" s="4" t="s">
        <v>25</v>
      </c>
      <c r="B11" s="5">
        <v>34</v>
      </c>
      <c r="C11" t="s">
        <v>24</v>
      </c>
      <c r="D11" t="s">
        <v>35</v>
      </c>
    </row>
    <row r="12" spans="1:5" x14ac:dyDescent="0.2">
      <c r="A12" s="14" t="s">
        <v>28</v>
      </c>
      <c r="B12" s="15">
        <v>50</v>
      </c>
      <c r="C12" s="16" t="s">
        <v>29</v>
      </c>
      <c r="D12" s="16" t="s">
        <v>30</v>
      </c>
      <c r="E12" s="13"/>
    </row>
    <row r="13" spans="1:5" x14ac:dyDescent="0.2">
      <c r="B13" s="3"/>
    </row>
    <row r="14" spans="1:5" x14ac:dyDescent="0.2">
      <c r="A14" s="22" t="s">
        <v>33</v>
      </c>
      <c r="B14" s="23"/>
      <c r="C14" s="13"/>
    </row>
    <row r="15" spans="1:5" x14ac:dyDescent="0.2">
      <c r="A15" s="24" t="s">
        <v>10</v>
      </c>
      <c r="B15" s="25">
        <f>1/(0.9/B4+0.1/B5)</f>
        <v>42.313829787234042</v>
      </c>
      <c r="C15" s="13" t="s">
        <v>13</v>
      </c>
    </row>
    <row r="16" spans="1:5" x14ac:dyDescent="0.2">
      <c r="A16" s="24" t="s">
        <v>14</v>
      </c>
      <c r="B16" s="26">
        <f>0.9*B6+0.1*B7</f>
        <v>0.84899999999999998</v>
      </c>
      <c r="C16" s="13" t="s">
        <v>11</v>
      </c>
    </row>
    <row r="17" spans="1:6" x14ac:dyDescent="0.2">
      <c r="A17" s="24" t="s">
        <v>22</v>
      </c>
      <c r="B17" s="25">
        <f>0.9*B9+0.1*B10</f>
        <v>79.066000000000003</v>
      </c>
      <c r="C17" s="13" t="s">
        <v>16</v>
      </c>
    </row>
    <row r="18" spans="1:6" x14ac:dyDescent="0.2">
      <c r="A18" s="27" t="s">
        <v>34</v>
      </c>
      <c r="B18" s="23"/>
      <c r="C18" s="13"/>
    </row>
    <row r="19" spans="1:6" x14ac:dyDescent="0.2">
      <c r="B19" s="3"/>
    </row>
    <row r="20" spans="1:6" x14ac:dyDescent="0.2">
      <c r="A20" s="2" t="s">
        <v>0</v>
      </c>
      <c r="B20" s="3"/>
    </row>
    <row r="21" spans="1:6" x14ac:dyDescent="0.2">
      <c r="A21" s="4" t="s">
        <v>37</v>
      </c>
      <c r="B21" s="9">
        <v>30000</v>
      </c>
      <c r="C21" t="s">
        <v>26</v>
      </c>
    </row>
    <row r="22" spans="1:6" x14ac:dyDescent="0.2">
      <c r="B22" s="3"/>
    </row>
    <row r="23" spans="1:6" x14ac:dyDescent="0.2">
      <c r="A23" s="2" t="s">
        <v>19</v>
      </c>
      <c r="B23" s="3"/>
    </row>
    <row r="24" spans="1:6" x14ac:dyDescent="0.2">
      <c r="A24" s="4" t="s">
        <v>45</v>
      </c>
      <c r="B24" s="7">
        <f>B21*B6*B4*B9/1000*12</f>
        <v>1096154.28</v>
      </c>
      <c r="C24" t="s">
        <v>38</v>
      </c>
      <c r="F24" s="17"/>
    </row>
    <row r="25" spans="1:6" x14ac:dyDescent="0.2">
      <c r="A25" s="4" t="s">
        <v>23</v>
      </c>
      <c r="B25" s="7">
        <f>B21*(1+B8/100)*B7*B5*B10/1000*12</f>
        <v>446989.68287999998</v>
      </c>
      <c r="C25" t="s">
        <v>39</v>
      </c>
    </row>
    <row r="26" spans="1:6" x14ac:dyDescent="0.2">
      <c r="B26" s="3"/>
    </row>
    <row r="27" spans="1:6" x14ac:dyDescent="0.2">
      <c r="A27" s="2" t="s">
        <v>18</v>
      </c>
      <c r="B27" s="3"/>
    </row>
    <row r="28" spans="1:6" x14ac:dyDescent="0.2">
      <c r="A28" s="4" t="s">
        <v>17</v>
      </c>
      <c r="B28" s="10">
        <f>B24-B25</f>
        <v>649164.59712000005</v>
      </c>
      <c r="C28" t="s">
        <v>38</v>
      </c>
    </row>
    <row r="29" spans="1:6" x14ac:dyDescent="0.2">
      <c r="A29" s="4" t="s">
        <v>27</v>
      </c>
      <c r="B29" s="12">
        <f>B28/1000</f>
        <v>649.16459712000005</v>
      </c>
      <c r="C29" t="s">
        <v>40</v>
      </c>
    </row>
    <row r="30" spans="1:6" x14ac:dyDescent="0.2">
      <c r="A30" s="4" t="s">
        <v>17</v>
      </c>
      <c r="B30" s="12">
        <f>B28/B24*100</f>
        <v>59.222009982025526</v>
      </c>
      <c r="C30" t="s">
        <v>44</v>
      </c>
    </row>
    <row r="31" spans="1:6" x14ac:dyDescent="0.2">
      <c r="A31" s="4" t="s">
        <v>36</v>
      </c>
      <c r="B31" s="12">
        <f>(B28/B11)</f>
        <v>19093.076385882356</v>
      </c>
      <c r="C31" t="s">
        <v>65</v>
      </c>
    </row>
    <row r="32" spans="1:6" x14ac:dyDescent="0.2">
      <c r="A32" s="19"/>
      <c r="B32" s="21"/>
    </row>
    <row r="34" spans="1:1" x14ac:dyDescent="0.2">
      <c r="A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55EB6-CE5F-3540-965D-203A09468D88}">
  <dimension ref="A1:F48"/>
  <sheetViews>
    <sheetView topLeftCell="A25" zoomScale="110" zoomScaleNormal="110" workbookViewId="0">
      <selection activeCell="B48" sqref="B48"/>
    </sheetView>
  </sheetViews>
  <sheetFormatPr baseColWidth="10" defaultRowHeight="16" x14ac:dyDescent="0.2"/>
  <cols>
    <col min="1" max="1" width="59.5" customWidth="1"/>
    <col min="2" max="2" width="13.83203125" customWidth="1"/>
    <col min="3" max="3" width="17.33203125" customWidth="1"/>
    <col min="4" max="4" width="12.5" bestFit="1" customWidth="1"/>
    <col min="6" max="6" width="12.5" bestFit="1" customWidth="1"/>
    <col min="10" max="10" width="12.5" bestFit="1" customWidth="1"/>
  </cols>
  <sheetData>
    <row r="1" spans="1:5" x14ac:dyDescent="0.2">
      <c r="A1" s="2" t="s">
        <v>46</v>
      </c>
    </row>
    <row r="3" spans="1:5" x14ac:dyDescent="0.2">
      <c r="A3" s="2" t="s">
        <v>1</v>
      </c>
    </row>
    <row r="4" spans="1:5" x14ac:dyDescent="0.2">
      <c r="A4" s="4" t="s">
        <v>2</v>
      </c>
      <c r="B4" s="5">
        <v>43</v>
      </c>
      <c r="C4" t="s">
        <v>3</v>
      </c>
      <c r="D4" t="s">
        <v>4</v>
      </c>
    </row>
    <row r="5" spans="1:5" x14ac:dyDescent="0.2">
      <c r="A5" s="4" t="s">
        <v>5</v>
      </c>
      <c r="B5" s="5">
        <v>37</v>
      </c>
      <c r="C5" t="s">
        <v>3</v>
      </c>
      <c r="D5" t="s">
        <v>4</v>
      </c>
    </row>
    <row r="6" spans="1:5" x14ac:dyDescent="0.2">
      <c r="A6" s="4" t="s">
        <v>6</v>
      </c>
      <c r="B6" s="6">
        <v>0.84499999999999997</v>
      </c>
      <c r="C6" t="s">
        <v>11</v>
      </c>
    </row>
    <row r="7" spans="1:5" x14ac:dyDescent="0.2">
      <c r="A7" s="4" t="s">
        <v>7</v>
      </c>
      <c r="B7" s="6">
        <v>0.88500000000000001</v>
      </c>
      <c r="C7" t="s">
        <v>11</v>
      </c>
    </row>
    <row r="8" spans="1:5" x14ac:dyDescent="0.2">
      <c r="A8" s="4" t="s">
        <v>12</v>
      </c>
      <c r="B8" s="7">
        <v>4</v>
      </c>
      <c r="C8" t="s">
        <v>8</v>
      </c>
      <c r="D8" t="s">
        <v>9</v>
      </c>
    </row>
    <row r="9" spans="1:5" x14ac:dyDescent="0.2">
      <c r="A9" s="4" t="s">
        <v>20</v>
      </c>
      <c r="B9" s="5">
        <v>83.8</v>
      </c>
      <c r="C9" t="s">
        <v>16</v>
      </c>
      <c r="D9" t="s">
        <v>15</v>
      </c>
    </row>
    <row r="10" spans="1:5" x14ac:dyDescent="0.2">
      <c r="A10" s="4" t="s">
        <v>21</v>
      </c>
      <c r="B10" s="5">
        <v>36.46</v>
      </c>
      <c r="C10" t="s">
        <v>16</v>
      </c>
      <c r="D10" t="s">
        <v>31</v>
      </c>
    </row>
    <row r="11" spans="1:5" x14ac:dyDescent="0.2">
      <c r="A11" s="4" t="s">
        <v>25</v>
      </c>
      <c r="B11" s="5">
        <v>34</v>
      </c>
      <c r="C11" t="s">
        <v>24</v>
      </c>
      <c r="D11" t="s">
        <v>35</v>
      </c>
    </row>
    <row r="12" spans="1:5" x14ac:dyDescent="0.2">
      <c r="A12" s="14" t="s">
        <v>28</v>
      </c>
      <c r="B12" s="15">
        <v>50</v>
      </c>
      <c r="C12" s="16" t="s">
        <v>29</v>
      </c>
      <c r="D12" s="16" t="s">
        <v>30</v>
      </c>
      <c r="E12" s="13"/>
    </row>
    <row r="13" spans="1:5" x14ac:dyDescent="0.2">
      <c r="A13" s="14" t="s">
        <v>59</v>
      </c>
      <c r="B13" s="32">
        <v>2.5000000000000001E-4</v>
      </c>
      <c r="C13" s="16" t="s">
        <v>41</v>
      </c>
      <c r="D13" s="16" t="s">
        <v>64</v>
      </c>
      <c r="E13" s="13"/>
    </row>
    <row r="14" spans="1:5" x14ac:dyDescent="0.2">
      <c r="A14" s="14" t="s">
        <v>60</v>
      </c>
      <c r="B14" s="30">
        <v>2.0099999999999998</v>
      </c>
      <c r="C14" s="18" t="s">
        <v>42</v>
      </c>
      <c r="D14" s="16" t="s">
        <v>64</v>
      </c>
      <c r="E14" s="13"/>
    </row>
    <row r="15" spans="1:5" x14ac:dyDescent="0.2">
      <c r="A15" s="14" t="s">
        <v>68</v>
      </c>
      <c r="B15" s="30">
        <f>1/0.169</f>
        <v>5.9171597633136095</v>
      </c>
      <c r="C15" s="18" t="s">
        <v>67</v>
      </c>
      <c r="D15" s="16" t="s">
        <v>66</v>
      </c>
      <c r="E15" s="13"/>
    </row>
    <row r="16" spans="1:5" x14ac:dyDescent="0.2">
      <c r="A16" s="14" t="s">
        <v>69</v>
      </c>
      <c r="B16" s="30">
        <f>1/2.3</f>
        <v>0.43478260869565222</v>
      </c>
      <c r="C16" s="18" t="s">
        <v>70</v>
      </c>
      <c r="D16" s="16" t="s">
        <v>66</v>
      </c>
      <c r="E16" s="13"/>
    </row>
    <row r="17" spans="1:5" x14ac:dyDescent="0.2">
      <c r="A17" s="14" t="s">
        <v>71</v>
      </c>
      <c r="B17" s="32">
        <f>1/127532</f>
        <v>7.8411692751623127E-6</v>
      </c>
      <c r="C17" s="18" t="s">
        <v>72</v>
      </c>
      <c r="D17" s="16" t="s">
        <v>66</v>
      </c>
      <c r="E17" s="13"/>
    </row>
    <row r="18" spans="1:5" x14ac:dyDescent="0.2">
      <c r="A18" s="14" t="s">
        <v>73</v>
      </c>
      <c r="B18" s="15">
        <f>1/0.0002</f>
        <v>5000</v>
      </c>
      <c r="C18" s="18" t="s">
        <v>74</v>
      </c>
      <c r="D18" s="16" t="s">
        <v>66</v>
      </c>
      <c r="E18" s="13"/>
    </row>
    <row r="19" spans="1:5" x14ac:dyDescent="0.2">
      <c r="B19" s="3"/>
    </row>
    <row r="20" spans="1:5" x14ac:dyDescent="0.2">
      <c r="A20" s="22" t="s">
        <v>33</v>
      </c>
      <c r="B20" s="23"/>
      <c r="C20" s="13"/>
    </row>
    <row r="21" spans="1:5" x14ac:dyDescent="0.2">
      <c r="A21" s="24" t="s">
        <v>10</v>
      </c>
      <c r="B21" s="25">
        <f>1/(0.9/B4+0.1/B5)</f>
        <v>42.313829787234042</v>
      </c>
      <c r="C21" s="13" t="s">
        <v>13</v>
      </c>
    </row>
    <row r="22" spans="1:5" x14ac:dyDescent="0.2">
      <c r="A22" s="24" t="s">
        <v>14</v>
      </c>
      <c r="B22" s="26">
        <f>0.9*B6+0.1*B7</f>
        <v>0.84899999999999998</v>
      </c>
      <c r="C22" s="13" t="s">
        <v>11</v>
      </c>
    </row>
    <row r="23" spans="1:5" x14ac:dyDescent="0.2">
      <c r="A23" s="24" t="s">
        <v>22</v>
      </c>
      <c r="B23" s="25">
        <f>0.9*B9+0.1*B10</f>
        <v>79.066000000000003</v>
      </c>
      <c r="C23" s="13" t="s">
        <v>16</v>
      </c>
    </row>
    <row r="24" spans="1:5" x14ac:dyDescent="0.2">
      <c r="A24" s="27" t="s">
        <v>34</v>
      </c>
      <c r="B24" s="23"/>
      <c r="C24" s="13"/>
    </row>
    <row r="25" spans="1:5" x14ac:dyDescent="0.2">
      <c r="B25" s="3"/>
    </row>
    <row r="26" spans="1:5" x14ac:dyDescent="0.2">
      <c r="A26" s="2" t="s">
        <v>0</v>
      </c>
      <c r="B26" s="3"/>
    </row>
    <row r="27" spans="1:5" x14ac:dyDescent="0.2">
      <c r="A27" s="4" t="s">
        <v>47</v>
      </c>
      <c r="B27" s="9">
        <v>750</v>
      </c>
      <c r="C27" t="s">
        <v>49</v>
      </c>
      <c r="E27" t="s">
        <v>55</v>
      </c>
    </row>
    <row r="28" spans="1:5" x14ac:dyDescent="0.2">
      <c r="B28" s="3"/>
    </row>
    <row r="29" spans="1:5" x14ac:dyDescent="0.2">
      <c r="A29" s="2" t="s">
        <v>19</v>
      </c>
      <c r="B29" s="3"/>
    </row>
    <row r="30" spans="1:5" x14ac:dyDescent="0.2">
      <c r="A30" s="8" t="s">
        <v>47</v>
      </c>
      <c r="B30" s="7">
        <f>B27*1000000/1000</f>
        <v>750000</v>
      </c>
      <c r="C30" t="s">
        <v>50</v>
      </c>
    </row>
    <row r="31" spans="1:5" x14ac:dyDescent="0.2">
      <c r="A31" s="14" t="s">
        <v>47</v>
      </c>
      <c r="B31" s="7">
        <f>B30*B7</f>
        <v>663750</v>
      </c>
      <c r="C31" t="s">
        <v>48</v>
      </c>
      <c r="D31" s="20"/>
    </row>
    <row r="32" spans="1:5" x14ac:dyDescent="0.2">
      <c r="A32" s="14" t="s">
        <v>51</v>
      </c>
      <c r="B32" s="7">
        <f>B30/(1+B8/100)</f>
        <v>721153.84615384613</v>
      </c>
      <c r="C32" t="s">
        <v>50</v>
      </c>
    </row>
    <row r="33" spans="1:6" x14ac:dyDescent="0.2">
      <c r="A33" s="14" t="s">
        <v>51</v>
      </c>
      <c r="B33" s="7">
        <f>B32*B6</f>
        <v>609375</v>
      </c>
      <c r="C33" t="s">
        <v>48</v>
      </c>
    </row>
    <row r="34" spans="1:6" x14ac:dyDescent="0.2">
      <c r="A34" s="4" t="s">
        <v>45</v>
      </c>
      <c r="B34" s="7">
        <f>B33*B4*B9/1000</f>
        <v>2195821.875</v>
      </c>
      <c r="C34" t="s">
        <v>52</v>
      </c>
      <c r="F34" s="17"/>
    </row>
    <row r="35" spans="1:6" x14ac:dyDescent="0.2">
      <c r="A35" s="4" t="s">
        <v>56</v>
      </c>
      <c r="B35" s="7">
        <f>B31*B5*B10/1000</f>
        <v>895412.02500000002</v>
      </c>
      <c r="C35" t="s">
        <v>52</v>
      </c>
    </row>
    <row r="36" spans="1:6" x14ac:dyDescent="0.2">
      <c r="B36" s="3"/>
    </row>
    <row r="37" spans="1:6" x14ac:dyDescent="0.2">
      <c r="A37" s="2" t="s">
        <v>58</v>
      </c>
      <c r="B37" s="3"/>
    </row>
    <row r="38" spans="1:6" x14ac:dyDescent="0.2">
      <c r="A38" s="4" t="s">
        <v>17</v>
      </c>
      <c r="B38" s="10">
        <f>B34-B35</f>
        <v>1300409.8500000001</v>
      </c>
      <c r="C38" t="s">
        <v>52</v>
      </c>
    </row>
    <row r="39" spans="1:6" x14ac:dyDescent="0.2">
      <c r="A39" s="4" t="s">
        <v>17</v>
      </c>
      <c r="B39" s="11">
        <f>B38/1000000</f>
        <v>1.3004098500000001</v>
      </c>
      <c r="C39" t="s">
        <v>53</v>
      </c>
    </row>
    <row r="40" spans="1:6" x14ac:dyDescent="0.2">
      <c r="A40" s="4" t="s">
        <v>54</v>
      </c>
      <c r="B40" s="11">
        <f>B38*1000/B11/1000000</f>
        <v>38.247348529411759</v>
      </c>
      <c r="C40" t="s">
        <v>77</v>
      </c>
    </row>
    <row r="41" spans="1:6" x14ac:dyDescent="0.2">
      <c r="A41" s="28" t="s">
        <v>54</v>
      </c>
      <c r="B41" s="12">
        <f>B40*1000000/1000</f>
        <v>38247.348529411764</v>
      </c>
      <c r="C41" t="s">
        <v>78</v>
      </c>
    </row>
    <row r="42" spans="1:6" x14ac:dyDescent="0.2">
      <c r="A42" s="29" t="s">
        <v>57</v>
      </c>
    </row>
    <row r="43" spans="1:6" x14ac:dyDescent="0.2">
      <c r="A43" s="31" t="s">
        <v>61</v>
      </c>
      <c r="B43" s="12">
        <f>B38/B13/1000000</f>
        <v>5201.6394</v>
      </c>
      <c r="C43" t="s">
        <v>62</v>
      </c>
    </row>
    <row r="44" spans="1:6" x14ac:dyDescent="0.2">
      <c r="A44" s="28" t="s">
        <v>43</v>
      </c>
      <c r="B44" s="12">
        <f>B38/B14/1000</f>
        <v>646.97007462686577</v>
      </c>
      <c r="C44" t="s">
        <v>63</v>
      </c>
    </row>
    <row r="45" spans="1:6" x14ac:dyDescent="0.2">
      <c r="A45" s="28" t="s">
        <v>75</v>
      </c>
      <c r="B45" s="12">
        <f>B38/B15</f>
        <v>219769.26465000003</v>
      </c>
      <c r="C45" t="s">
        <v>76</v>
      </c>
    </row>
    <row r="46" spans="1:6" x14ac:dyDescent="0.2">
      <c r="A46" s="28" t="s">
        <v>43</v>
      </c>
      <c r="B46" s="12">
        <f>B38/B16</f>
        <v>2990942.6549999998</v>
      </c>
      <c r="C46" t="s">
        <v>79</v>
      </c>
    </row>
    <row r="47" spans="1:6" x14ac:dyDescent="0.2">
      <c r="A47" s="28" t="s">
        <v>80</v>
      </c>
      <c r="B47" s="12">
        <f>B38/B17/1000000/1000</f>
        <v>165.84386899020001</v>
      </c>
      <c r="C47" t="s">
        <v>81</v>
      </c>
    </row>
    <row r="48" spans="1:6" x14ac:dyDescent="0.2">
      <c r="A48" s="28" t="s">
        <v>82</v>
      </c>
      <c r="B48" s="12">
        <f>B38/B18</f>
        <v>260.08197000000001</v>
      </c>
      <c r="C48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Modelo - CALCULADOR</vt:lpstr>
      <vt:lpstr>Los números de EXPLORA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2020-06-24T18:36:21Z</dcterms:created>
  <dcterms:modified xsi:type="dcterms:W3CDTF">2020-08-11T03:13:25Z</dcterms:modified>
</cp:coreProperties>
</file>