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0841a2e24dade8/Profissional/The Coffee/Operação/2.Gestão da Qualidade/Bandejas/"/>
    </mc:Choice>
  </mc:AlternateContent>
  <xr:revisionPtr revIDLastSave="2236" documentId="14_{156752E3-00C2-46FA-8B06-43988C5E67DC}" xr6:coauthVersionLast="47" xr6:coauthVersionMax="47" xr10:uidLastSave="{C71992F4-E610-42A1-9988-9A4EF30C2FB3}"/>
  <bookViews>
    <workbookView xWindow="-120" yWindow="-120" windowWidth="29040" windowHeight="15720" xr2:uid="{E9CFECCB-4CFF-4A8C-8AE9-C6FF4049EEB0}"/>
  </bookViews>
  <sheets>
    <sheet name="linhadotempo" sheetId="1" r:id="rId1"/>
    <sheet name="Gráfico4" sheetId="21" r:id="rId2"/>
    <sheet name="Planilha15" sheetId="23" r:id="rId3"/>
    <sheet name="Planilha16" sheetId="24" r:id="rId4"/>
    <sheet name="dadoscrus" sheetId="5" r:id="rId5"/>
  </sheets>
  <externalReferences>
    <externalReference r:id="rId6"/>
  </externalReferences>
  <definedNames>
    <definedName name="_xlnm._FilterDatabase" localSheetId="4" hidden="1">dadoscrus!$A$1:$C$47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8" i="1" l="1"/>
  <c r="L69" i="1"/>
  <c r="L70" i="1"/>
  <c r="L71" i="1"/>
  <c r="L72" i="1"/>
  <c r="F70" i="1"/>
  <c r="J71" i="1"/>
  <c r="K71" i="1" s="1"/>
  <c r="F68" i="1"/>
  <c r="P68" i="1" s="1"/>
  <c r="F69" i="1"/>
  <c r="P69" i="1" s="1"/>
  <c r="F71" i="1"/>
  <c r="E71" i="1" s="1"/>
  <c r="F72" i="1"/>
  <c r="E72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D69" i="1"/>
  <c r="D70" i="1"/>
  <c r="D71" i="1"/>
  <c r="D7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G72" i="1"/>
  <c r="H72" i="1"/>
  <c r="I72" i="1"/>
  <c r="K72" i="1"/>
  <c r="P72" i="1"/>
  <c r="R72" i="1"/>
  <c r="S72" i="1"/>
  <c r="T72" i="1"/>
  <c r="U72" i="1"/>
  <c r="V72" i="1"/>
  <c r="W72" i="1"/>
  <c r="X72" i="1"/>
  <c r="Y72" i="1"/>
  <c r="G71" i="1"/>
  <c r="H71" i="1"/>
  <c r="Q71" i="1" s="1"/>
  <c r="I71" i="1"/>
  <c r="N71" i="1"/>
  <c r="P71" i="1"/>
  <c r="R71" i="1"/>
  <c r="S71" i="1"/>
  <c r="T71" i="1"/>
  <c r="U71" i="1"/>
  <c r="V71" i="1"/>
  <c r="W71" i="1"/>
  <c r="X71" i="1"/>
  <c r="Y71" i="1"/>
  <c r="G70" i="1"/>
  <c r="H70" i="1"/>
  <c r="I70" i="1"/>
  <c r="J70" i="1"/>
  <c r="Q70" i="1"/>
  <c r="R70" i="1"/>
  <c r="S70" i="1"/>
  <c r="T70" i="1"/>
  <c r="U70" i="1"/>
  <c r="V70" i="1"/>
  <c r="W70" i="1"/>
  <c r="X70" i="1"/>
  <c r="Y70" i="1"/>
  <c r="G69" i="1"/>
  <c r="H69" i="1"/>
  <c r="I69" i="1"/>
  <c r="J69" i="1"/>
  <c r="K69" i="1" s="1"/>
  <c r="R69" i="1"/>
  <c r="S69" i="1"/>
  <c r="T69" i="1"/>
  <c r="U69" i="1"/>
  <c r="V69" i="1"/>
  <c r="W69" i="1"/>
  <c r="X69" i="1"/>
  <c r="Y69" i="1"/>
  <c r="G68" i="1"/>
  <c r="H68" i="1"/>
  <c r="I68" i="1"/>
  <c r="J68" i="1"/>
  <c r="K68" i="1" s="1"/>
  <c r="R68" i="1"/>
  <c r="S68" i="1"/>
  <c r="T68" i="1"/>
  <c r="U68" i="1"/>
  <c r="V68" i="1"/>
  <c r="W68" i="1"/>
  <c r="X68" i="1"/>
  <c r="Y68" i="1"/>
  <c r="G61" i="1"/>
  <c r="G62" i="1"/>
  <c r="G63" i="1"/>
  <c r="G64" i="1"/>
  <c r="G65" i="1"/>
  <c r="G66" i="1"/>
  <c r="G67" i="1"/>
  <c r="P70" i="1" l="1"/>
  <c r="E70" i="1"/>
  <c r="N70" i="1"/>
  <c r="N68" i="1"/>
  <c r="M69" i="1"/>
  <c r="E68" i="1"/>
  <c r="O68" i="1" s="1"/>
  <c r="K70" i="1"/>
  <c r="M70" i="1" s="1"/>
  <c r="N69" i="1"/>
  <c r="E69" i="1"/>
  <c r="O69" i="1" s="1"/>
  <c r="Q69" i="1"/>
  <c r="Q68" i="1"/>
  <c r="N72" i="1"/>
  <c r="O70" i="1"/>
  <c r="M72" i="1"/>
  <c r="Q72" i="1"/>
  <c r="O72" i="1"/>
  <c r="M71" i="1"/>
  <c r="O71" i="1"/>
  <c r="M68" i="1"/>
  <c r="F67" i="1"/>
  <c r="H67" i="1"/>
  <c r="L67" i="1" s="1"/>
  <c r="I67" i="1"/>
  <c r="J67" i="1"/>
  <c r="R67" i="1"/>
  <c r="S67" i="1"/>
  <c r="T67" i="1"/>
  <c r="U67" i="1"/>
  <c r="V67" i="1"/>
  <c r="W67" i="1"/>
  <c r="X67" i="1"/>
  <c r="Y67" i="1"/>
  <c r="F66" i="1"/>
  <c r="P66" i="1" s="1"/>
  <c r="H66" i="1"/>
  <c r="L66" i="1" s="1"/>
  <c r="I66" i="1"/>
  <c r="J66" i="1"/>
  <c r="R66" i="1"/>
  <c r="S66" i="1"/>
  <c r="T66" i="1"/>
  <c r="U66" i="1"/>
  <c r="V66" i="1"/>
  <c r="W66" i="1"/>
  <c r="X66" i="1"/>
  <c r="Y66" i="1"/>
  <c r="F65" i="1"/>
  <c r="H65" i="1"/>
  <c r="L65" i="1" s="1"/>
  <c r="I65" i="1"/>
  <c r="J65" i="1"/>
  <c r="R65" i="1"/>
  <c r="S65" i="1"/>
  <c r="T65" i="1"/>
  <c r="U65" i="1"/>
  <c r="V65" i="1"/>
  <c r="W65" i="1"/>
  <c r="X65" i="1"/>
  <c r="Y65" i="1"/>
  <c r="F64" i="1"/>
  <c r="H64" i="1"/>
  <c r="L64" i="1" s="1"/>
  <c r="I64" i="1"/>
  <c r="J64" i="1"/>
  <c r="R64" i="1"/>
  <c r="S64" i="1"/>
  <c r="T64" i="1"/>
  <c r="U64" i="1"/>
  <c r="V64" i="1"/>
  <c r="W64" i="1"/>
  <c r="X64" i="1"/>
  <c r="Y64" i="1"/>
  <c r="F63" i="1"/>
  <c r="H63" i="1"/>
  <c r="I63" i="1"/>
  <c r="J63" i="1"/>
  <c r="K63" i="1" s="1"/>
  <c r="R63" i="1"/>
  <c r="S63" i="1"/>
  <c r="T63" i="1"/>
  <c r="U63" i="1"/>
  <c r="V63" i="1"/>
  <c r="W63" i="1"/>
  <c r="X63" i="1"/>
  <c r="Y63" i="1"/>
  <c r="F62" i="1"/>
  <c r="H62" i="1"/>
  <c r="I62" i="1"/>
  <c r="J62" i="1"/>
  <c r="R62" i="1"/>
  <c r="S62" i="1"/>
  <c r="T62" i="1"/>
  <c r="U62" i="1"/>
  <c r="V62" i="1"/>
  <c r="W62" i="1"/>
  <c r="X62" i="1"/>
  <c r="Y62" i="1"/>
  <c r="F61" i="1"/>
  <c r="P61" i="1" s="1"/>
  <c r="H61" i="1"/>
  <c r="J61" i="1"/>
  <c r="R61" i="1"/>
  <c r="S61" i="1"/>
  <c r="T61" i="1"/>
  <c r="U61" i="1"/>
  <c r="V61" i="1"/>
  <c r="W61" i="1"/>
  <c r="X61" i="1"/>
  <c r="Y61" i="1"/>
  <c r="G56" i="1"/>
  <c r="G57" i="1"/>
  <c r="G58" i="1"/>
  <c r="G59" i="1"/>
  <c r="G60" i="1"/>
  <c r="F60" i="1"/>
  <c r="P60" i="1" s="1"/>
  <c r="H60" i="1"/>
  <c r="L60" i="1" s="1"/>
  <c r="I60" i="1"/>
  <c r="J60" i="1"/>
  <c r="R60" i="1"/>
  <c r="S60" i="1"/>
  <c r="T60" i="1"/>
  <c r="U60" i="1"/>
  <c r="V60" i="1"/>
  <c r="W60" i="1"/>
  <c r="X60" i="1"/>
  <c r="Y60" i="1"/>
  <c r="F59" i="1"/>
  <c r="H59" i="1"/>
  <c r="L59" i="1" s="1"/>
  <c r="I59" i="1"/>
  <c r="J59" i="1"/>
  <c r="R59" i="1"/>
  <c r="S59" i="1"/>
  <c r="T59" i="1"/>
  <c r="U59" i="1"/>
  <c r="V59" i="1"/>
  <c r="W59" i="1"/>
  <c r="X59" i="1"/>
  <c r="Y59" i="1"/>
  <c r="F58" i="1"/>
  <c r="H58" i="1"/>
  <c r="I58" i="1"/>
  <c r="J58" i="1"/>
  <c r="R58" i="1"/>
  <c r="S58" i="1"/>
  <c r="T58" i="1"/>
  <c r="U58" i="1"/>
  <c r="V58" i="1"/>
  <c r="W58" i="1"/>
  <c r="X58" i="1"/>
  <c r="Y58" i="1"/>
  <c r="F57" i="1"/>
  <c r="H57" i="1"/>
  <c r="I57" i="1"/>
  <c r="J57" i="1"/>
  <c r="R57" i="1"/>
  <c r="S57" i="1"/>
  <c r="T57" i="1"/>
  <c r="U57" i="1"/>
  <c r="V57" i="1"/>
  <c r="W57" i="1"/>
  <c r="X57" i="1"/>
  <c r="Y57" i="1"/>
  <c r="F56" i="1"/>
  <c r="H56" i="1"/>
  <c r="I56" i="1"/>
  <c r="J56" i="1"/>
  <c r="R56" i="1"/>
  <c r="S56" i="1"/>
  <c r="T56" i="1"/>
  <c r="U56" i="1"/>
  <c r="V56" i="1"/>
  <c r="W56" i="1"/>
  <c r="X56" i="1"/>
  <c r="Y56" i="1"/>
  <c r="F55" i="1"/>
  <c r="P55" i="1" s="1"/>
  <c r="G55" i="1"/>
  <c r="H55" i="1"/>
  <c r="I55" i="1"/>
  <c r="J55" i="1"/>
  <c r="R55" i="1"/>
  <c r="S55" i="1"/>
  <c r="T55" i="1"/>
  <c r="U55" i="1"/>
  <c r="V55" i="1"/>
  <c r="W55" i="1"/>
  <c r="X55" i="1"/>
  <c r="Y55" i="1"/>
  <c r="F54" i="1"/>
  <c r="G54" i="1"/>
  <c r="H54" i="1"/>
  <c r="L54" i="1" s="1"/>
  <c r="I54" i="1"/>
  <c r="J54" i="1"/>
  <c r="R54" i="1"/>
  <c r="S54" i="1"/>
  <c r="T54" i="1"/>
  <c r="U54" i="1"/>
  <c r="V54" i="1"/>
  <c r="W54" i="1"/>
  <c r="X54" i="1"/>
  <c r="Y54" i="1"/>
  <c r="F53" i="1"/>
  <c r="P53" i="1" s="1"/>
  <c r="G53" i="1"/>
  <c r="H53" i="1"/>
  <c r="L53" i="1" s="1"/>
  <c r="I53" i="1"/>
  <c r="J53" i="1"/>
  <c r="R53" i="1"/>
  <c r="S53" i="1"/>
  <c r="T53" i="1"/>
  <c r="U53" i="1"/>
  <c r="V53" i="1"/>
  <c r="W53" i="1"/>
  <c r="X53" i="1"/>
  <c r="Y53" i="1"/>
  <c r="F52" i="1"/>
  <c r="G52" i="1"/>
  <c r="H52" i="1"/>
  <c r="L52" i="1" s="1"/>
  <c r="I52" i="1"/>
  <c r="J52" i="1"/>
  <c r="R52" i="1"/>
  <c r="S52" i="1"/>
  <c r="T52" i="1"/>
  <c r="U52" i="1"/>
  <c r="V52" i="1"/>
  <c r="W52" i="1"/>
  <c r="X52" i="1"/>
  <c r="Y52" i="1"/>
  <c r="F51" i="1"/>
  <c r="G51" i="1"/>
  <c r="H51" i="1"/>
  <c r="L51" i="1" s="1"/>
  <c r="I51" i="1"/>
  <c r="J51" i="1"/>
  <c r="R51" i="1"/>
  <c r="S51" i="1"/>
  <c r="T51" i="1"/>
  <c r="U51" i="1"/>
  <c r="V51" i="1"/>
  <c r="W51" i="1"/>
  <c r="X51" i="1"/>
  <c r="Y51" i="1"/>
  <c r="F50" i="1"/>
  <c r="G50" i="1"/>
  <c r="H50" i="1"/>
  <c r="I50" i="1"/>
  <c r="J50" i="1"/>
  <c r="R50" i="1"/>
  <c r="S50" i="1"/>
  <c r="T50" i="1"/>
  <c r="U50" i="1"/>
  <c r="V50" i="1"/>
  <c r="W50" i="1"/>
  <c r="X50" i="1"/>
  <c r="Y50" i="1"/>
  <c r="F49" i="1"/>
  <c r="G49" i="1"/>
  <c r="H49" i="1"/>
  <c r="L49" i="1" s="1"/>
  <c r="I49" i="1"/>
  <c r="J49" i="1"/>
  <c r="R49" i="1"/>
  <c r="S49" i="1"/>
  <c r="T49" i="1"/>
  <c r="U49" i="1"/>
  <c r="V49" i="1"/>
  <c r="W49" i="1"/>
  <c r="X49" i="1"/>
  <c r="Y49" i="1"/>
  <c r="F48" i="1"/>
  <c r="P48" i="1" s="1"/>
  <c r="G48" i="1"/>
  <c r="H48" i="1"/>
  <c r="I48" i="1"/>
  <c r="J48" i="1"/>
  <c r="R48" i="1"/>
  <c r="S48" i="1"/>
  <c r="T48" i="1"/>
  <c r="U48" i="1"/>
  <c r="V48" i="1"/>
  <c r="W48" i="1"/>
  <c r="X48" i="1"/>
  <c r="Y48" i="1"/>
  <c r="O64" i="1" l="1"/>
  <c r="N62" i="1"/>
  <c r="K62" i="1"/>
  <c r="N60" i="1"/>
  <c r="K52" i="1"/>
  <c r="M52" i="1" s="1"/>
  <c r="P62" i="1"/>
  <c r="Q58" i="1"/>
  <c r="N63" i="1"/>
  <c r="N65" i="1"/>
  <c r="Q56" i="1"/>
  <c r="O54" i="1"/>
  <c r="P56" i="1"/>
  <c r="P63" i="1"/>
  <c r="P65" i="1"/>
  <c r="Q60" i="1"/>
  <c r="K61" i="1"/>
  <c r="Q66" i="1"/>
  <c r="Q67" i="1"/>
  <c r="K64" i="1"/>
  <c r="M64" i="1" s="1"/>
  <c r="Q62" i="1"/>
  <c r="N51" i="1"/>
  <c r="N55" i="1"/>
  <c r="Q64" i="1"/>
  <c r="N64" i="1"/>
  <c r="Q65" i="1"/>
  <c r="L62" i="1"/>
  <c r="M62" i="1" s="1"/>
  <c r="Q63" i="1"/>
  <c r="P59" i="1"/>
  <c r="N61" i="1"/>
  <c r="O63" i="1"/>
  <c r="K65" i="1"/>
  <c r="M65" i="1" s="1"/>
  <c r="K66" i="1"/>
  <c r="M66" i="1" s="1"/>
  <c r="K67" i="1"/>
  <c r="M67" i="1" s="1"/>
  <c r="O61" i="1"/>
  <c r="L63" i="1"/>
  <c r="M63" i="1" s="1"/>
  <c r="L57" i="1"/>
  <c r="P64" i="1"/>
  <c r="N66" i="1"/>
  <c r="Q57" i="1"/>
  <c r="P58" i="1"/>
  <c r="L56" i="1"/>
  <c r="O60" i="1"/>
  <c r="O65" i="1"/>
  <c r="O67" i="1"/>
  <c r="N48" i="1"/>
  <c r="K56" i="1"/>
  <c r="O62" i="1"/>
  <c r="P67" i="1"/>
  <c r="N67" i="1"/>
  <c r="O66" i="1"/>
  <c r="L61" i="1"/>
  <c r="Q61" i="1"/>
  <c r="Q59" i="1"/>
  <c r="N52" i="1"/>
  <c r="K54" i="1"/>
  <c r="M54" i="1" s="1"/>
  <c r="O57" i="1"/>
  <c r="K59" i="1"/>
  <c r="M59" i="1" s="1"/>
  <c r="O58" i="1"/>
  <c r="Q50" i="1"/>
  <c r="O51" i="1"/>
  <c r="O56" i="1"/>
  <c r="N59" i="1"/>
  <c r="N58" i="1"/>
  <c r="N57" i="1"/>
  <c r="N56" i="1"/>
  <c r="K57" i="1"/>
  <c r="M57" i="1" s="1"/>
  <c r="K58" i="1"/>
  <c r="K60" i="1"/>
  <c r="M60" i="1" s="1"/>
  <c r="K51" i="1"/>
  <c r="M51" i="1" s="1"/>
  <c r="K53" i="1"/>
  <c r="M53" i="1" s="1"/>
  <c r="O59" i="1"/>
  <c r="L58" i="1"/>
  <c r="P57" i="1"/>
  <c r="K49" i="1"/>
  <c r="M49" i="1" s="1"/>
  <c r="O53" i="1"/>
  <c r="L50" i="1"/>
  <c r="K55" i="1"/>
  <c r="Q49" i="1"/>
  <c r="N49" i="1"/>
  <c r="P51" i="1"/>
  <c r="N53" i="1"/>
  <c r="P50" i="1"/>
  <c r="N50" i="1"/>
  <c r="Q52" i="1"/>
  <c r="O52" i="1"/>
  <c r="K50" i="1"/>
  <c r="P52" i="1"/>
  <c r="N54" i="1"/>
  <c r="O55" i="1"/>
  <c r="P49" i="1"/>
  <c r="O49" i="1"/>
  <c r="Q53" i="1"/>
  <c r="K48" i="1"/>
  <c r="P54" i="1"/>
  <c r="O50" i="1"/>
  <c r="L55" i="1"/>
  <c r="Q55" i="1"/>
  <c r="Q54" i="1"/>
  <c r="Q51" i="1"/>
  <c r="O48" i="1"/>
  <c r="L48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2" i="5"/>
  <c r="M56" i="1" l="1"/>
  <c r="M61" i="1"/>
  <c r="M50" i="1"/>
  <c r="M55" i="1"/>
  <c r="M48" i="1"/>
  <c r="M58" i="1"/>
  <c r="F47" i="1"/>
  <c r="P47" i="1" s="1"/>
  <c r="G47" i="1"/>
  <c r="H47" i="1"/>
  <c r="I47" i="1"/>
  <c r="J47" i="1"/>
  <c r="R47" i="1"/>
  <c r="S47" i="1"/>
  <c r="T47" i="1"/>
  <c r="U47" i="1"/>
  <c r="V47" i="1"/>
  <c r="W47" i="1"/>
  <c r="X47" i="1"/>
  <c r="Y47" i="1"/>
  <c r="F46" i="1"/>
  <c r="G46" i="1"/>
  <c r="H46" i="1"/>
  <c r="L46" i="1" s="1"/>
  <c r="I46" i="1"/>
  <c r="J46" i="1"/>
  <c r="R46" i="1"/>
  <c r="S46" i="1"/>
  <c r="T46" i="1"/>
  <c r="U46" i="1"/>
  <c r="V46" i="1"/>
  <c r="W46" i="1"/>
  <c r="X46" i="1"/>
  <c r="Y46" i="1"/>
  <c r="F45" i="1"/>
  <c r="P45" i="1" s="1"/>
  <c r="G45" i="1"/>
  <c r="H45" i="1"/>
  <c r="L45" i="1" s="1"/>
  <c r="I45" i="1"/>
  <c r="J45" i="1"/>
  <c r="R45" i="1"/>
  <c r="S45" i="1"/>
  <c r="T45" i="1"/>
  <c r="U45" i="1"/>
  <c r="V45" i="1"/>
  <c r="W45" i="1"/>
  <c r="X45" i="1"/>
  <c r="Y45" i="1"/>
  <c r="F44" i="1"/>
  <c r="G44" i="1"/>
  <c r="H44" i="1"/>
  <c r="L44" i="1" s="1"/>
  <c r="I44" i="1"/>
  <c r="J44" i="1"/>
  <c r="R44" i="1"/>
  <c r="S44" i="1"/>
  <c r="T44" i="1"/>
  <c r="U44" i="1"/>
  <c r="V44" i="1"/>
  <c r="W44" i="1"/>
  <c r="X44" i="1"/>
  <c r="Y44" i="1"/>
  <c r="F43" i="1"/>
  <c r="G43" i="1"/>
  <c r="H43" i="1"/>
  <c r="L43" i="1" s="1"/>
  <c r="I43" i="1"/>
  <c r="J43" i="1"/>
  <c r="R43" i="1"/>
  <c r="S43" i="1"/>
  <c r="T43" i="1"/>
  <c r="U43" i="1"/>
  <c r="V43" i="1"/>
  <c r="W43" i="1"/>
  <c r="X43" i="1"/>
  <c r="Y43" i="1"/>
  <c r="F42" i="1"/>
  <c r="P42" i="1" s="1"/>
  <c r="G42" i="1"/>
  <c r="H42" i="1"/>
  <c r="L42" i="1" s="1"/>
  <c r="I42" i="1"/>
  <c r="J42" i="1"/>
  <c r="R42" i="1"/>
  <c r="S42" i="1"/>
  <c r="T42" i="1"/>
  <c r="U42" i="1"/>
  <c r="V42" i="1"/>
  <c r="W42" i="1"/>
  <c r="X42" i="1"/>
  <c r="Y42" i="1"/>
  <c r="F41" i="1"/>
  <c r="P41" i="1" s="1"/>
  <c r="G41" i="1"/>
  <c r="H41" i="1"/>
  <c r="L41" i="1" s="1"/>
  <c r="I41" i="1"/>
  <c r="J41" i="1"/>
  <c r="R41" i="1"/>
  <c r="S41" i="1"/>
  <c r="T41" i="1"/>
  <c r="U41" i="1"/>
  <c r="V41" i="1"/>
  <c r="W41" i="1"/>
  <c r="X41" i="1"/>
  <c r="Y41" i="1"/>
  <c r="F40" i="1"/>
  <c r="G40" i="1"/>
  <c r="H40" i="1"/>
  <c r="L40" i="1" s="1"/>
  <c r="I40" i="1"/>
  <c r="J40" i="1"/>
  <c r="R40" i="1"/>
  <c r="S40" i="1"/>
  <c r="T40" i="1"/>
  <c r="U40" i="1"/>
  <c r="V40" i="1"/>
  <c r="W40" i="1"/>
  <c r="X40" i="1"/>
  <c r="Y40" i="1"/>
  <c r="F39" i="1"/>
  <c r="G39" i="1"/>
  <c r="H39" i="1"/>
  <c r="L39" i="1" s="1"/>
  <c r="I39" i="1"/>
  <c r="J39" i="1"/>
  <c r="R39" i="1"/>
  <c r="S39" i="1"/>
  <c r="T39" i="1"/>
  <c r="U39" i="1"/>
  <c r="V39" i="1"/>
  <c r="W39" i="1"/>
  <c r="X39" i="1"/>
  <c r="Y39" i="1"/>
  <c r="F38" i="1"/>
  <c r="G38" i="1"/>
  <c r="H38" i="1"/>
  <c r="L38" i="1" s="1"/>
  <c r="I38" i="1"/>
  <c r="J38" i="1"/>
  <c r="R38" i="1"/>
  <c r="S38" i="1"/>
  <c r="T38" i="1"/>
  <c r="U38" i="1"/>
  <c r="V38" i="1"/>
  <c r="W38" i="1"/>
  <c r="X38" i="1"/>
  <c r="Y38" i="1"/>
  <c r="F37" i="1"/>
  <c r="Y37" i="1"/>
  <c r="G37" i="1"/>
  <c r="I37" i="1"/>
  <c r="R37" i="1"/>
  <c r="S37" i="1"/>
  <c r="T37" i="1"/>
  <c r="U37" i="1"/>
  <c r="V37" i="1"/>
  <c r="W37" i="1"/>
  <c r="X37" i="1"/>
  <c r="F36" i="1"/>
  <c r="G36" i="1"/>
  <c r="H36" i="1"/>
  <c r="L36" i="1" s="1"/>
  <c r="I36" i="1"/>
  <c r="J36" i="1"/>
  <c r="R36" i="1"/>
  <c r="S36" i="1"/>
  <c r="T36" i="1"/>
  <c r="U36" i="1"/>
  <c r="V36" i="1"/>
  <c r="W36" i="1"/>
  <c r="X36" i="1"/>
  <c r="Y36" i="1"/>
  <c r="F35" i="1"/>
  <c r="G35" i="1"/>
  <c r="H35" i="1"/>
  <c r="L35" i="1" s="1"/>
  <c r="I35" i="1"/>
  <c r="J35" i="1"/>
  <c r="R35" i="1"/>
  <c r="S35" i="1"/>
  <c r="T35" i="1"/>
  <c r="U35" i="1"/>
  <c r="V35" i="1"/>
  <c r="W35" i="1"/>
  <c r="X35" i="1"/>
  <c r="Y35" i="1"/>
  <c r="F34" i="1"/>
  <c r="G34" i="1"/>
  <c r="H34" i="1"/>
  <c r="L34" i="1" s="1"/>
  <c r="I34" i="1"/>
  <c r="J34" i="1"/>
  <c r="R34" i="1"/>
  <c r="S34" i="1"/>
  <c r="T34" i="1"/>
  <c r="U34" i="1"/>
  <c r="V34" i="1"/>
  <c r="W34" i="1"/>
  <c r="X34" i="1"/>
  <c r="Y34" i="1"/>
  <c r="F33" i="1"/>
  <c r="G33" i="1"/>
  <c r="H33" i="1"/>
  <c r="L33" i="1" s="1"/>
  <c r="I33" i="1"/>
  <c r="J33" i="1"/>
  <c r="R33" i="1"/>
  <c r="S33" i="1"/>
  <c r="T33" i="1"/>
  <c r="U33" i="1"/>
  <c r="V33" i="1"/>
  <c r="W33" i="1"/>
  <c r="X33" i="1"/>
  <c r="Y33" i="1"/>
  <c r="F32" i="1"/>
  <c r="G32" i="1"/>
  <c r="H32" i="1"/>
  <c r="L32" i="1" s="1"/>
  <c r="I32" i="1"/>
  <c r="J32" i="1"/>
  <c r="R32" i="1"/>
  <c r="S32" i="1"/>
  <c r="T32" i="1"/>
  <c r="U32" i="1"/>
  <c r="V32" i="1"/>
  <c r="W32" i="1"/>
  <c r="X32" i="1"/>
  <c r="Y32" i="1"/>
  <c r="F31" i="1"/>
  <c r="G31" i="1"/>
  <c r="H31" i="1"/>
  <c r="L31" i="1" s="1"/>
  <c r="I31" i="1"/>
  <c r="J31" i="1"/>
  <c r="R31" i="1"/>
  <c r="S31" i="1"/>
  <c r="T31" i="1"/>
  <c r="U31" i="1"/>
  <c r="V31" i="1"/>
  <c r="W31" i="1"/>
  <c r="X31" i="1"/>
  <c r="Y31" i="1"/>
  <c r="F30" i="1"/>
  <c r="H30" i="1"/>
  <c r="L30" i="1" s="1"/>
  <c r="J30" i="1"/>
  <c r="R30" i="1"/>
  <c r="S30" i="1"/>
  <c r="T30" i="1"/>
  <c r="U30" i="1"/>
  <c r="V30" i="1"/>
  <c r="W30" i="1"/>
  <c r="X30" i="1"/>
  <c r="Y30" i="1"/>
  <c r="F29" i="1"/>
  <c r="G29" i="1"/>
  <c r="H29" i="1"/>
  <c r="L29" i="1" s="1"/>
  <c r="I29" i="1"/>
  <c r="J29" i="1"/>
  <c r="R29" i="1"/>
  <c r="S29" i="1"/>
  <c r="T29" i="1"/>
  <c r="U29" i="1"/>
  <c r="V29" i="1"/>
  <c r="W29" i="1"/>
  <c r="X29" i="1"/>
  <c r="Y29" i="1"/>
  <c r="F28" i="1"/>
  <c r="G28" i="1"/>
  <c r="H28" i="1"/>
  <c r="L28" i="1" s="1"/>
  <c r="I28" i="1"/>
  <c r="J28" i="1"/>
  <c r="R28" i="1"/>
  <c r="S28" i="1"/>
  <c r="T28" i="1"/>
  <c r="U28" i="1"/>
  <c r="V28" i="1"/>
  <c r="W28" i="1"/>
  <c r="X28" i="1"/>
  <c r="Y28" i="1"/>
  <c r="F27" i="1"/>
  <c r="G27" i="1"/>
  <c r="H27" i="1"/>
  <c r="L27" i="1" s="1"/>
  <c r="I27" i="1"/>
  <c r="J27" i="1"/>
  <c r="R27" i="1"/>
  <c r="S27" i="1"/>
  <c r="T27" i="1"/>
  <c r="U27" i="1"/>
  <c r="V27" i="1"/>
  <c r="W27" i="1"/>
  <c r="X27" i="1"/>
  <c r="Y27" i="1"/>
  <c r="F26" i="1"/>
  <c r="P26" i="1" s="1"/>
  <c r="G26" i="1"/>
  <c r="H26" i="1"/>
  <c r="L26" i="1" s="1"/>
  <c r="I26" i="1"/>
  <c r="J26" i="1"/>
  <c r="R26" i="1"/>
  <c r="S26" i="1"/>
  <c r="T26" i="1"/>
  <c r="U26" i="1"/>
  <c r="V26" i="1"/>
  <c r="W26" i="1"/>
  <c r="X26" i="1"/>
  <c r="Y26" i="1"/>
  <c r="F25" i="1"/>
  <c r="G25" i="1"/>
  <c r="H25" i="1"/>
  <c r="L25" i="1" s="1"/>
  <c r="I25" i="1"/>
  <c r="J25" i="1"/>
  <c r="R25" i="1"/>
  <c r="S25" i="1"/>
  <c r="T25" i="1"/>
  <c r="U25" i="1"/>
  <c r="V25" i="1"/>
  <c r="W25" i="1"/>
  <c r="X25" i="1"/>
  <c r="Y25" i="1"/>
  <c r="F24" i="1"/>
  <c r="G24" i="1"/>
  <c r="H24" i="1"/>
  <c r="L24" i="1" s="1"/>
  <c r="I24" i="1"/>
  <c r="J24" i="1"/>
  <c r="R24" i="1"/>
  <c r="S24" i="1"/>
  <c r="T24" i="1"/>
  <c r="U24" i="1"/>
  <c r="V24" i="1"/>
  <c r="W24" i="1"/>
  <c r="X24" i="1"/>
  <c r="Y24" i="1"/>
  <c r="F23" i="1"/>
  <c r="G23" i="1"/>
  <c r="H23" i="1"/>
  <c r="L23" i="1" s="1"/>
  <c r="I23" i="1"/>
  <c r="J23" i="1"/>
  <c r="R23" i="1"/>
  <c r="S23" i="1"/>
  <c r="T23" i="1"/>
  <c r="U23" i="1"/>
  <c r="V23" i="1"/>
  <c r="W23" i="1"/>
  <c r="X23" i="1"/>
  <c r="Y23" i="1"/>
  <c r="F22" i="1"/>
  <c r="G22" i="1"/>
  <c r="H22" i="1"/>
  <c r="L22" i="1" s="1"/>
  <c r="I22" i="1"/>
  <c r="J22" i="1"/>
  <c r="R22" i="1"/>
  <c r="S22" i="1"/>
  <c r="T22" i="1"/>
  <c r="U22" i="1"/>
  <c r="V22" i="1"/>
  <c r="W22" i="1"/>
  <c r="X22" i="1"/>
  <c r="Y22" i="1"/>
  <c r="I21" i="1"/>
  <c r="G21" i="1"/>
  <c r="F21" i="1"/>
  <c r="H21" i="1"/>
  <c r="L21" i="1" s="1"/>
  <c r="J21" i="1"/>
  <c r="R21" i="1"/>
  <c r="S21" i="1"/>
  <c r="T21" i="1"/>
  <c r="U21" i="1"/>
  <c r="V21" i="1"/>
  <c r="W21" i="1"/>
  <c r="X21" i="1"/>
  <c r="Y21" i="1"/>
  <c r="F20" i="1"/>
  <c r="G20" i="1"/>
  <c r="H20" i="1"/>
  <c r="L20" i="1" s="1"/>
  <c r="I20" i="1"/>
  <c r="J20" i="1"/>
  <c r="R20" i="1"/>
  <c r="S20" i="1"/>
  <c r="T20" i="1"/>
  <c r="U20" i="1"/>
  <c r="V20" i="1"/>
  <c r="W20" i="1"/>
  <c r="X20" i="1"/>
  <c r="Y20" i="1"/>
  <c r="F19" i="1"/>
  <c r="G19" i="1"/>
  <c r="H19" i="1"/>
  <c r="L19" i="1" s="1"/>
  <c r="I19" i="1"/>
  <c r="J19" i="1"/>
  <c r="R19" i="1"/>
  <c r="S19" i="1"/>
  <c r="T19" i="1"/>
  <c r="U19" i="1"/>
  <c r="V19" i="1"/>
  <c r="W19" i="1"/>
  <c r="X19" i="1"/>
  <c r="Y19" i="1"/>
  <c r="G18" i="1"/>
  <c r="I18" i="1"/>
  <c r="F18" i="1"/>
  <c r="H18" i="1"/>
  <c r="L18" i="1" s="1"/>
  <c r="J18" i="1"/>
  <c r="R18" i="1"/>
  <c r="S18" i="1"/>
  <c r="T18" i="1"/>
  <c r="U18" i="1"/>
  <c r="V18" i="1"/>
  <c r="W18" i="1"/>
  <c r="X18" i="1"/>
  <c r="Y18" i="1"/>
  <c r="G5" i="1"/>
  <c r="G4" i="1"/>
  <c r="G3" i="1"/>
  <c r="G2" i="1"/>
  <c r="G6" i="1"/>
  <c r="G17" i="1"/>
  <c r="I17" i="1"/>
  <c r="I16" i="1"/>
  <c r="G16" i="1"/>
  <c r="I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7" i="1"/>
  <c r="G8" i="1"/>
  <c r="G9" i="1"/>
  <c r="G10" i="1"/>
  <c r="G11" i="1"/>
  <c r="G12" i="1"/>
  <c r="G13" i="1"/>
  <c r="G14" i="1"/>
  <c r="K46" i="1" l="1"/>
  <c r="M46" i="1" s="1"/>
  <c r="K44" i="1"/>
  <c r="M44" i="1" s="1"/>
  <c r="L47" i="1"/>
  <c r="Q48" i="1"/>
  <c r="N43" i="1"/>
  <c r="P44" i="1"/>
  <c r="P43" i="1"/>
  <c r="K43" i="1"/>
  <c r="M43" i="1" s="1"/>
  <c r="N44" i="1"/>
  <c r="Q45" i="1"/>
  <c r="O45" i="1"/>
  <c r="K38" i="1"/>
  <c r="M38" i="1" s="1"/>
  <c r="K42" i="1"/>
  <c r="M42" i="1" s="1"/>
  <c r="K45" i="1"/>
  <c r="M45" i="1" s="1"/>
  <c r="N47" i="1"/>
  <c r="N38" i="1"/>
  <c r="N42" i="1"/>
  <c r="N45" i="1"/>
  <c r="O46" i="1"/>
  <c r="K22" i="1"/>
  <c r="M22" i="1" s="1"/>
  <c r="K40" i="1"/>
  <c r="M40" i="1" s="1"/>
  <c r="N41" i="1"/>
  <c r="K47" i="1"/>
  <c r="M47" i="1" s="1"/>
  <c r="Q46" i="1"/>
  <c r="Q47" i="1"/>
  <c r="O47" i="1"/>
  <c r="O44" i="1"/>
  <c r="P46" i="1"/>
  <c r="P38" i="1"/>
  <c r="Q42" i="1"/>
  <c r="O42" i="1"/>
  <c r="N39" i="1"/>
  <c r="Q44" i="1"/>
  <c r="K41" i="1"/>
  <c r="M41" i="1" s="1"/>
  <c r="N46" i="1"/>
  <c r="O43" i="1"/>
  <c r="Q43" i="1"/>
  <c r="K36" i="1"/>
  <c r="M36" i="1" s="1"/>
  <c r="P40" i="1"/>
  <c r="P39" i="1"/>
  <c r="K39" i="1"/>
  <c r="M39" i="1" s="1"/>
  <c r="N40" i="1"/>
  <c r="O41" i="1"/>
  <c r="Q41" i="1"/>
  <c r="Q40" i="1"/>
  <c r="O40" i="1"/>
  <c r="Q39" i="1"/>
  <c r="O39" i="1"/>
  <c r="O38" i="1"/>
  <c r="N35" i="1"/>
  <c r="N34" i="1"/>
  <c r="N33" i="1"/>
  <c r="P37" i="1"/>
  <c r="J37" i="1"/>
  <c r="K37" i="1" s="1"/>
  <c r="P35" i="1"/>
  <c r="H37" i="1"/>
  <c r="L37" i="1" s="1"/>
  <c r="N37" i="1"/>
  <c r="O33" i="1"/>
  <c r="P36" i="1"/>
  <c r="Q34" i="1"/>
  <c r="K35" i="1"/>
  <c r="M35" i="1" s="1"/>
  <c r="N36" i="1"/>
  <c r="Q36" i="1"/>
  <c r="O36" i="1"/>
  <c r="Q35" i="1"/>
  <c r="O35" i="1"/>
  <c r="K34" i="1"/>
  <c r="M34" i="1" s="1"/>
  <c r="O34" i="1"/>
  <c r="O29" i="1"/>
  <c r="Q33" i="1"/>
  <c r="P34" i="1"/>
  <c r="K28" i="1"/>
  <c r="M28" i="1" s="1"/>
  <c r="K33" i="1"/>
  <c r="M33" i="1" s="1"/>
  <c r="N29" i="1"/>
  <c r="P33" i="1"/>
  <c r="Q32" i="1"/>
  <c r="P31" i="1"/>
  <c r="P32" i="1"/>
  <c r="K31" i="1"/>
  <c r="M31" i="1" s="1"/>
  <c r="K32" i="1"/>
  <c r="M32" i="1" s="1"/>
  <c r="N31" i="1"/>
  <c r="N32" i="1"/>
  <c r="O30" i="1"/>
  <c r="O32" i="1"/>
  <c r="O31" i="1"/>
  <c r="Q31" i="1"/>
  <c r="Q29" i="1"/>
  <c r="N27" i="1"/>
  <c r="Q30" i="1"/>
  <c r="P28" i="1"/>
  <c r="P29" i="1"/>
  <c r="P27" i="1"/>
  <c r="P30" i="1"/>
  <c r="K27" i="1"/>
  <c r="M27" i="1" s="1"/>
  <c r="K29" i="1"/>
  <c r="M29" i="1" s="1"/>
  <c r="N28" i="1"/>
  <c r="O27" i="1"/>
  <c r="Q27" i="1"/>
  <c r="O28" i="1"/>
  <c r="Q28" i="1"/>
  <c r="N26" i="1"/>
  <c r="Q25" i="1"/>
  <c r="K26" i="1"/>
  <c r="M26" i="1" s="1"/>
  <c r="N25" i="1"/>
  <c r="O26" i="1"/>
  <c r="Q26" i="1"/>
  <c r="K25" i="1"/>
  <c r="M25" i="1" s="1"/>
  <c r="Q24" i="1"/>
  <c r="N24" i="1"/>
  <c r="P25" i="1"/>
  <c r="O22" i="1"/>
  <c r="O20" i="1"/>
  <c r="O24" i="1"/>
  <c r="O25" i="1"/>
  <c r="P24" i="1"/>
  <c r="K23" i="1"/>
  <c r="M23" i="1" s="1"/>
  <c r="K24" i="1"/>
  <c r="M24" i="1" s="1"/>
  <c r="N19" i="1"/>
  <c r="P22" i="1"/>
  <c r="N22" i="1"/>
  <c r="N23" i="1"/>
  <c r="Q23" i="1"/>
  <c r="P23" i="1"/>
  <c r="O23" i="1"/>
  <c r="N20" i="1"/>
  <c r="Q22" i="1"/>
  <c r="Q21" i="1"/>
  <c r="P21" i="1"/>
  <c r="K20" i="1"/>
  <c r="M20" i="1" s="1"/>
  <c r="N21" i="1"/>
  <c r="K21" i="1"/>
  <c r="M21" i="1" s="1"/>
  <c r="O21" i="1"/>
  <c r="K19" i="1"/>
  <c r="M19" i="1" s="1"/>
  <c r="P20" i="1"/>
  <c r="Q20" i="1"/>
  <c r="Q19" i="1"/>
  <c r="P19" i="1"/>
  <c r="O19" i="1"/>
  <c r="P18" i="1"/>
  <c r="N18" i="1"/>
  <c r="K18" i="1"/>
  <c r="M18" i="1" s="1"/>
  <c r="O18" i="1"/>
  <c r="M37" i="1" l="1"/>
  <c r="Q38" i="1"/>
  <c r="O37" i="1"/>
  <c r="Q37" i="1"/>
  <c r="S17" i="1" l="1"/>
  <c r="T17" i="1"/>
  <c r="U17" i="1"/>
  <c r="V17" i="1"/>
  <c r="W17" i="1"/>
  <c r="X17" i="1"/>
  <c r="Y17" i="1" l="1"/>
  <c r="R17" i="1"/>
  <c r="J17" i="1"/>
  <c r="K17" i="1" s="1"/>
  <c r="F17" i="1"/>
  <c r="H17" i="1"/>
  <c r="L17" i="1" s="1"/>
  <c r="R16" i="1"/>
  <c r="S16" i="1"/>
  <c r="T16" i="1"/>
  <c r="U16" i="1"/>
  <c r="V16" i="1"/>
  <c r="W16" i="1"/>
  <c r="X16" i="1"/>
  <c r="R15" i="1"/>
  <c r="S15" i="1"/>
  <c r="T15" i="1"/>
  <c r="U15" i="1"/>
  <c r="V15" i="1"/>
  <c r="W15" i="1"/>
  <c r="X15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R3" i="1"/>
  <c r="S3" i="1"/>
  <c r="U3" i="1"/>
  <c r="V3" i="1"/>
  <c r="W3" i="1"/>
  <c r="X3" i="1"/>
  <c r="R4" i="1"/>
  <c r="S4" i="1"/>
  <c r="U4" i="1"/>
  <c r="V4" i="1"/>
  <c r="W4" i="1"/>
  <c r="X4" i="1"/>
  <c r="R5" i="1"/>
  <c r="S5" i="1"/>
  <c r="U5" i="1"/>
  <c r="V5" i="1"/>
  <c r="W5" i="1"/>
  <c r="X5" i="1"/>
  <c r="R6" i="1"/>
  <c r="S6" i="1"/>
  <c r="U6" i="1"/>
  <c r="V6" i="1"/>
  <c r="W6" i="1"/>
  <c r="X6" i="1"/>
  <c r="R7" i="1"/>
  <c r="S7" i="1"/>
  <c r="U7" i="1"/>
  <c r="V7" i="1"/>
  <c r="W7" i="1"/>
  <c r="X7" i="1"/>
  <c r="R8" i="1"/>
  <c r="S8" i="1"/>
  <c r="U8" i="1"/>
  <c r="V8" i="1"/>
  <c r="W8" i="1"/>
  <c r="X8" i="1"/>
  <c r="R9" i="1"/>
  <c r="S9" i="1"/>
  <c r="U9" i="1"/>
  <c r="V9" i="1"/>
  <c r="W9" i="1"/>
  <c r="X9" i="1"/>
  <c r="R10" i="1"/>
  <c r="S10" i="1"/>
  <c r="U10" i="1"/>
  <c r="V10" i="1"/>
  <c r="W10" i="1"/>
  <c r="X10" i="1"/>
  <c r="R11" i="1"/>
  <c r="S11" i="1"/>
  <c r="U11" i="1"/>
  <c r="V11" i="1"/>
  <c r="W11" i="1"/>
  <c r="X11" i="1"/>
  <c r="R12" i="1"/>
  <c r="S12" i="1"/>
  <c r="U12" i="1"/>
  <c r="V12" i="1"/>
  <c r="W12" i="1"/>
  <c r="X12" i="1"/>
  <c r="R13" i="1"/>
  <c r="S13" i="1"/>
  <c r="U13" i="1"/>
  <c r="V13" i="1"/>
  <c r="W13" i="1"/>
  <c r="X13" i="1"/>
  <c r="R14" i="1"/>
  <c r="S14" i="1"/>
  <c r="U14" i="1"/>
  <c r="V14" i="1"/>
  <c r="W14" i="1"/>
  <c r="X14" i="1"/>
  <c r="H8" i="1"/>
  <c r="L8" i="1" s="1"/>
  <c r="S2" i="1"/>
  <c r="U2" i="1"/>
  <c r="V2" i="1"/>
  <c r="W2" i="1"/>
  <c r="X2" i="1"/>
  <c r="R2" i="1"/>
  <c r="M17" i="1" l="1"/>
  <c r="Q18" i="1"/>
  <c r="J2" i="1"/>
  <c r="K2" i="1" s="1"/>
  <c r="F2" i="1"/>
  <c r="H3" i="1"/>
  <c r="L3" i="1" s="1"/>
  <c r="J4" i="1"/>
  <c r="K4" i="1" s="1"/>
  <c r="F4" i="1"/>
  <c r="J10" i="1"/>
  <c r="K10" i="1" s="1"/>
  <c r="F10" i="1"/>
  <c r="J15" i="1"/>
  <c r="K15" i="1" s="1"/>
  <c r="F15" i="1"/>
  <c r="H4" i="1"/>
  <c r="L4" i="1" s="1"/>
  <c r="H10" i="1"/>
  <c r="L10" i="1" s="1"/>
  <c r="J6" i="1"/>
  <c r="K6" i="1" s="1"/>
  <c r="F6" i="1"/>
  <c r="H9" i="1"/>
  <c r="L9" i="1" s="1"/>
  <c r="J11" i="1"/>
  <c r="K11" i="1" s="1"/>
  <c r="F11" i="1"/>
  <c r="J12" i="1"/>
  <c r="K12" i="1" s="1"/>
  <c r="F12" i="1"/>
  <c r="J13" i="1"/>
  <c r="K13" i="1" s="1"/>
  <c r="F13" i="1"/>
  <c r="H16" i="1"/>
  <c r="L16" i="1" s="1"/>
  <c r="H7" i="1"/>
  <c r="L7" i="1" s="1"/>
  <c r="H14" i="1"/>
  <c r="L14" i="1" s="1"/>
  <c r="J5" i="1"/>
  <c r="K5" i="1" s="1"/>
  <c r="F5" i="1"/>
  <c r="J3" i="1"/>
  <c r="K3" i="1" s="1"/>
  <c r="F3" i="1"/>
  <c r="J14" i="1"/>
  <c r="K14" i="1" s="1"/>
  <c r="F14" i="1"/>
  <c r="H15" i="1"/>
  <c r="L15" i="1" s="1"/>
  <c r="H2" i="1"/>
  <c r="L2" i="1" s="1"/>
  <c r="H6" i="1"/>
  <c r="L6" i="1" s="1"/>
  <c r="H13" i="1"/>
  <c r="L13" i="1" s="1"/>
  <c r="H5" i="1"/>
  <c r="L5" i="1" s="1"/>
  <c r="F7" i="1"/>
  <c r="J7" i="1"/>
  <c r="K7" i="1" s="1"/>
  <c r="J8" i="1"/>
  <c r="K8" i="1" s="1"/>
  <c r="M8" i="1" s="1"/>
  <c r="F8" i="1"/>
  <c r="H12" i="1"/>
  <c r="L12" i="1" s="1"/>
  <c r="H11" i="1"/>
  <c r="L11" i="1" s="1"/>
  <c r="J9" i="1"/>
  <c r="K9" i="1" s="1"/>
  <c r="F9" i="1"/>
  <c r="J16" i="1"/>
  <c r="K16" i="1" s="1"/>
  <c r="F16" i="1"/>
  <c r="O17" i="1"/>
  <c r="P17" i="1"/>
  <c r="N17" i="1"/>
  <c r="Y15" i="1"/>
  <c r="Y5" i="1"/>
  <c r="Y9" i="1"/>
  <c r="Y16" i="1"/>
  <c r="Y10" i="1"/>
  <c r="Y6" i="1"/>
  <c r="Y7" i="1"/>
  <c r="Y3" i="1"/>
  <c r="Y13" i="1"/>
  <c r="Y11" i="1"/>
  <c r="Y8" i="1"/>
  <c r="Y14" i="1"/>
  <c r="Y12" i="1"/>
  <c r="Y4" i="1"/>
  <c r="Y2" i="1"/>
  <c r="M10" i="1" l="1"/>
  <c r="M13" i="1"/>
  <c r="M6" i="1"/>
  <c r="M14" i="1"/>
  <c r="M4" i="1"/>
  <c r="M16" i="1"/>
  <c r="M12" i="1"/>
  <c r="M2" i="1"/>
  <c r="M7" i="1"/>
  <c r="M3" i="1"/>
  <c r="M9" i="1"/>
  <c r="M5" i="1"/>
  <c r="M15" i="1"/>
  <c r="M11" i="1"/>
  <c r="Q8" i="1"/>
  <c r="N7" i="1"/>
  <c r="O7" i="1"/>
  <c r="P7" i="1"/>
  <c r="Q11" i="1"/>
  <c r="Q15" i="1"/>
  <c r="Q16" i="1"/>
  <c r="Q9" i="1"/>
  <c r="O2" i="1"/>
  <c r="P2" i="1"/>
  <c r="N2" i="1"/>
  <c r="Q17" i="1"/>
  <c r="Q12" i="1"/>
  <c r="Q13" i="1"/>
  <c r="O14" i="1"/>
  <c r="P14" i="1"/>
  <c r="N14" i="1"/>
  <c r="Q7" i="1"/>
  <c r="N13" i="1"/>
  <c r="O13" i="1"/>
  <c r="P13" i="1"/>
  <c r="P10" i="1"/>
  <c r="N10" i="1"/>
  <c r="O10" i="1"/>
  <c r="Q10" i="1"/>
  <c r="Q3" i="1"/>
  <c r="O16" i="1"/>
  <c r="N16" i="1"/>
  <c r="P16" i="1"/>
  <c r="P8" i="1"/>
  <c r="N8" i="1"/>
  <c r="O8" i="1"/>
  <c r="Q6" i="1"/>
  <c r="P3" i="1"/>
  <c r="N3" i="1"/>
  <c r="O3" i="1"/>
  <c r="O12" i="1"/>
  <c r="P12" i="1"/>
  <c r="N12" i="1"/>
  <c r="P4" i="1"/>
  <c r="O4" i="1"/>
  <c r="N4" i="1"/>
  <c r="Q4" i="1"/>
  <c r="N9" i="1"/>
  <c r="O9" i="1"/>
  <c r="P9" i="1"/>
  <c r="P5" i="1"/>
  <c r="O5" i="1"/>
  <c r="N5" i="1"/>
  <c r="P11" i="1"/>
  <c r="N11" i="1"/>
  <c r="O11" i="1"/>
  <c r="O15" i="1"/>
  <c r="N15" i="1"/>
  <c r="P15" i="1"/>
  <c r="Q5" i="1"/>
  <c r="Q14" i="1"/>
  <c r="P6" i="1"/>
  <c r="O6" i="1"/>
  <c r="N6" i="1"/>
  <c r="G30" i="1"/>
  <c r="N30" i="1" s="1"/>
  <c r="I30" i="1"/>
  <c r="K30" i="1" s="1"/>
  <c r="M30" i="1" s="1"/>
</calcChain>
</file>

<file path=xl/sharedStrings.xml><?xml version="1.0" encoding="utf-8"?>
<sst xmlns="http://schemas.openxmlformats.org/spreadsheetml/2006/main" count="77" uniqueCount="70">
  <si>
    <t>Ideal, valor</t>
  </si>
  <si>
    <t>Semanal, valor</t>
  </si>
  <si>
    <t>Recomendada, valor</t>
  </si>
  <si>
    <t>total de conversões</t>
  </si>
  <si>
    <t>meta de conversões</t>
  </si>
  <si>
    <t>Equiv. product line</t>
  </si>
  <si>
    <t>Conversões + Equiv. Prod. Line</t>
  </si>
  <si>
    <t>Semana</t>
  </si>
  <si>
    <t>Ano</t>
  </si>
  <si>
    <t>eficiência de conversão</t>
  </si>
  <si>
    <t>A$%  (total -S)</t>
  </si>
  <si>
    <t>B$%  (total -S)</t>
  </si>
  <si>
    <t>D$% (total-S)</t>
  </si>
  <si>
    <t>F$%  (total -S)</t>
  </si>
  <si>
    <t>K$%  (total -S)</t>
  </si>
  <si>
    <t>P$%  (total-S)</t>
  </si>
  <si>
    <t>S$%  (total -S)</t>
  </si>
  <si>
    <t>$%  (Total-S)</t>
  </si>
  <si>
    <t>var. % movimento</t>
  </si>
  <si>
    <t>vendas realizadas (bandejas)</t>
  </si>
  <si>
    <t>% valor ideal</t>
  </si>
  <si>
    <t>% meta de vendas</t>
  </si>
  <si>
    <t>Meta ideal</t>
  </si>
  <si>
    <t>Meta ajustada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</si>
  <si>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</si>
  <si>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</si>
  <si>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</si>
  <si>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</si>
  <si>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</si>
  <si>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</si>
  <si>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</si>
  <si>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</si>
  <si>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</si>
  <si>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</si>
  <si>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</si>
  <si>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</si>
  <si>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</si>
  <si>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RESUMO DOS RESULTADOS</t>
  </si>
  <si>
    <t>Estatística de regressão</t>
  </si>
  <si>
    <t>R múltiplo</t>
  </si>
  <si>
    <t>R-Quadrado</t>
  </si>
  <si>
    <t>R-quadrado ajustado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</si>
  <si>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</si>
  <si>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</si>
  <si>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</si>
  <si>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</si>
  <si>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</si>
  <si>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</si>
  <si>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</si>
  <si>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</si>
  <si>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</si>
  <si>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</si>
  <si>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</si>
  <si>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</si>
  <si>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</si>
  <si>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</si>
  <si>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</si>
  <si>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</si>
  <si>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</si>
  <si>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</si>
  <si>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RESULTADOS DE RESÍDUOS</t>
  </si>
  <si>
    <t>Observação</t>
  </si>
  <si>
    <t>Resíduos</t>
  </si>
  <si>
    <t>Resíduos padrão</t>
  </si>
  <si>
    <t>RESULTADOS DE PROBABILIDADE</t>
  </si>
  <si>
    <t>Percentil</t>
  </si>
  <si>
    <t>% conv</t>
  </si>
  <si>
    <t>Nível de confiança(95.0%)</t>
  </si>
  <si>
    <t>Previsto(a) % conv</t>
  </si>
  <si>
    <t>Dif. Meta/conversões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</si>
</sst>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9" fontId="0" fillId="0" borderId="0" xfId="2" applyFont="1" applyAlignment="1">
      <alignment horizontal="left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 applyAlignment="1">
      <alignment horizontal="right"/>
    </xf>
    <xf numFmtId="1" fontId="0" fillId="0" borderId="0" xfId="2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4" fillId="3" borderId="1" xfId="0" applyFont="1" applyFill="1" applyBorder="1"/>
    <xf numFmtId="1" fontId="0" fillId="2" borderId="1" xfId="0" applyNumberFormat="1" applyFill="1" applyBorder="1"/>
    <xf numFmtId="1" fontId="0" fillId="0" borderId="1" xfId="0" applyNumberFormat="1" applyBorder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44">
    <dxf>
      <numFmt numFmtId="1" formatCode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microsoft.com/office/2017/10/relationships/person" Target="persons/perso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dadoscrus!$C$1</c:f>
              <c:strCache>
                <c:ptCount val="1"/>
                <c:pt idx="0">
                  <c:v>% conv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6600987160655204E-2"/>
                  <c:y val="-0.17601595699128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dadoscrus!$C$2:$C$47</c:f>
              <c:numCache>
                <c:formatCode>0%</c:formatCode>
                <c:ptCount val="46"/>
                <c:pt idx="0">
                  <c:v>0.23463013681942907</c:v>
                </c:pt>
                <c:pt idx="1">
                  <c:v>3.8522186862285888E-2</c:v>
                </c:pt>
                <c:pt idx="2">
                  <c:v>9.4474396241194178E-2</c:v>
                </c:pt>
                <c:pt idx="3">
                  <c:v>0.10213722860700671</c:v>
                </c:pt>
                <c:pt idx="4">
                  <c:v>9.2790307738703851E-2</c:v>
                </c:pt>
                <c:pt idx="5">
                  <c:v>5.026244705287583E-2</c:v>
                </c:pt>
                <c:pt idx="6">
                  <c:v>8.3661483017992949E-2</c:v>
                </c:pt>
                <c:pt idx="7">
                  <c:v>0.10535754576217192</c:v>
                </c:pt>
                <c:pt idx="8">
                  <c:v>0.10133634213983586</c:v>
                </c:pt>
                <c:pt idx="9">
                  <c:v>0.10312374334598796</c:v>
                </c:pt>
                <c:pt idx="10">
                  <c:v>8.6385510879121108E-2</c:v>
                </c:pt>
                <c:pt idx="11">
                  <c:v>7.8362202475799836E-2</c:v>
                </c:pt>
                <c:pt idx="12">
                  <c:v>0.10853867252938192</c:v>
                </c:pt>
                <c:pt idx="13">
                  <c:v>0.11639822704796121</c:v>
                </c:pt>
                <c:pt idx="14">
                  <c:v>0.10229080091330563</c:v>
                </c:pt>
                <c:pt idx="15">
                  <c:v>8.9449859808939478E-2</c:v>
                </c:pt>
                <c:pt idx="16">
                  <c:v>0.13269670090106236</c:v>
                </c:pt>
                <c:pt idx="17">
                  <c:v>9.306450307036801E-2</c:v>
                </c:pt>
                <c:pt idx="18">
                  <c:v>7.4817245762244772E-2</c:v>
                </c:pt>
                <c:pt idx="19">
                  <c:v>8.1709814281439128E-2</c:v>
                </c:pt>
                <c:pt idx="20">
                  <c:v>0.1098349467048972</c:v>
                </c:pt>
                <c:pt idx="21">
                  <c:v>9.4047894538948587E-2</c:v>
                </c:pt>
                <c:pt idx="22">
                  <c:v>0.11118730729518359</c:v>
                </c:pt>
                <c:pt idx="23">
                  <c:v>8.1733465109056644E-2</c:v>
                </c:pt>
                <c:pt idx="24">
                  <c:v>5.4712666443967696E-2</c:v>
                </c:pt>
                <c:pt idx="25">
                  <c:v>3.8280116662410074E-2</c:v>
                </c:pt>
                <c:pt idx="26">
                  <c:v>4.8146899121257733E-2</c:v>
                </c:pt>
                <c:pt idx="27">
                  <c:v>6.9808663946635929E-2</c:v>
                </c:pt>
                <c:pt idx="28">
                  <c:v>2.8968352462320372E-2</c:v>
                </c:pt>
                <c:pt idx="29">
                  <c:v>3.0396480060029658E-2</c:v>
                </c:pt>
                <c:pt idx="30">
                  <c:v>3.6880605292335375E-2</c:v>
                </c:pt>
                <c:pt idx="31">
                  <c:v>7.1562774179285707E-2</c:v>
                </c:pt>
                <c:pt idx="32">
                  <c:v>5.4034847987806937E-2</c:v>
                </c:pt>
                <c:pt idx="33">
                  <c:v>2.9123905736681291E-2</c:v>
                </c:pt>
                <c:pt idx="34">
                  <c:v>5.4232283794637112E-2</c:v>
                </c:pt>
                <c:pt idx="35">
                  <c:v>6.8655731660971955E-2</c:v>
                </c:pt>
                <c:pt idx="36">
                  <c:v>3.8038822925710994E-2</c:v>
                </c:pt>
                <c:pt idx="37">
                  <c:v>2.1402378806555832E-2</c:v>
                </c:pt>
                <c:pt idx="38">
                  <c:v>2.4451688592768837E-2</c:v>
                </c:pt>
                <c:pt idx="39">
                  <c:v>2.1873591432871254E-2</c:v>
                </c:pt>
                <c:pt idx="40">
                  <c:v>1.9293551665185388E-2</c:v>
                </c:pt>
                <c:pt idx="41">
                  <c:v>4.0772823859477184E-2</c:v>
                </c:pt>
                <c:pt idx="42">
                  <c:v>3.0039901760827534E-2</c:v>
                </c:pt>
                <c:pt idx="43">
                  <c:v>3.4492773937565911E-2</c:v>
                </c:pt>
                <c:pt idx="44">
                  <c:v>1.9214875353949785E-2</c:v>
                </c:pt>
                <c:pt idx="45">
                  <c:v>4.4943328134318304E-2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D5B-B983-D26D068B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19743"/>
        <c:axId val="779140383"/>
      </c:scatterChart>
      <c:valAx>
        <c:axId val="77911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40383"/>
        <c:crosses val="autoZero"/>
        <c:crossBetween val="midCat"/>
      </c:valAx>
      <c:valAx>
        <c:axId val="7791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1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realizadas (bandejas)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Planilha16!$C$25:$C$70</c:f>
              <c:numCache>
                <c:formatCode>General</c:formatCode>
                <c:ptCount val="46"/>
                <c:pt idx="0">
                  <c:v>7.2179256951197174E-2</c:v>
                </c:pt>
                <c:pt idx="1">
                  <c:v>-1.5706110110985889E-2</c:v>
                </c:pt>
                <c:pt idx="2">
                  <c:v>1.6574199545036319E-2</c:v>
                </c:pt>
                <c:pt idx="3">
                  <c:v>2.8600643397098155E-2</c:v>
                </c:pt>
                <c:pt idx="4">
                  <c:v>4.3439161802379264E-2</c:v>
                </c:pt>
                <c:pt idx="5">
                  <c:v>-3.5277795549930185E-2</c:v>
                </c:pt>
                <c:pt idx="6">
                  <c:v>-1.3375220089171913E-2</c:v>
                </c:pt>
                <c:pt idx="7">
                  <c:v>-4.4528184183621339E-3</c:v>
                </c:pt>
                <c:pt idx="8">
                  <c:v>-8.9300356268357806E-3</c:v>
                </c:pt>
                <c:pt idx="9">
                  <c:v>2.092718706321485E-2</c:v>
                </c:pt>
                <c:pt idx="10">
                  <c:v>6.2246644543845764E-3</c:v>
                </c:pt>
                <c:pt idx="11">
                  <c:v>-3.7420406520102353E-2</c:v>
                </c:pt>
                <c:pt idx="12">
                  <c:v>1.2415051548876621E-4</c:v>
                </c:pt>
                <c:pt idx="13">
                  <c:v>1.518301409319589E-2</c:v>
                </c:pt>
                <c:pt idx="14">
                  <c:v>1.5960785644248451E-2</c:v>
                </c:pt>
                <c:pt idx="15">
                  <c:v>6.0299129417562131E-3</c:v>
                </c:pt>
                <c:pt idx="16">
                  <c:v>6.2023878726449905E-2</c:v>
                </c:pt>
                <c:pt idx="17">
                  <c:v>-4.1314353735250886E-3</c:v>
                </c:pt>
                <c:pt idx="18">
                  <c:v>-3.2858344450907601E-2</c:v>
                </c:pt>
                <c:pt idx="19">
                  <c:v>-2.7740165427307908E-2</c:v>
                </c:pt>
                <c:pt idx="20">
                  <c:v>-1.7450892804371926E-3</c:v>
                </c:pt>
                <c:pt idx="21">
                  <c:v>-1.0440849310948228E-2</c:v>
                </c:pt>
                <c:pt idx="22">
                  <c:v>1.4599434141302381E-2</c:v>
                </c:pt>
                <c:pt idx="23">
                  <c:v>1.4182521678951648E-3</c:v>
                </c:pt>
                <c:pt idx="24">
                  <c:v>-9.4748694302061939E-3</c:v>
                </c:pt>
                <c:pt idx="25">
                  <c:v>-5.2218831854478343E-3</c:v>
                </c:pt>
                <c:pt idx="26">
                  <c:v>-4.1548396892319289E-3</c:v>
                </c:pt>
                <c:pt idx="27">
                  <c:v>-1.2957753184009019E-2</c:v>
                </c:pt>
                <c:pt idx="28">
                  <c:v>2.751365668721438E-3</c:v>
                </c:pt>
                <c:pt idx="29">
                  <c:v>-1.1670456786225851E-2</c:v>
                </c:pt>
                <c:pt idx="30">
                  <c:v>-2.4213664268777871E-2</c:v>
                </c:pt>
                <c:pt idx="31">
                  <c:v>2.3504004329084296E-2</c:v>
                </c:pt>
                <c:pt idx="32">
                  <c:v>1.5751162464406519E-2</c:v>
                </c:pt>
                <c:pt idx="33">
                  <c:v>-2.3398537106919928E-2</c:v>
                </c:pt>
                <c:pt idx="34">
                  <c:v>-2.1968246844993086E-2</c:v>
                </c:pt>
                <c:pt idx="35">
                  <c:v>3.9204153104942699E-2</c:v>
                </c:pt>
                <c:pt idx="36">
                  <c:v>1.0217016466435178E-2</c:v>
                </c:pt>
                <c:pt idx="37">
                  <c:v>-4.2357257090953795E-2</c:v>
                </c:pt>
                <c:pt idx="38">
                  <c:v>-3.0678447094050428E-2</c:v>
                </c:pt>
                <c:pt idx="39">
                  <c:v>-1.203917590519003E-2</c:v>
                </c:pt>
                <c:pt idx="40">
                  <c:v>1.2290884195004865E-2</c:v>
                </c:pt>
                <c:pt idx="41">
                  <c:v>1.704177240326453E-2</c:v>
                </c:pt>
                <c:pt idx="42">
                  <c:v>-3.6297867244611398E-3</c:v>
                </c:pt>
                <c:pt idx="43">
                  <c:v>1.3991854569090564E-3</c:v>
                </c:pt>
                <c:pt idx="44">
                  <c:v>-2.5033331865555696E-2</c:v>
                </c:pt>
                <c:pt idx="45">
                  <c:v>-6.5675661978806602E-3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0-43DC-B6E7-E0941446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08416"/>
        <c:axId val="1752617056"/>
      </c:scatterChart>
      <c:valAx>
        <c:axId val="17526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realizadas (bandejas)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2617056"/>
        <c:crosses val="autoZero"/>
        <c:crossBetween val="midCat"/>
      </c:valAx>
      <c:valAx>
        <c:axId val="175261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608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realizadas (bandejas)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conv</c:v>
          </c:tx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dadoscrus!$C$2:$C$47</c:f>
              <c:numCache>
                <c:formatCode>0%</c:formatCode>
                <c:ptCount val="46"/>
                <c:pt idx="0">
                  <c:v>0.23463013681942907</c:v>
                </c:pt>
                <c:pt idx="1">
                  <c:v>3.8522186862285888E-2</c:v>
                </c:pt>
                <c:pt idx="2">
                  <c:v>9.4474396241194178E-2</c:v>
                </c:pt>
                <c:pt idx="3">
                  <c:v>0.10213722860700671</c:v>
                </c:pt>
                <c:pt idx="4">
                  <c:v>9.2790307738703851E-2</c:v>
                </c:pt>
                <c:pt idx="5">
                  <c:v>5.026244705287583E-2</c:v>
                </c:pt>
                <c:pt idx="6">
                  <c:v>8.3661483017992949E-2</c:v>
                </c:pt>
                <c:pt idx="7">
                  <c:v>0.10535754576217192</c:v>
                </c:pt>
                <c:pt idx="8">
                  <c:v>0.10133634213983586</c:v>
                </c:pt>
                <c:pt idx="9">
                  <c:v>0.10312374334598796</c:v>
                </c:pt>
                <c:pt idx="10">
                  <c:v>8.6385510879121108E-2</c:v>
                </c:pt>
                <c:pt idx="11">
                  <c:v>7.8362202475799836E-2</c:v>
                </c:pt>
                <c:pt idx="12">
                  <c:v>0.10853867252938192</c:v>
                </c:pt>
                <c:pt idx="13">
                  <c:v>0.11639822704796121</c:v>
                </c:pt>
                <c:pt idx="14">
                  <c:v>0.10229080091330563</c:v>
                </c:pt>
                <c:pt idx="15">
                  <c:v>8.9449859808939478E-2</c:v>
                </c:pt>
                <c:pt idx="16">
                  <c:v>0.13269670090106236</c:v>
                </c:pt>
                <c:pt idx="17">
                  <c:v>9.306450307036801E-2</c:v>
                </c:pt>
                <c:pt idx="18">
                  <c:v>7.4817245762244772E-2</c:v>
                </c:pt>
                <c:pt idx="19">
                  <c:v>8.1709814281439128E-2</c:v>
                </c:pt>
                <c:pt idx="20">
                  <c:v>0.1098349467048972</c:v>
                </c:pt>
                <c:pt idx="21">
                  <c:v>9.4047894538948587E-2</c:v>
                </c:pt>
                <c:pt idx="22">
                  <c:v>0.11118730729518359</c:v>
                </c:pt>
                <c:pt idx="23">
                  <c:v>8.1733465109056644E-2</c:v>
                </c:pt>
                <c:pt idx="24">
                  <c:v>5.4712666443967696E-2</c:v>
                </c:pt>
                <c:pt idx="25">
                  <c:v>3.8280116662410074E-2</c:v>
                </c:pt>
                <c:pt idx="26">
                  <c:v>4.8146899121257733E-2</c:v>
                </c:pt>
                <c:pt idx="27">
                  <c:v>6.9808663946635929E-2</c:v>
                </c:pt>
                <c:pt idx="28">
                  <c:v>2.8968352462320372E-2</c:v>
                </c:pt>
                <c:pt idx="29">
                  <c:v>3.0396480060029658E-2</c:v>
                </c:pt>
                <c:pt idx="30">
                  <c:v>3.6880605292335375E-2</c:v>
                </c:pt>
                <c:pt idx="31">
                  <c:v>7.1562774179285707E-2</c:v>
                </c:pt>
                <c:pt idx="32">
                  <c:v>5.4034847987806937E-2</c:v>
                </c:pt>
                <c:pt idx="33">
                  <c:v>2.9123905736681291E-2</c:v>
                </c:pt>
                <c:pt idx="34">
                  <c:v>5.4232283794637112E-2</c:v>
                </c:pt>
                <c:pt idx="35">
                  <c:v>6.8655731660971955E-2</c:v>
                </c:pt>
                <c:pt idx="36">
                  <c:v>3.8038822925710994E-2</c:v>
                </c:pt>
                <c:pt idx="37">
                  <c:v>2.1402378806555832E-2</c:v>
                </c:pt>
                <c:pt idx="38">
                  <c:v>2.4451688592768837E-2</c:v>
                </c:pt>
                <c:pt idx="39">
                  <c:v>2.1873591432871254E-2</c:v>
                </c:pt>
                <c:pt idx="40">
                  <c:v>1.9293551665185388E-2</c:v>
                </c:pt>
                <c:pt idx="41">
                  <c:v>4.0772823859477184E-2</c:v>
                </c:pt>
                <c:pt idx="42">
                  <c:v>3.0039901760827534E-2</c:v>
                </c:pt>
                <c:pt idx="43">
                  <c:v>3.4492773937565911E-2</c:v>
                </c:pt>
                <c:pt idx="44">
                  <c:v>1.9214875353949785E-2</c:v>
                </c:pt>
                <c:pt idx="45">
                  <c:v>4.4943328134318304E-2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1-4806-BFCB-5126FE8965F7}"/>
            </c:ext>
          </c:extLst>
        </c:ser>
        <c:ser>
          <c:idx val="1"/>
          <c:order val="1"/>
          <c:tx>
            <c:v>Previsto(a) % conv</c:v>
          </c:tx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Planilha16!$B$25:$B$70</c:f>
              <c:numCache>
                <c:formatCode>General</c:formatCode>
                <c:ptCount val="46"/>
                <c:pt idx="0">
                  <c:v>0.1624508798682319</c:v>
                </c:pt>
                <c:pt idx="1">
                  <c:v>5.4228296973271778E-2</c:v>
                </c:pt>
                <c:pt idx="2">
                  <c:v>7.7900196696157858E-2</c:v>
                </c:pt>
                <c:pt idx="3">
                  <c:v>7.353658520990855E-2</c:v>
                </c:pt>
                <c:pt idx="4">
                  <c:v>4.9351145936324586E-2</c:v>
                </c:pt>
                <c:pt idx="5">
                  <c:v>8.5540242602806016E-2</c:v>
                </c:pt>
                <c:pt idx="6">
                  <c:v>9.7036703107164862E-2</c:v>
                </c:pt>
                <c:pt idx="7">
                  <c:v>0.10981036418053405</c:v>
                </c:pt>
                <c:pt idx="8">
                  <c:v>0.11026637776667164</c:v>
                </c:pt>
                <c:pt idx="9">
                  <c:v>8.2196556282773114E-2</c:v>
                </c:pt>
                <c:pt idx="10">
                  <c:v>8.0160846424736532E-2</c:v>
                </c:pt>
                <c:pt idx="11">
                  <c:v>0.11578260899590219</c:v>
                </c:pt>
                <c:pt idx="12">
                  <c:v>0.10841452201389315</c:v>
                </c:pt>
                <c:pt idx="13">
                  <c:v>0.10121521295476532</c:v>
                </c:pt>
                <c:pt idx="14">
                  <c:v>8.6330015269057175E-2</c:v>
                </c:pt>
                <c:pt idx="15">
                  <c:v>8.3419946867183264E-2</c:v>
                </c:pt>
                <c:pt idx="16">
                  <c:v>7.067282217461246E-2</c:v>
                </c:pt>
                <c:pt idx="17">
                  <c:v>9.7195938443893098E-2</c:v>
                </c:pt>
                <c:pt idx="18">
                  <c:v>0.10767559021315237</c:v>
                </c:pt>
                <c:pt idx="19">
                  <c:v>0.10944997970874704</c:v>
                </c:pt>
                <c:pt idx="20">
                  <c:v>0.11158003598533439</c:v>
                </c:pt>
                <c:pt idx="21">
                  <c:v>0.10448874384989681</c:v>
                </c:pt>
                <c:pt idx="22">
                  <c:v>9.6587873153881204E-2</c:v>
                </c:pt>
                <c:pt idx="23">
                  <c:v>8.0315212941161479E-2</c:v>
                </c:pt>
                <c:pt idx="24">
                  <c:v>6.418753587417389E-2</c:v>
                </c:pt>
                <c:pt idx="25">
                  <c:v>4.3501999847857908E-2</c:v>
                </c:pt>
                <c:pt idx="26">
                  <c:v>5.2301738810489662E-2</c:v>
                </c:pt>
                <c:pt idx="27">
                  <c:v>8.2766417130644948E-2</c:v>
                </c:pt>
                <c:pt idx="28">
                  <c:v>2.6216986793598934E-2</c:v>
                </c:pt>
                <c:pt idx="29">
                  <c:v>4.2066936846255509E-2</c:v>
                </c:pt>
                <c:pt idx="30">
                  <c:v>6.1094269561113246E-2</c:v>
                </c:pt>
                <c:pt idx="31">
                  <c:v>4.805876985020141E-2</c:v>
                </c:pt>
                <c:pt idx="32">
                  <c:v>3.8283685523400418E-2</c:v>
                </c:pt>
                <c:pt idx="33">
                  <c:v>5.2522442843601219E-2</c:v>
                </c:pt>
                <c:pt idx="34">
                  <c:v>7.6200530639630198E-2</c:v>
                </c:pt>
                <c:pt idx="35">
                  <c:v>2.9451578556029256E-2</c:v>
                </c:pt>
                <c:pt idx="36">
                  <c:v>2.7821806459275816E-2</c:v>
                </c:pt>
                <c:pt idx="37">
                  <c:v>6.3759635897509631E-2</c:v>
                </c:pt>
                <c:pt idx="38">
                  <c:v>5.5130135686819265E-2</c:v>
                </c:pt>
                <c:pt idx="39">
                  <c:v>3.3912767338061284E-2</c:v>
                </c:pt>
                <c:pt idx="40">
                  <c:v>7.0026674701805236E-3</c:v>
                </c:pt>
                <c:pt idx="41">
                  <c:v>2.3731051456212654E-2</c:v>
                </c:pt>
                <c:pt idx="42">
                  <c:v>3.3669688485288674E-2</c:v>
                </c:pt>
                <c:pt idx="43">
                  <c:v>3.3093588480656855E-2</c:v>
                </c:pt>
                <c:pt idx="44">
                  <c:v>4.4248207219505481E-2</c:v>
                </c:pt>
                <c:pt idx="45">
                  <c:v>5.1510894332198964E-2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1-4806-BFCB-5126FE89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37696"/>
        <c:axId val="1752627136"/>
      </c:scatterChart>
      <c:valAx>
        <c:axId val="17526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realizadas (bandejas)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2627136"/>
        <c:crosses val="autoZero"/>
        <c:crossBetween val="midCat"/>
      </c:valAx>
      <c:valAx>
        <c:axId val="175262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conv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52637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Planilha16!$F$25:$F$70</c:f>
              <c:numCache>
                <c:formatCode>General</c:formatCode>
                <c:ptCount val="46"/>
                <c:pt idx="0">
                  <c:v>1.0869565217391304</c:v>
                </c:pt>
                <c:pt idx="1">
                  <c:v>3.2608695652173911</c:v>
                </c:pt>
                <c:pt idx="2">
                  <c:v>5.4347826086956523</c:v>
                </c:pt>
                <c:pt idx="3">
                  <c:v>7.6086956521739122</c:v>
                </c:pt>
                <c:pt idx="4">
                  <c:v>9.7826086956521738</c:v>
                </c:pt>
                <c:pt idx="5">
                  <c:v>11.956521739130435</c:v>
                </c:pt>
                <c:pt idx="6">
                  <c:v>14.130434782608695</c:v>
                </c:pt>
                <c:pt idx="7">
                  <c:v>16.304347826086953</c:v>
                </c:pt>
                <c:pt idx="8">
                  <c:v>18.478260869565215</c:v>
                </c:pt>
                <c:pt idx="9">
                  <c:v>20.652173913043477</c:v>
                </c:pt>
                <c:pt idx="10">
                  <c:v>22.826086956521738</c:v>
                </c:pt>
                <c:pt idx="11">
                  <c:v>24.999999999999996</c:v>
                </c:pt>
                <c:pt idx="12">
                  <c:v>27.173913043478258</c:v>
                </c:pt>
                <c:pt idx="13">
                  <c:v>29.34782608695652</c:v>
                </c:pt>
                <c:pt idx="14">
                  <c:v>31.521739130434778</c:v>
                </c:pt>
                <c:pt idx="15">
                  <c:v>33.695652173913047</c:v>
                </c:pt>
                <c:pt idx="16">
                  <c:v>35.869565217391305</c:v>
                </c:pt>
                <c:pt idx="17">
                  <c:v>38.043478260869563</c:v>
                </c:pt>
                <c:pt idx="18">
                  <c:v>40.217391304347828</c:v>
                </c:pt>
                <c:pt idx="19">
                  <c:v>42.391304347826086</c:v>
                </c:pt>
                <c:pt idx="20">
                  <c:v>44.565217391304351</c:v>
                </c:pt>
                <c:pt idx="21">
                  <c:v>46.739130434782609</c:v>
                </c:pt>
                <c:pt idx="22">
                  <c:v>48.913043478260867</c:v>
                </c:pt>
                <c:pt idx="23">
                  <c:v>51.086956521739133</c:v>
                </c:pt>
                <c:pt idx="24">
                  <c:v>53.260869565217391</c:v>
                </c:pt>
                <c:pt idx="25">
                  <c:v>55.434782608695649</c:v>
                </c:pt>
                <c:pt idx="26">
                  <c:v>57.608695652173914</c:v>
                </c:pt>
                <c:pt idx="27">
                  <c:v>59.782608695652172</c:v>
                </c:pt>
                <c:pt idx="28">
                  <c:v>61.95652173913043</c:v>
                </c:pt>
                <c:pt idx="29">
                  <c:v>64.130434782608688</c:v>
                </c:pt>
                <c:pt idx="30">
                  <c:v>66.304347826086953</c:v>
                </c:pt>
                <c:pt idx="31">
                  <c:v>68.478260869565204</c:v>
                </c:pt>
                <c:pt idx="32">
                  <c:v>70.65217391304347</c:v>
                </c:pt>
                <c:pt idx="33">
                  <c:v>72.826086956521735</c:v>
                </c:pt>
                <c:pt idx="34">
                  <c:v>74.999999999999986</c:v>
                </c:pt>
                <c:pt idx="35">
                  <c:v>77.173913043478251</c:v>
                </c:pt>
                <c:pt idx="36">
                  <c:v>79.347826086956516</c:v>
                </c:pt>
                <c:pt idx="37">
                  <c:v>81.521739130434767</c:v>
                </c:pt>
                <c:pt idx="38">
                  <c:v>83.695652173913032</c:v>
                </c:pt>
                <c:pt idx="39">
                  <c:v>85.869565217391298</c:v>
                </c:pt>
                <c:pt idx="40">
                  <c:v>88.043478260869563</c:v>
                </c:pt>
                <c:pt idx="41">
                  <c:v>90.217391304347814</c:v>
                </c:pt>
                <c:pt idx="42">
                  <c:v>92.391304347826079</c:v>
                </c:pt>
                <c:pt idx="43">
                  <c:v>94.565217391304344</c:v>
                </c:pt>
                <c:pt idx="44">
                  <c:v>96.739130434782595</c:v>
                </c:pt>
                <c:pt idx="45">
                  <c:v>98.91304347826086</c:v>
                </c:pt>
              </c:numCache>
            </c:numRef>
          </c:xVal>
          <c:yVal>
            <c:numRef>
              <c:f>Planilha16!$G$25:$G$70</c:f>
              <c:numCache>
                <c:formatCode>General</c:formatCode>
                <c:ptCount val="46"/>
                <c:pt idx="0">
                  <c:v>1.9214875353949785E-2</c:v>
                </c:pt>
                <c:pt idx="1">
                  <c:v>1.9293551665185388E-2</c:v>
                </c:pt>
                <c:pt idx="2">
                  <c:v>2.1402378806555832E-2</c:v>
                </c:pt>
                <c:pt idx="3">
                  <c:v>2.1873591432871254E-2</c:v>
                </c:pt>
                <c:pt idx="4">
                  <c:v>2.4451688592768837E-2</c:v>
                </c:pt>
                <c:pt idx="5">
                  <c:v>2.8968352462320372E-2</c:v>
                </c:pt>
                <c:pt idx="6">
                  <c:v>2.9123905736681291E-2</c:v>
                </c:pt>
                <c:pt idx="7">
                  <c:v>3.0039901760827534E-2</c:v>
                </c:pt>
                <c:pt idx="8">
                  <c:v>3.0396480060029658E-2</c:v>
                </c:pt>
                <c:pt idx="9">
                  <c:v>3.4492773937565911E-2</c:v>
                </c:pt>
                <c:pt idx="10">
                  <c:v>3.6880605292335375E-2</c:v>
                </c:pt>
                <c:pt idx="11">
                  <c:v>3.8038822925710994E-2</c:v>
                </c:pt>
                <c:pt idx="12">
                  <c:v>3.8280116662410074E-2</c:v>
                </c:pt>
                <c:pt idx="13">
                  <c:v>3.8522186862285888E-2</c:v>
                </c:pt>
                <c:pt idx="14">
                  <c:v>4.0772823859477184E-2</c:v>
                </c:pt>
                <c:pt idx="15">
                  <c:v>4.4943328134318304E-2</c:v>
                </c:pt>
                <c:pt idx="16">
                  <c:v>4.8146899121257733E-2</c:v>
                </c:pt>
                <c:pt idx="17">
                  <c:v>5.026244705287583E-2</c:v>
                </c:pt>
                <c:pt idx="18">
                  <c:v>5.4034847987806937E-2</c:v>
                </c:pt>
                <c:pt idx="19">
                  <c:v>5.4232283794637112E-2</c:v>
                </c:pt>
                <c:pt idx="20">
                  <c:v>5.4712666443967696E-2</c:v>
                </c:pt>
                <c:pt idx="21">
                  <c:v>6.8655731660971955E-2</c:v>
                </c:pt>
                <c:pt idx="22">
                  <c:v>6.9808663946635929E-2</c:v>
                </c:pt>
                <c:pt idx="23">
                  <c:v>7.1562774179285707E-2</c:v>
                </c:pt>
                <c:pt idx="24">
                  <c:v>7.4817245762244772E-2</c:v>
                </c:pt>
                <c:pt idx="25">
                  <c:v>7.8362202475799836E-2</c:v>
                </c:pt>
                <c:pt idx="26">
                  <c:v>8.1709814281439128E-2</c:v>
                </c:pt>
                <c:pt idx="27">
                  <c:v>8.1733465109056644E-2</c:v>
                </c:pt>
                <c:pt idx="28">
                  <c:v>8.3661483017992949E-2</c:v>
                </c:pt>
                <c:pt idx="29">
                  <c:v>8.6385510879121108E-2</c:v>
                </c:pt>
                <c:pt idx="30">
                  <c:v>8.9449859808939478E-2</c:v>
                </c:pt>
                <c:pt idx="31">
                  <c:v>9.2790307738703851E-2</c:v>
                </c:pt>
                <c:pt idx="32">
                  <c:v>9.306450307036801E-2</c:v>
                </c:pt>
                <c:pt idx="33">
                  <c:v>9.4047894538948587E-2</c:v>
                </c:pt>
                <c:pt idx="34">
                  <c:v>9.4474396241194178E-2</c:v>
                </c:pt>
                <c:pt idx="35">
                  <c:v>0.10133634213983586</c:v>
                </c:pt>
                <c:pt idx="36">
                  <c:v>0.10213722860700671</c:v>
                </c:pt>
                <c:pt idx="37">
                  <c:v>0.10229080091330563</c:v>
                </c:pt>
                <c:pt idx="38">
                  <c:v>0.10312374334598796</c:v>
                </c:pt>
                <c:pt idx="39">
                  <c:v>0.10535754576217192</c:v>
                </c:pt>
                <c:pt idx="40">
                  <c:v>0.10853867252938192</c:v>
                </c:pt>
                <c:pt idx="41">
                  <c:v>0.1098349467048972</c:v>
                </c:pt>
                <c:pt idx="42">
                  <c:v>0.11118730729518359</c:v>
                </c:pt>
                <c:pt idx="43">
                  <c:v>0.11639822704796121</c:v>
                </c:pt>
                <c:pt idx="44">
                  <c:v>0.13269670090106236</c:v>
                </c:pt>
                <c:pt idx="45">
                  <c:v>0.23463013681942907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5-4303-BDF2-4CA1FC4B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14079"/>
        <c:axId val="487296319"/>
      </c:scatterChart>
      <c:valAx>
        <c:axId val="48731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96319"/>
        <c:crosses val="autoZero"/>
        <c:crossBetween val="midCat"/>
      </c:valAx>
      <c:valAx>
        <c:axId val="48729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conv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314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C0B042-E89F-4676-BB0F-ED747B9A6FDD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153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993E9-68B4-A55D-283C-12BD028C63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9525</xdr:rowOff>
    </xdr:from>
    <xdr:to>
      <xdr:col>15</xdr:col>
      <xdr:colOff>161925</xdr:colOff>
      <xdr:row>11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7C454B-C959-4141-B539-1B81C1DD6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11</xdr:row>
      <xdr:rowOff>76200</xdr:rowOff>
    </xdr:from>
    <xdr:to>
      <xdr:col>15</xdr:col>
      <xdr:colOff>152400</xdr:colOff>
      <xdr:row>21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E14D6C-700A-DA33-0281-C651C306B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21</xdr:row>
      <xdr:rowOff>133350</xdr:rowOff>
    </xdr:from>
    <xdr:to>
      <xdr:col>15</xdr:col>
      <xdr:colOff>180975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C24624-7A69-43D1-2CA2-7174E61B8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0841a2e24dade8/Profissional/The%20Coffee/Opera&#231;&#227;o/2.Gest&#227;o%20da%20Qualidade/Bandejas/Bandejas%20semanais/BANDEJA%20DO%20PERIODO.xlsx" TargetMode="External"/><Relationship Id="rId1" Type="http://schemas.openxmlformats.org/officeDocument/2006/relationships/externalLinkPath" Target="Bandejas%20semanais/BANDEJA%20DO%20PERIO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íodo"/>
      <sheetName val="recomendada"/>
      <sheetName val="baristas"/>
      <sheetName val="pivot"/>
      <sheetName val="OP"/>
      <sheetName val="Planilha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A916A-EDCB-4FF0-A421-CC5E5D212239}" name="Tabela1" displayName="Tabela1" ref="A1:Y72" totalsRowShown="0" dataDxfId="43" dataCellStyle="Porcentagem">
  <autoFilter ref="A1:Y72" xr:uid="{630A916A-EDCB-4FF0-A421-CC5E5D212239}"/>
  <tableColumns count="25">
    <tableColumn id="1" xr3:uid="{3F285AB6-3207-4521-9833-C1F884DD7E56}" name="Ano"/>
    <tableColumn id="2" xr3:uid="{4AF046E5-793E-4801-8A36-97DB43D8876E}" name="Semana"/>
    <tableColumn id="3" xr3:uid="{D75767E6-B058-483D-B6B5-A74A4979CA48}" name="Ideal, valor" dataDxfId="42" totalsRowDxfId="41"/>
    <tableColumn id="4" xr3:uid="{E89FD64E-DD05-499C-9B13-308BB71A6C09}" name="Meta ideal" dataDxfId="1">
      <calculatedColumnFormula>ROUNDUP(1500/C2*7,0)</calculatedColumnFormula>
    </tableColumn>
    <tableColumn id="5" xr3:uid="{12F97016-80FB-402C-A0EE-79232F4A23F3}" name="Meta ajustada" dataDxfId="0">
      <calculatedColumnFormula>ROUNDUP(1500*7/F2,0)</calculatedColumnFormula>
    </tableColumn>
    <tableColumn id="6" xr3:uid="{30EFC432-A98B-40C4-AE20-C3441E71C589}" name="Semanal, valor" dataDxfId="40" totalsRowDxfId="39" dataCellStyle="Moeda" totalsRowCellStyle="Moeda">
      <calculatedColumnFormula>[1]!Tabela1[[#This Row],[Ticket período]]</calculatedColumnFormula>
    </tableColumn>
    <tableColumn id="7" xr3:uid="{FAF39A7E-B38D-4AAF-86EF-DF9F90BB9DFD}" name="Recomendada, valor" dataDxfId="38" totalsRowDxfId="37" dataCellStyle="Moeda" totalsRowCellStyle="Moeda">
      <calculatedColumnFormula>[1]!Tabela2[[#This Row],[Ticket Recomendado]]</calculatedColumnFormula>
    </tableColumn>
    <tableColumn id="8" xr3:uid="{32B83BBF-2DD1-4C6A-9E9B-7B0B3CE39131}" name="vendas realizadas (bandejas)" dataDxfId="36" totalsRowDxfId="35">
      <calculatedColumnFormula>[1]!Tabela1[[#This Row],[$ Total]]/[1]!Tabela1[[#This Row],[Ticket período]]</calculatedColumnFormula>
    </tableColumn>
    <tableColumn id="9" xr3:uid="{F088F117-AFF3-4ACC-ABB1-EE8174EA4871}" name="total de conversões">
      <calculatedColumnFormula>[1]!Tabela2[[#This Row],[Recomendações]]</calculatedColumnFormula>
    </tableColumn>
    <tableColumn id="10" xr3:uid="{D8AF781B-4A0C-4C6A-B4F9-4B53DD9522B8}" name="Equiv. product line" dataDxfId="34" totalsRowDxfId="33" dataCellStyle="Moeda" totalsRowCellStyle="Moeda">
      <calculatedColumnFormula>[1]!Tabela1[[#This Row],[S$ Total]]/[1]!Tabela1[[#This Row],[Ticket período]]</calculatedColumnFormula>
    </tableColumn>
    <tableColumn id="11" xr3:uid="{E66BFEC8-392B-483B-B7A7-7D8593D4F081}" name="Conversões + Equiv. Prod. Line" dataDxfId="32" totalsRowDxfId="31">
      <calculatedColumnFormula>J2+I2</calculatedColumnFormula>
    </tableColumn>
    <tableColumn id="12" xr3:uid="{C3725EF8-EF29-4DB4-810C-0FAF4D9834F8}" name="meta de conversões" dataDxfId="30">
      <calculatedColumnFormula>1.5*(0.65*EXP(-0.003*H2))*H2</calculatedColumnFormula>
    </tableColumn>
    <tableColumn id="25" xr3:uid="{19A21289-F5FA-408D-93C7-DCF1F28A38C9}" name="Dif. Meta/conversões" dataDxfId="29" totalsRowDxfId="28" dataCellStyle="Porcentagem">
      <calculatedColumnFormula>Tabela1[[#This Row],[Conversões + Equiv. Prod. Line]]-Tabela1[[#This Row],[meta de conversões]]</calculatedColumnFormula>
    </tableColumn>
    <tableColumn id="13" xr3:uid="{8CCA114B-EED9-48FA-BAAA-066EACBE454B}" name="eficiência de conversão" dataDxfId="27" totalsRowDxfId="26" dataCellStyle="Porcentagem" totalsRowCellStyle="Porcentagem">
      <calculatedColumnFormula>G2/F2</calculatedColumnFormula>
    </tableColumn>
    <tableColumn id="15" xr3:uid="{0F96DAD9-4F96-419A-A6DB-8EA3B6DA159A}" name="% meta de vendas" dataDxfId="25" totalsRowDxfId="24" dataCellStyle="Porcentagem" totalsRowCellStyle="Porcentagem">
      <calculatedColumnFormula>H2/E2</calculatedColumnFormula>
    </tableColumn>
    <tableColumn id="16" xr3:uid="{D990F55D-3226-4581-8531-9A656531D215}" name="% valor ideal" dataDxfId="23" totalsRowDxfId="22" dataCellStyle="Porcentagem" totalsRowCellStyle="Porcentagem">
      <calculatedColumnFormula>F2/C2</calculatedColumnFormula>
    </tableColumn>
    <tableColumn id="14" xr3:uid="{15A25A1B-53D5-44BC-899C-10344331F197}" name="var. % movimento" dataDxfId="21" totalsRowDxfId="20" dataCellStyle="Porcentagem" totalsRowCellStyle="Porcentagem">
      <calculatedColumnFormula>(H2-H1)/H1</calculatedColumnFormula>
    </tableColumn>
    <tableColumn id="17" xr3:uid="{89DFE577-631A-4B01-BD18-F48A3B87074B}" name="A$%  (total -S)" dataDxfId="19" totalsRowDxfId="18" dataCellStyle="Porcentagem" totalsRowCellStyle="Porcentagem">
      <calculatedColumnFormula>[1]!Tabela1[[#This Row],[A$%  (total -S)]]</calculatedColumnFormula>
    </tableColumn>
    <tableColumn id="18" xr3:uid="{211729AB-8134-45BE-BA09-89078E0EE82F}" name="B$%  (total -S)" dataDxfId="17" totalsRowDxfId="16" dataCellStyle="Porcentagem" totalsRowCellStyle="Porcentagem">
      <calculatedColumnFormula>[1]!Tabela1[[#This Row],[B$%  (total -S)]]</calculatedColumnFormula>
    </tableColumn>
    <tableColumn id="19" xr3:uid="{91660FF1-DD88-4BCB-B1BC-3B1BADDF02D6}" name="D$% (total-S)" dataDxfId="15" totalsRowDxfId="14" dataCellStyle="Porcentagem" totalsRowCellStyle="Porcentagem">
      <calculatedColumnFormula>[1]!Tabela1[[#This Row],[D$% (total-S)]]</calculatedColumnFormula>
    </tableColumn>
    <tableColumn id="20" xr3:uid="{393E7819-9DA2-46C7-B011-849DFA12B1EF}" name="F$%  (total -S)" dataDxfId="13" totalsRowDxfId="12" dataCellStyle="Porcentagem" totalsRowCellStyle="Porcentagem">
      <calculatedColumnFormula>[1]!Tabela1[[#This Row],[F$%  (total -S)]]</calculatedColumnFormula>
    </tableColumn>
    <tableColumn id="21" xr3:uid="{9B2D05C9-FAD6-4B52-8E86-8FF086FC3A50}" name="K$%  (total -S)" dataDxfId="11" totalsRowDxfId="10" dataCellStyle="Porcentagem" totalsRowCellStyle="Porcentagem">
      <calculatedColumnFormula>[1]!Tabela1[[#This Row],[K$%  (total -S)]]</calculatedColumnFormula>
    </tableColumn>
    <tableColumn id="22" xr3:uid="{2634621D-715D-48AB-B4D1-E8ECD47D0CFA}" name="P$%  (total-S)" dataDxfId="9" totalsRowDxfId="8" dataCellStyle="Porcentagem" totalsRowCellStyle="Porcentagem">
      <calculatedColumnFormula>[1]!Tabela1[[#This Row],[P$%  (total-S)]]</calculatedColumnFormula>
    </tableColumn>
    <tableColumn id="23" xr3:uid="{3BE70BDE-4E30-45FA-BC07-64C7101747DE}" name="S$%  (total -S)" dataDxfId="7" totalsRowDxfId="6" dataCellStyle="Porcentagem" totalsRowCellStyle="Porcentagem">
      <calculatedColumnFormula>[1]!Tabela1[[#This Row],[S$%  (total -S)]]</calculatedColumnFormula>
    </tableColumn>
    <tableColumn id="24" xr3:uid="{C03A06C7-A4C2-43C9-A37F-7B2A6760B48B}" name="$%  (Total-S)" dataDxfId="5" totalsRowDxfId="4" dataCellStyle="Porcentagem" totalsRowCellStyle="Porcentagem">
      <calculatedColumnFormula>[1]!Tabela1[[#This Row],[$%  (Total-S)]]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8C36-905A-4A75-A2E6-76E08C9D0F38}">
  <dimension ref="A1:Y72"/>
  <sheetViews>
    <sheetView tabSelected="1" topLeftCell="B46" zoomScaleNormal="100" workbookViewId="0">
      <selection activeCell="O69" sqref="O69"/>
    </sheetView>
  </sheetViews>
  <sheetFormatPr defaultRowHeight="15" x14ac:dyDescent="0.25"/>
  <cols>
    <col min="1" max="1" width="6.7109375" customWidth="1"/>
    <col min="2" max="2" width="10.140625" customWidth="1"/>
    <col min="3" max="3" width="13" style="3" customWidth="1"/>
    <col min="4" max="4" width="12.5703125" style="3" customWidth="1"/>
    <col min="5" max="5" width="15.5703125" customWidth="1"/>
    <col min="6" max="6" width="16.140625" style="3" customWidth="1"/>
    <col min="7" max="7" width="21.140625" style="3" customWidth="1"/>
    <col min="8" max="8" width="29.28515625" customWidth="1"/>
    <col min="9" max="9" width="20.42578125" customWidth="1"/>
    <col min="10" max="10" width="19.7109375" style="3" customWidth="1"/>
    <col min="11" max="11" width="30" customWidth="1"/>
    <col min="12" max="13" width="20.85546875" customWidth="1"/>
    <col min="14" max="14" width="23.85546875" customWidth="1"/>
    <col min="16" max="16" width="19.140625" customWidth="1"/>
    <col min="17" max="17" width="17.28515625" customWidth="1"/>
    <col min="18" max="18" width="19.140625" customWidth="1"/>
    <col min="19" max="19" width="15.5703125" customWidth="1"/>
    <col min="20" max="20" width="15.42578125" customWidth="1"/>
    <col min="21" max="21" width="14.7109375" customWidth="1"/>
    <col min="22" max="22" width="15.28515625" customWidth="1"/>
    <col min="23" max="23" width="15.42578125" customWidth="1"/>
    <col min="24" max="24" width="15" customWidth="1"/>
    <col min="25" max="25" width="15.28515625" customWidth="1"/>
    <col min="26" max="26" width="14.140625" customWidth="1"/>
  </cols>
  <sheetData>
    <row r="1" spans="1:25" x14ac:dyDescent="0.25">
      <c r="A1" t="s">
        <v>8</v>
      </c>
      <c r="B1" t="s">
        <v>7</v>
      </c>
      <c r="C1" t="s">
        <v>0</v>
      </c>
      <c r="D1" t="s">
        <v>22</v>
      </c>
      <c r="E1" t="s">
        <v>23</v>
      </c>
      <c r="F1" t="s">
        <v>1</v>
      </c>
      <c r="G1" t="s">
        <v>2</v>
      </c>
      <c r="H1" t="s">
        <v>19</v>
      </c>
      <c r="I1" t="s">
        <v>3</v>
      </c>
      <c r="J1" t="s">
        <v>5</v>
      </c>
      <c r="K1" t="s">
        <v>6</v>
      </c>
      <c r="L1" t="s">
        <v>4</v>
      </c>
      <c r="M1" t="s">
        <v>69</v>
      </c>
      <c r="N1" t="s">
        <v>9</v>
      </c>
      <c r="O1" t="s">
        <v>21</v>
      </c>
      <c r="P1" t="s">
        <v>20</v>
      </c>
      <c r="Q1" t="s">
        <v>18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>
        <v>2022</v>
      </c>
      <c r="B2">
        <v>27</v>
      </c>
      <c r="C2" s="1">
        <v>33.92</v>
      </c>
      <c r="D2" s="5">
        <f t="shared" ref="D2:D9" si="0">ROUNDUP(1500/C2*7,0)</f>
        <v>310</v>
      </c>
      <c r="E2" s="4">
        <f>ROUNDUP(1500*7/F2,0)</f>
        <v>1185</v>
      </c>
      <c r="F2" s="1">
        <f>[1]!Tabela1[[#This Row],[Ticket período]]</f>
        <v>8.8622325581395351</v>
      </c>
      <c r="G2" s="1">
        <f>[1]!Tabela2[[#This Row],[Ticket Recomendado]]</f>
        <v>7.1062365591397834</v>
      </c>
      <c r="H2" s="4">
        <f>[1]!Tabela1[[#This Row],[$ Total]]/[1]!Tabela1[[#This Row],[Ticket período]]</f>
        <v>396.36851966536864</v>
      </c>
      <c r="I2">
        <f>[1]!Tabela2[[#This Row],[Recomendações]]</f>
        <v>93</v>
      </c>
      <c r="J2" s="5">
        <f>[1]!Tabela1[[#This Row],[S$ Total]]/[1]!Tabela1[[#This Row],[Ticket período]]</f>
        <v>20.310909109993805</v>
      </c>
      <c r="K2" s="10">
        <f t="shared" ref="K2:K7" si="1">J2+I2</f>
        <v>113.3109091099938</v>
      </c>
      <c r="L2" s="10">
        <f>1.5*(0.65*EXP(-0.003*H2))*H2</f>
        <v>117.67434448828158</v>
      </c>
      <c r="M2" s="10">
        <f>Tabela1[[#This Row],[Conversões + Equiv. Prod. Line]]-Tabela1[[#This Row],[meta de conversões]]</f>
        <v>-4.3634353782877753</v>
      </c>
      <c r="N2" s="8">
        <f t="shared" ref="N2:N8" si="2">G2/F2</f>
        <v>0.80185624926001819</v>
      </c>
      <c r="O2" s="11">
        <f t="shared" ref="O2:O7" si="3">H2/E2</f>
        <v>0.33448820224925624</v>
      </c>
      <c r="P2" s="8">
        <f t="shared" ref="P2:P14" si="4">F2/C2</f>
        <v>0.26126864853005705</v>
      </c>
      <c r="Q2" s="7">
        <v>0</v>
      </c>
      <c r="R2" s="2">
        <f>[1]!Tabela1[[#This Row],[A$%  (total -S)]]</f>
        <v>2.18440848438658E-2</v>
      </c>
      <c r="S2" s="2">
        <f>[1]!Tabela1[[#This Row],[B$%  (total -S)]]</f>
        <v>0.74622986390346879</v>
      </c>
      <c r="T2" s="2">
        <f>[1]!Tabela1[[#This Row],[D$% (total-S)]]</f>
        <v>0</v>
      </c>
      <c r="U2" s="2">
        <f>[1]!Tabela1[[#This Row],[F$%  (total -S)]]</f>
        <v>0.14286474273391825</v>
      </c>
      <c r="V2" s="2">
        <f>[1]!Tabela1[[#This Row],[K$%  (total -S)]]</f>
        <v>5.9561137932793426E-2</v>
      </c>
      <c r="W2" s="2">
        <f>[1]!Tabela1[[#This Row],[P$%  (total-S)]]</f>
        <v>2.9500170585953622E-2</v>
      </c>
      <c r="X2" s="2">
        <f>[1]!Tabela1[[#This Row],[S$%  (total -S)]]</f>
        <v>5.4010099888679178E-2</v>
      </c>
      <c r="Y2" s="2">
        <f>[1]!Tabela1[[#This Row],[$%  (Total-S)]]</f>
        <v>1.054010099888679</v>
      </c>
    </row>
    <row r="3" spans="1:25" x14ac:dyDescent="0.25">
      <c r="A3">
        <v>2022</v>
      </c>
      <c r="B3">
        <v>28</v>
      </c>
      <c r="C3" s="3">
        <v>33.92</v>
      </c>
      <c r="D3" s="5">
        <f t="shared" si="0"/>
        <v>310</v>
      </c>
      <c r="E3" s="4">
        <f t="shared" ref="E3:E7" si="5">ROUNDUP(1500*7/F3,0)</f>
        <v>1184</v>
      </c>
      <c r="F3" s="1">
        <f>[1]!Tabela1[[#This Row],[Ticket período]]</f>
        <v>8.8726769242401335</v>
      </c>
      <c r="G3" s="1">
        <f>[1]!Tabela2[[#This Row],[Ticket Recomendado]]</f>
        <v>7.4123684210526308</v>
      </c>
      <c r="H3" s="4">
        <f>[1]!Tabela1[[#This Row],[$ Total]]/[1]!Tabela1[[#This Row],[Ticket período]]</f>
        <v>986.44451665860322</v>
      </c>
      <c r="I3">
        <f>[1]!Tabela2[[#This Row],[Recomendações]]</f>
        <v>38</v>
      </c>
      <c r="J3" s="5">
        <f>[1]!Tabela1[[#This Row],[S$ Total]]/[1]!Tabela1[[#This Row],[Ticket período]]</f>
        <v>44.18057857252267</v>
      </c>
      <c r="K3" s="10">
        <f t="shared" si="1"/>
        <v>82.180578572522677</v>
      </c>
      <c r="L3" s="10">
        <f t="shared" ref="L3:L47" si="6">1.5*(0.65*EXP(-0.003*H3))*H3</f>
        <v>49.871800526322744</v>
      </c>
      <c r="M3" s="10">
        <f>Tabela1[[#This Row],[Conversões + Equiv. Prod. Line]]-Tabela1[[#This Row],[meta de conversões]]</f>
        <v>32.308778046199933</v>
      </c>
      <c r="N3" s="8">
        <f t="shared" si="2"/>
        <v>0.83541511590510598</v>
      </c>
      <c r="O3" s="11">
        <f t="shared" si="3"/>
        <v>0.83314570663733378</v>
      </c>
      <c r="P3" s="8">
        <f t="shared" si="4"/>
        <v>0.26157656026651338</v>
      </c>
      <c r="Q3" s="9">
        <f t="shared" ref="Q3:Q8" si="7">(H3-H2)/H2</f>
        <v>1.4887055043912221</v>
      </c>
      <c r="R3" s="2">
        <f>[1]!Tabela1[[#This Row],[A$%  (total -S)]]</f>
        <v>1.8014082693496788E-2</v>
      </c>
      <c r="S3" s="2">
        <f>[1]!Tabela1[[#This Row],[B$%  (total -S)]]</f>
        <v>0.77622750614260905</v>
      </c>
      <c r="T3" s="2">
        <f>[1]!Tabela1[[#This Row],[D$% (total-S)]]</f>
        <v>1.7080515312448733E-3</v>
      </c>
      <c r="U3" s="2">
        <f>[1]!Tabela1[[#This Row],[F$%  (total -S)]]</f>
        <v>0.12498074436267245</v>
      </c>
      <c r="V3" s="2">
        <f>[1]!Tabela1[[#This Row],[K$%  (total -S)]]</f>
        <v>4.5275326723165928E-2</v>
      </c>
      <c r="W3" s="2">
        <f>[1]!Tabela1[[#This Row],[P$%  (total-S)]]</f>
        <v>3.3794288546810852E-2</v>
      </c>
      <c r="X3" s="2">
        <f>[1]!Tabela1[[#This Row],[S$%  (total -S)]]</f>
        <v>4.6887689092996523E-2</v>
      </c>
      <c r="Y3" s="2">
        <f>[1]!Tabela1[[#This Row],[$%  (Total-S)]]</f>
        <v>1.0468876890929966</v>
      </c>
    </row>
    <row r="4" spans="1:25" x14ac:dyDescent="0.25">
      <c r="A4">
        <v>2022</v>
      </c>
      <c r="B4">
        <v>29</v>
      </c>
      <c r="C4" s="3">
        <v>33.92</v>
      </c>
      <c r="D4" s="5">
        <f t="shared" si="0"/>
        <v>310</v>
      </c>
      <c r="E4" s="4">
        <f t="shared" si="5"/>
        <v>1189</v>
      </c>
      <c r="F4" s="1">
        <f>[1]!Tabela1[[#This Row],[Ticket período]]</f>
        <v>8.8366614860695272</v>
      </c>
      <c r="G4" s="1">
        <f>[1]!Tabela2[[#This Row],[Ticket Recomendado]]</f>
        <v>9.2016049382716059</v>
      </c>
      <c r="H4" s="4">
        <f>[1]!Tabela1[[#This Row],[$ Total]]/[1]!Tabela1[[#This Row],[Ticket período]]</f>
        <v>857.37515372107919</v>
      </c>
      <c r="I4">
        <f>[1]!Tabela2[[#This Row],[Recomendações]]</f>
        <v>81</v>
      </c>
      <c r="J4" s="5">
        <f>[1]!Tabela1[[#This Row],[S$ Total]]/[1]!Tabela1[[#This Row],[Ticket período]]</f>
        <v>14.145613724940702</v>
      </c>
      <c r="K4" s="10">
        <f t="shared" si="1"/>
        <v>95.145613724940702</v>
      </c>
      <c r="L4" s="10">
        <f t="shared" si="6"/>
        <v>63.843342291714457</v>
      </c>
      <c r="M4" s="10">
        <f>Tabela1[[#This Row],[Conversões + Equiv. Prod. Line]]-Tabela1[[#This Row],[meta de conversões]]</f>
        <v>31.302271433226245</v>
      </c>
      <c r="N4" s="8">
        <f t="shared" si="2"/>
        <v>1.0412987928503756</v>
      </c>
      <c r="O4" s="11">
        <f t="shared" si="3"/>
        <v>0.7210892798326991</v>
      </c>
      <c r="P4" s="8">
        <f t="shared" si="4"/>
        <v>0.26051478437704972</v>
      </c>
      <c r="Q4" s="6">
        <f t="shared" si="7"/>
        <v>-0.13084300308619731</v>
      </c>
      <c r="R4" s="2">
        <f>[1]!Tabela1[[#This Row],[A$%  (total -S)]]</f>
        <v>0</v>
      </c>
      <c r="S4" s="2">
        <f>[1]!Tabela1[[#This Row],[B$%  (total -S)]]</f>
        <v>0.80685955024965994</v>
      </c>
      <c r="T4" s="2">
        <f>[1]!Tabela1[[#This Row],[D$% (total-S)]]</f>
        <v>1.1273149210597725E-2</v>
      </c>
      <c r="U4" s="2">
        <f>[1]!Tabela1[[#This Row],[F$%  (total -S)]]</f>
        <v>0.10507366868804967</v>
      </c>
      <c r="V4" s="2">
        <f>[1]!Tabela1[[#This Row],[K$%  (total -S)]]</f>
        <v>3.9504335733708887E-2</v>
      </c>
      <c r="W4" s="2">
        <f>[1]!Tabela1[[#This Row],[P$%  (total-S)]]</f>
        <v>3.7289296117983706E-2</v>
      </c>
      <c r="X4" s="2">
        <f>[1]!Tabela1[[#This Row],[S$%  (total -S)]]</f>
        <v>1.6775519658627568E-2</v>
      </c>
      <c r="Y4" s="2">
        <f>[1]!Tabela1[[#This Row],[$%  (Total-S)]]</f>
        <v>1.0167755196586277</v>
      </c>
    </row>
    <row r="5" spans="1:25" x14ac:dyDescent="0.25">
      <c r="A5">
        <v>2022</v>
      </c>
      <c r="B5">
        <v>30</v>
      </c>
      <c r="C5" s="3">
        <v>33.92</v>
      </c>
      <c r="D5" s="5">
        <f t="shared" si="0"/>
        <v>310</v>
      </c>
      <c r="E5" s="4">
        <f t="shared" si="5"/>
        <v>1220</v>
      </c>
      <c r="F5" s="1">
        <f>[1]!Tabela1[[#This Row],[Ticket período]]</f>
        <v>8.6117242620197807</v>
      </c>
      <c r="G5" s="1">
        <f>[1]!Tabela2[[#This Row],[Ticket Recomendado]]</f>
        <v>8.8357777777777784</v>
      </c>
      <c r="H5" s="4">
        <f>[1]!Tabela1[[#This Row],[$ Total]]/[1]!Tabela1[[#This Row],[Ticket período]]</f>
        <v>881.16743745116571</v>
      </c>
      <c r="I5">
        <f>[1]!Tabela2[[#This Row],[Recomendações]]</f>
        <v>90</v>
      </c>
      <c r="J5" s="5">
        <f>[1]!Tabela1[[#This Row],[S$ Total]]/[1]!Tabela1[[#This Row],[Ticket período]]</f>
        <v>33.442780009824993</v>
      </c>
      <c r="K5" s="10">
        <f t="shared" si="1"/>
        <v>123.44278000982499</v>
      </c>
      <c r="L5" s="10">
        <f t="shared" si="6"/>
        <v>61.094847973378812</v>
      </c>
      <c r="M5" s="10">
        <f>Tabela1[[#This Row],[Conversões + Equiv. Prod. Line]]-Tabela1[[#This Row],[meta de conversões]]</f>
        <v>62.347932036446174</v>
      </c>
      <c r="N5" s="8">
        <f t="shared" si="2"/>
        <v>1.0260172654094535</v>
      </c>
      <c r="O5" s="11">
        <f t="shared" si="3"/>
        <v>0.72226839135341447</v>
      </c>
      <c r="P5" s="8">
        <f t="shared" si="4"/>
        <v>0.25388338036614916</v>
      </c>
      <c r="Q5" s="9">
        <f t="shared" si="7"/>
        <v>2.7750143711100142E-2</v>
      </c>
      <c r="R5" s="2">
        <f>[1]!Tabela1[[#This Row],[A$%  (total -S)]]</f>
        <v>2.2437215862043173E-2</v>
      </c>
      <c r="S5" s="2">
        <f>[1]!Tabela1[[#This Row],[B$%  (total -S)]]</f>
        <v>0.75275807125962135</v>
      </c>
      <c r="T5" s="2">
        <f>[1]!Tabela1[[#This Row],[D$% (total-S)]]</f>
        <v>1.0622747802817143E-2</v>
      </c>
      <c r="U5" s="2">
        <f>[1]!Tabela1[[#This Row],[F$%  (total -S)]]</f>
        <v>0.14765172512302993</v>
      </c>
      <c r="V5" s="2">
        <f>[1]!Tabela1[[#This Row],[K$%  (total -S)]]</f>
        <v>1.9409972452084964E-2</v>
      </c>
      <c r="W5" s="2">
        <f>[1]!Tabela1[[#This Row],[P$%  (total-S)]]</f>
        <v>4.7120267500403483E-2</v>
      </c>
      <c r="X5" s="2">
        <f>[1]!Tabela1[[#This Row],[S$%  (total -S)]]</f>
        <v>3.9450049867328654E-2</v>
      </c>
      <c r="Y5" s="2">
        <f>[1]!Tabela1[[#This Row],[$%  (Total-S)]]</f>
        <v>1.0394500498673287</v>
      </c>
    </row>
    <row r="6" spans="1:25" x14ac:dyDescent="0.25">
      <c r="A6">
        <v>2022</v>
      </c>
      <c r="B6">
        <v>31</v>
      </c>
      <c r="C6" s="3">
        <v>33.92</v>
      </c>
      <c r="D6" s="5">
        <f t="shared" si="0"/>
        <v>310</v>
      </c>
      <c r="E6" s="4">
        <f t="shared" si="5"/>
        <v>1205</v>
      </c>
      <c r="F6" s="1">
        <f>[1]!Tabela1[[#This Row],[Ticket período]]</f>
        <v>8.7192880494006548</v>
      </c>
      <c r="G6" s="1">
        <f>[1]!Tabela2[[#This Row],[Ticket Recomendado]]</f>
        <v>9.8862765957446808</v>
      </c>
      <c r="H6" s="4">
        <f>[1]!Tabela1[[#This Row],[$ Total]]/[1]!Tabela1[[#This Row],[Ticket período]]</f>
        <v>1013.036838553253</v>
      </c>
      <c r="I6">
        <f>[1]!Tabela2[[#This Row],[Recomendações]]</f>
        <v>94</v>
      </c>
      <c r="J6" s="5">
        <f>[1]!Tabela1[[#This Row],[S$ Total]]/[1]!Tabela1[[#This Row],[Ticket período]]</f>
        <v>22.708276051690952</v>
      </c>
      <c r="K6" s="10">
        <f t="shared" si="1"/>
        <v>116.70827605169094</v>
      </c>
      <c r="L6" s="10">
        <f t="shared" si="6"/>
        <v>47.28908679567126</v>
      </c>
      <c r="M6" s="10">
        <f>Tabela1[[#This Row],[Conversões + Equiv. Prod. Line]]-Tabela1[[#This Row],[meta de conversões]]</f>
        <v>69.419189256019678</v>
      </c>
      <c r="N6" s="8">
        <f t="shared" si="2"/>
        <v>1.1338398891896044</v>
      </c>
      <c r="O6" s="11">
        <f t="shared" si="3"/>
        <v>0.84069447182842572</v>
      </c>
      <c r="P6" s="8">
        <f t="shared" si="4"/>
        <v>0.2570544825884627</v>
      </c>
      <c r="Q6" s="9">
        <f t="shared" si="7"/>
        <v>0.1496530574070328</v>
      </c>
      <c r="R6" s="2">
        <f>[1]!Tabela1[[#This Row],[A$%  (total -S)]]</f>
        <v>2.1077109795528876E-2</v>
      </c>
      <c r="S6" s="2">
        <f>[1]!Tabela1[[#This Row],[B$%  (total -S)]]</f>
        <v>0.73572929704744183</v>
      </c>
      <c r="T6" s="2">
        <f>[1]!Tabela1[[#This Row],[D$% (total-S)]]</f>
        <v>4.7527724505961814E-2</v>
      </c>
      <c r="U6" s="2">
        <f>[1]!Tabela1[[#This Row],[F$%  (total -S)]]</f>
        <v>0.12954697920304142</v>
      </c>
      <c r="V6" s="2">
        <f>[1]!Tabela1[[#This Row],[K$%  (total -S)]]</f>
        <v>3.1997832068706752E-2</v>
      </c>
      <c r="W6" s="2">
        <f>[1]!Tabela1[[#This Row],[P$%  (total-S)]]</f>
        <v>3.4121057379319364E-2</v>
      </c>
      <c r="X6" s="2">
        <f>[1]!Tabela1[[#This Row],[S$%  (total -S)]]</f>
        <v>2.2930042524806141E-2</v>
      </c>
      <c r="Y6" s="2">
        <f>[1]!Tabela1[[#This Row],[$%  (Total-S)]]</f>
        <v>1.0229300425248062</v>
      </c>
    </row>
    <row r="7" spans="1:25" x14ac:dyDescent="0.25">
      <c r="A7">
        <v>2022</v>
      </c>
      <c r="B7">
        <v>32</v>
      </c>
      <c r="C7" s="3">
        <v>41.34</v>
      </c>
      <c r="D7" s="5">
        <f t="shared" si="0"/>
        <v>254</v>
      </c>
      <c r="E7" s="4">
        <f t="shared" si="5"/>
        <v>969</v>
      </c>
      <c r="F7" s="1">
        <f>[1]!Tabela1[[#This Row],[Ticket período]]</f>
        <v>10.839957911075956</v>
      </c>
      <c r="G7" s="1">
        <f>[1]!Tabela2[[#This Row],[Ticket Recomendado]]</f>
        <v>10.65341463414634</v>
      </c>
      <c r="H7" s="4">
        <f>[1]!Tabela1[[#This Row],[$ Total]]/[1]!Tabela1[[#This Row],[Ticket período]]</f>
        <v>815.71834250067877</v>
      </c>
      <c r="I7">
        <f>[1]!Tabela2[[#This Row],[Recomendações]]</f>
        <v>41</v>
      </c>
      <c r="J7" s="5">
        <f>[1]!Tabela1[[#This Row],[S$ Total]]/[1]!Tabela1[[#This Row],[Ticket período]]</f>
        <v>28.228891893329035</v>
      </c>
      <c r="K7" s="10">
        <f t="shared" si="1"/>
        <v>69.228891893329035</v>
      </c>
      <c r="L7" s="10">
        <f t="shared" si="6"/>
        <v>68.827012497246756</v>
      </c>
      <c r="M7" s="10">
        <f>Tabela1[[#This Row],[Conversões + Equiv. Prod. Line]]-Tabela1[[#This Row],[meta de conversões]]</f>
        <v>0.40187939608227907</v>
      </c>
      <c r="N7" s="8">
        <f t="shared" si="2"/>
        <v>0.98279114379779919</v>
      </c>
      <c r="O7" s="11">
        <f t="shared" si="3"/>
        <v>0.84181459494394095</v>
      </c>
      <c r="P7" s="8">
        <f t="shared" si="4"/>
        <v>0.26221475353352575</v>
      </c>
      <c r="Q7" s="6">
        <f t="shared" si="7"/>
        <v>-0.1947791911835807</v>
      </c>
      <c r="R7" s="2">
        <f>[1]!Tabela1[[#This Row],[A$%  (total -S)]]</f>
        <v>2.132058159500794E-2</v>
      </c>
      <c r="S7" s="2">
        <f>[1]!Tabela1[[#This Row],[B$%  (total -S)]]</f>
        <v>0.76505661315308005</v>
      </c>
      <c r="T7" s="2">
        <f>[1]!Tabela1[[#This Row],[D$% (total-S)]]</f>
        <v>8.0830776376678449E-3</v>
      </c>
      <c r="U7" s="2">
        <f>[1]!Tabela1[[#This Row],[F$%  (total -S)]]</f>
        <v>0.14883840231166334</v>
      </c>
      <c r="V7" s="2">
        <f>[1]!Tabela1[[#This Row],[K$%  (total -S)]]</f>
        <v>2.3054343175261335E-2</v>
      </c>
      <c r="W7" s="2">
        <f>[1]!Tabela1[[#This Row],[P$%  (total-S)]]</f>
        <v>3.3646982127319605E-2</v>
      </c>
      <c r="X7" s="2">
        <f>[1]!Tabela1[[#This Row],[S$%  (total -S)]]</f>
        <v>3.58466921322661E-2</v>
      </c>
      <c r="Y7" s="2">
        <f>[1]!Tabela1[[#This Row],[$%  (Total-S)]]</f>
        <v>1.035846692132266</v>
      </c>
    </row>
    <row r="8" spans="1:25" x14ac:dyDescent="0.25">
      <c r="A8">
        <v>2022</v>
      </c>
      <c r="B8">
        <v>33</v>
      </c>
      <c r="C8" s="3">
        <v>41.34</v>
      </c>
      <c r="D8" s="5">
        <f t="shared" si="0"/>
        <v>254</v>
      </c>
      <c r="E8" s="4">
        <f>ROUNDUP(1500*7/F8,0)</f>
        <v>985</v>
      </c>
      <c r="F8" s="1">
        <f>[1]!Tabela1[[#This Row],[Ticket período]]</f>
        <v>10.661622027750902</v>
      </c>
      <c r="G8" s="1">
        <f>[1]!Tabela2[[#This Row],[Ticket Recomendado]]</f>
        <v>11.008888888888889</v>
      </c>
      <c r="H8" s="4">
        <f>[1]!Tabela1[[#This Row],[$ Total]]/[1]!Tabela1[[#This Row],[Ticket período]]</f>
        <v>753.03470279687349</v>
      </c>
      <c r="I8">
        <f>[1]!Tabela2[[#This Row],[Recomendações]]</f>
        <v>63</v>
      </c>
      <c r="J8" s="5">
        <f>[1]!Tabela1[[#This Row],[S$ Total]]/[1]!Tabela1[[#This Row],[Ticket período]]</f>
        <v>29.826606042897112</v>
      </c>
      <c r="K8" s="10">
        <f>J8+I8</f>
        <v>92.826606042897112</v>
      </c>
      <c r="L8" s="10">
        <f t="shared" si="6"/>
        <v>76.683717401336963</v>
      </c>
      <c r="M8" s="10">
        <f>Tabela1[[#This Row],[Conversões + Equiv. Prod. Line]]-Tabela1[[#This Row],[meta de conversões]]</f>
        <v>16.142888641560148</v>
      </c>
      <c r="N8" s="8">
        <f t="shared" si="2"/>
        <v>1.0325716725123151</v>
      </c>
      <c r="O8" s="11">
        <f>H8/E8</f>
        <v>0.76450223634200354</v>
      </c>
      <c r="P8" s="8">
        <f t="shared" si="4"/>
        <v>0.25790087149857038</v>
      </c>
      <c r="Q8" s="6">
        <f t="shared" si="7"/>
        <v>-7.6844710285220941E-2</v>
      </c>
      <c r="R8" s="2">
        <f>[1]!Tabela1[[#This Row],[A$%  (total -S)]]</f>
        <v>2.9504947031243844E-2</v>
      </c>
      <c r="S8" s="2">
        <f>[1]!Tabela1[[#This Row],[B$%  (total -S)]]</f>
        <v>0.74674107249691102</v>
      </c>
      <c r="T8" s="2">
        <f>[1]!Tabela1[[#This Row],[D$% (total-S)]]</f>
        <v>2.3002186397632567E-2</v>
      </c>
      <c r="U8" s="2">
        <f>[1]!Tabela1[[#This Row],[F$%  (total -S)]]</f>
        <v>0.1280698629562495</v>
      </c>
      <c r="V8" s="2">
        <f>[1]!Tabela1[[#This Row],[K$%  (total -S)]]</f>
        <v>3.404007756214171E-2</v>
      </c>
      <c r="W8" s="2">
        <f>[1]!Tabela1[[#This Row],[P$%  (total-S)]]</f>
        <v>3.8641853555821427E-2</v>
      </c>
      <c r="X8" s="2">
        <f>[1]!Tabela1[[#This Row],[S$%  (total -S)]]</f>
        <v>4.1242079806310075E-2</v>
      </c>
      <c r="Y8" s="2">
        <f>[1]!Tabela1[[#This Row],[$%  (Total-S)]]</f>
        <v>1.04124207980631</v>
      </c>
    </row>
    <row r="9" spans="1:25" x14ac:dyDescent="0.25">
      <c r="A9">
        <v>2022</v>
      </c>
      <c r="B9">
        <v>34</v>
      </c>
      <c r="C9" s="3">
        <v>41.34</v>
      </c>
      <c r="D9">
        <f t="shared" si="0"/>
        <v>254</v>
      </c>
      <c r="E9" s="4">
        <f>ROUNDUP(1500*7/F9,0)</f>
        <v>1008</v>
      </c>
      <c r="F9" s="1">
        <f>[1]!Tabela1[[#This Row],[Ticket período]]</f>
        <v>10.424412136536029</v>
      </c>
      <c r="G9" s="1">
        <f>[1]!Tabela2[[#This Row],[Ticket Recomendado]]</f>
        <v>12.317361111111111</v>
      </c>
      <c r="H9" s="4">
        <f>[1]!Tabela1[[#This Row],[$ Total]]/[1]!Tabela1[[#This Row],[Ticket período]]</f>
        <v>683.38721711047322</v>
      </c>
      <c r="I9">
        <f>[1]!Tabela2[[#This Row],[Recomendações]]</f>
        <v>72</v>
      </c>
      <c r="J9" s="5">
        <f>[1]!Tabela1[[#This Row],[S$ Total]]/[1]!Tabela1[[#This Row],[Ticket período]]</f>
        <v>12.374798531600071</v>
      </c>
      <c r="K9" s="10">
        <f>J9+I9</f>
        <v>84.374798531600078</v>
      </c>
      <c r="L9" s="10">
        <f t="shared" si="6"/>
        <v>85.762528072712129</v>
      </c>
      <c r="M9" s="10">
        <f>Tabela1[[#This Row],[Conversões + Equiv. Prod. Line]]-Tabela1[[#This Row],[meta de conversões]]</f>
        <v>-1.3877295411120514</v>
      </c>
      <c r="N9" s="8">
        <f t="shared" ref="N9:N11" si="8">G9/F9</f>
        <v>1.1815880789997333</v>
      </c>
      <c r="O9" s="11">
        <f>H9/E9</f>
        <v>0.67796350903816782</v>
      </c>
      <c r="P9" s="8">
        <f t="shared" si="4"/>
        <v>0.25216284800522565</v>
      </c>
      <c r="Q9" s="8">
        <f>(H9-H8)/H8*($C$9-$C$8)/$C$8</f>
        <v>0</v>
      </c>
      <c r="R9" s="2">
        <f>[1]!Tabela1[[#This Row],[A$%  (total -S)]]</f>
        <v>1.6151744625735001E-2</v>
      </c>
      <c r="S9" s="2">
        <f>[1]!Tabela1[[#This Row],[B$%  (total -S)]]</f>
        <v>0.75474803394693379</v>
      </c>
      <c r="T9" s="2">
        <f>[1]!Tabela1[[#This Row],[D$% (total-S)]]</f>
        <v>4.6862647267799019E-2</v>
      </c>
      <c r="U9" s="2">
        <f>[1]!Tabela1[[#This Row],[F$%  (total -S)]]</f>
        <v>0.12314954731368954</v>
      </c>
      <c r="V9" s="2">
        <f>[1]!Tabela1[[#This Row],[K$%  (total -S)]]</f>
        <v>2.3517100291497679E-2</v>
      </c>
      <c r="W9" s="2">
        <f>[1]!Tabela1[[#This Row],[P$%  (total-S)]]</f>
        <v>3.5570926554345003E-2</v>
      </c>
      <c r="X9" s="2">
        <f>[1]!Tabela1[[#This Row],[S$%  (total -S)]]</f>
        <v>1.8441981383606081E-2</v>
      </c>
      <c r="Y9" s="2">
        <f>[1]!Tabela1[[#This Row],[$%  (Total-S)]]</f>
        <v>1.0184419813836061</v>
      </c>
    </row>
    <row r="10" spans="1:25" x14ac:dyDescent="0.25">
      <c r="A10">
        <v>2022</v>
      </c>
      <c r="B10">
        <v>35</v>
      </c>
      <c r="C10" s="3">
        <v>41.34</v>
      </c>
      <c r="D10">
        <f t="shared" ref="D10:D11" si="9">ROUNDUP(1500/C10*7,0)</f>
        <v>254</v>
      </c>
      <c r="E10" s="4">
        <f t="shared" ref="E10:E14" si="10">ROUNDUP(1500*7/F10,0)</f>
        <v>999</v>
      </c>
      <c r="F10" s="1">
        <f>[1]!Tabela1[[#This Row],[Ticket período]]</f>
        <v>10.520092838196286</v>
      </c>
      <c r="G10" s="1">
        <f>[1]!Tabela2[[#This Row],[Ticket Recomendado]]</f>
        <v>11.958695652173912</v>
      </c>
      <c r="H10" s="4">
        <f>[1]!Tabela1[[#This Row],[$ Total]]/[1]!Tabela1[[#This Row],[Ticket período]]</f>
        <v>680.90083520861299</v>
      </c>
      <c r="I10">
        <f>[1]!Tabela2[[#This Row],[Recomendações]]</f>
        <v>69</v>
      </c>
      <c r="J10" s="5">
        <f>[1]!Tabela1[[#This Row],[S$ Total]]/[1]!Tabela1[[#This Row],[Ticket período]]</f>
        <v>38.877983900960018</v>
      </c>
      <c r="K10" s="10">
        <f t="shared" ref="K10:K11" si="11">J10+I10</f>
        <v>107.87798390096002</v>
      </c>
      <c r="L10" s="10">
        <f t="shared" si="6"/>
        <v>86.090267295458901</v>
      </c>
      <c r="M10" s="10">
        <f>Tabela1[[#This Row],[Conversões + Equiv. Prod. Line]]-Tabela1[[#This Row],[meta de conversões]]</f>
        <v>21.787716605501117</v>
      </c>
      <c r="N10" s="8">
        <f t="shared" si="8"/>
        <v>1.1367481101264008</v>
      </c>
      <c r="O10" s="11">
        <f t="shared" ref="O10:O11" si="12">H10/E10</f>
        <v>0.68158241762623928</v>
      </c>
      <c r="P10" s="8">
        <f t="shared" si="4"/>
        <v>0.25447733038694448</v>
      </c>
      <c r="Q10" s="8">
        <f>(H10-H9)/H9*ABS((G10-G9)/(G9))</f>
        <v>-1.0594314600397978E-4</v>
      </c>
      <c r="R10" s="2">
        <f>[1]!Tabela1[[#This Row],[A$%  (total -S)]]</f>
        <v>2.1764428928035252E-2</v>
      </c>
      <c r="S10" s="2">
        <f>[1]!Tabela1[[#This Row],[B$%  (total -S)]]</f>
        <v>0.75133769806370621</v>
      </c>
      <c r="T10" s="2">
        <f>[1]!Tabela1[[#This Row],[D$% (total-S)]]</f>
        <v>2.7390607834602187E-2</v>
      </c>
      <c r="U10" s="2">
        <f>[1]!Tabela1[[#This Row],[F$%  (total -S)]]</f>
        <v>0.13674575889750581</v>
      </c>
      <c r="V10" s="2">
        <f>[1]!Tabela1[[#This Row],[K$%  (total -S)]]</f>
        <v>2.1868069065787799E-2</v>
      </c>
      <c r="W10" s="2">
        <f>[1]!Tabela1[[#This Row],[P$%  (total-S)]]</f>
        <v>4.0893437210362829E-2</v>
      </c>
      <c r="X10" s="2">
        <f>[1]!Tabela1[[#This Row],[S$%  (total -S)]]</f>
        <v>6.0555451915417807E-2</v>
      </c>
      <c r="Y10" s="2">
        <f>[1]!Tabela1[[#This Row],[$%  (Total-S)]]</f>
        <v>1.0605554519154179</v>
      </c>
    </row>
    <row r="11" spans="1:25" x14ac:dyDescent="0.25">
      <c r="A11">
        <v>2022</v>
      </c>
      <c r="B11">
        <v>36</v>
      </c>
      <c r="C11" s="3">
        <v>41.34</v>
      </c>
      <c r="D11">
        <f t="shared" si="9"/>
        <v>254</v>
      </c>
      <c r="E11" s="4">
        <f t="shared" si="10"/>
        <v>1009</v>
      </c>
      <c r="F11" s="1">
        <f>[1]!Tabela1[[#This Row],[Ticket período]]</f>
        <v>10.407404063205419</v>
      </c>
      <c r="G11" s="1">
        <f>[1]!Tabela2[[#This Row],[Ticket Recomendado]]</f>
        <v>11.538372093023256</v>
      </c>
      <c r="H11" s="4">
        <f>[1]!Tabela1[[#This Row],[$ Total]]/[1]!Tabela1[[#This Row],[Ticket período]]</f>
        <v>833.9495562284186</v>
      </c>
      <c r="I11">
        <f>[1]!Tabela2[[#This Row],[Recomendações]]</f>
        <v>86</v>
      </c>
      <c r="J11" s="5">
        <f>[1]!Tabela1[[#This Row],[S$ Total]]/[1]!Tabela1[[#This Row],[Ticket período]]</f>
        <v>88.590775797747725</v>
      </c>
      <c r="K11" s="10">
        <f t="shared" si="11"/>
        <v>174.59077579774771</v>
      </c>
      <c r="L11" s="10">
        <f t="shared" si="6"/>
        <v>66.620107055484169</v>
      </c>
      <c r="M11" s="10">
        <f>Tabela1[[#This Row],[Conversões + Equiv. Prod. Line]]-Tabela1[[#This Row],[meta de conversões]]</f>
        <v>107.97066874226354</v>
      </c>
      <c r="N11" s="8">
        <f t="shared" si="8"/>
        <v>1.1086695609154147</v>
      </c>
      <c r="O11" s="11">
        <f t="shared" si="12"/>
        <v>0.82651095760992921</v>
      </c>
      <c r="P11" s="8">
        <f t="shared" si="4"/>
        <v>0.25175142871807976</v>
      </c>
      <c r="Q11" s="9">
        <f t="shared" ref="Q11:Q17" si="13">(H11-H10)/H10</f>
        <v>0.22477387764242476</v>
      </c>
      <c r="R11" s="2">
        <f>[1]!Tabela1[[#This Row],[A$%  (total -S)]]</f>
        <v>3.3604692384543493E-2</v>
      </c>
      <c r="S11" s="2">
        <f>[1]!Tabela1[[#This Row],[B$%  (total -S)]]</f>
        <v>0.7295467433859989</v>
      </c>
      <c r="T11" s="2">
        <f>[1]!Tabela1[[#This Row],[D$% (total-S)]]</f>
        <v>2.5382706500370621E-2</v>
      </c>
      <c r="U11" s="2">
        <f>[1]!Tabela1[[#This Row],[F$%  (total -S)]]</f>
        <v>0.1449261791535488</v>
      </c>
      <c r="V11" s="2">
        <f>[1]!Tabela1[[#This Row],[K$%  (total -S)]]</f>
        <v>2.4841277514583131E-2</v>
      </c>
      <c r="W11" s="2">
        <f>[1]!Tabela1[[#This Row],[P$%  (total-S)]]</f>
        <v>4.1698401060955112E-2</v>
      </c>
      <c r="X11" s="2">
        <f>[1]!Tabela1[[#This Row],[S$%  (total -S)]]</f>
        <v>0.11885655354668213</v>
      </c>
      <c r="Y11" s="2">
        <f>[1]!Tabela1[[#This Row],[$%  (Total-S)]]</f>
        <v>1.1188565535466821</v>
      </c>
    </row>
    <row r="12" spans="1:25" x14ac:dyDescent="0.25">
      <c r="A12">
        <v>2022</v>
      </c>
      <c r="B12">
        <v>37</v>
      </c>
      <c r="C12" s="3">
        <v>41.34</v>
      </c>
      <c r="D12">
        <f t="shared" ref="D12" si="14">ROUNDUP(1500/C12*7,0)</f>
        <v>254</v>
      </c>
      <c r="E12" s="4">
        <f t="shared" si="10"/>
        <v>1004</v>
      </c>
      <c r="F12" s="1">
        <f>[1]!Tabela1[[#This Row],[Ticket período]]</f>
        <v>10.465438972162742</v>
      </c>
      <c r="G12" s="1">
        <f>[1]!Tabela2[[#This Row],[Ticket Recomendado]]</f>
        <v>11.79082191780822</v>
      </c>
      <c r="H12" s="4">
        <f>[1]!Tabela1[[#This Row],[$ Total]]/[1]!Tabela1[[#This Row],[Ticket período]]</f>
        <v>845.04912058862044</v>
      </c>
      <c r="I12">
        <f>[1]!Tabela2[[#This Row],[Recomendações]]</f>
        <v>73</v>
      </c>
      <c r="J12" s="5">
        <f>[1]!Tabela1[[#This Row],[S$ Total]]/[1]!Tabela1[[#This Row],[Ticket período]]</f>
        <v>43.476437176717077</v>
      </c>
      <c r="K12" s="10">
        <f t="shared" ref="K12:K17" si="15">J12+I12</f>
        <v>116.47643717671707</v>
      </c>
      <c r="L12" s="10">
        <f t="shared" si="6"/>
        <v>65.295922175581779</v>
      </c>
      <c r="M12" s="10">
        <f>Tabela1[[#This Row],[Conversões + Equiv. Prod. Line]]-Tabela1[[#This Row],[meta de conversões]]</f>
        <v>51.180515001135291</v>
      </c>
      <c r="N12" s="8">
        <f t="shared" ref="N12:N17" si="16">G12/F12</f>
        <v>1.1266437986185667</v>
      </c>
      <c r="O12" s="11">
        <f t="shared" ref="O12" si="17">H12/E12</f>
        <v>0.84168239102452236</v>
      </c>
      <c r="P12" s="8">
        <f t="shared" si="4"/>
        <v>0.25315527266963572</v>
      </c>
      <c r="Q12" s="9">
        <f t="shared" si="13"/>
        <v>1.3309635189927088E-2</v>
      </c>
      <c r="R12" s="2">
        <f>[1]!Tabela1[[#This Row],[A$%  (total -S)]]</f>
        <v>2.4532681035808412E-2</v>
      </c>
      <c r="S12" s="2">
        <f>[1]!Tabela1[[#This Row],[B$%  (total -S)]]</f>
        <v>0.75555516875298423</v>
      </c>
      <c r="T12" s="2">
        <f>[1]!Tabela1[[#This Row],[D$% (total-S)]]</f>
        <v>4.2840551259746965E-2</v>
      </c>
      <c r="U12" s="2">
        <f>[1]!Tabela1[[#This Row],[F$%  (total -S)]]</f>
        <v>0.10700444997562227</v>
      </c>
      <c r="V12" s="2">
        <f>[1]!Tabela1[[#This Row],[K$%  (total -S)]]</f>
        <v>2.6432831355102805E-2</v>
      </c>
      <c r="W12" s="2">
        <f>[1]!Tabela1[[#This Row],[P$%  (total-S)]]</f>
        <v>4.363431762073524E-2</v>
      </c>
      <c r="X12" s="2">
        <f>[1]!Tabela1[[#This Row],[S$%  (total -S)]]</f>
        <v>5.4238920657399554E-2</v>
      </c>
      <c r="Y12" s="2">
        <f>[1]!Tabela1[[#This Row],[$%  (Total-S)]]</f>
        <v>1.0542389206573994</v>
      </c>
    </row>
    <row r="13" spans="1:25" x14ac:dyDescent="0.25">
      <c r="A13">
        <v>2022</v>
      </c>
      <c r="B13">
        <v>38</v>
      </c>
      <c r="C13" s="3">
        <v>41.34</v>
      </c>
      <c r="D13">
        <f t="shared" ref="D13" si="18">ROUNDUP(1500/C13*7,0)</f>
        <v>254</v>
      </c>
      <c r="E13" s="4">
        <f t="shared" si="10"/>
        <v>843</v>
      </c>
      <c r="F13" s="1">
        <f>[1]!Tabela1[[#This Row],[Ticket período]]</f>
        <v>12.459713114754097</v>
      </c>
      <c r="G13" s="1">
        <f>[1]!Tabela2[[#This Row],[Ticket Recomendado]]</f>
        <v>11.26686274509804</v>
      </c>
      <c r="H13" s="4">
        <f>[1]!Tabela1[[#This Row],[$ Total]]/[1]!Tabela1[[#This Row],[Ticket período]]</f>
        <v>650.82397365936777</v>
      </c>
      <c r="I13">
        <f>[1]!Tabela2[[#This Row],[Recomendações]]</f>
        <v>51</v>
      </c>
      <c r="J13" s="5">
        <f>[1]!Tabela1[[#This Row],[S$ Total]]/[1]!Tabela1[[#This Row],[Ticket período]]</f>
        <v>22.31191018923284</v>
      </c>
      <c r="K13" s="10">
        <f t="shared" si="15"/>
        <v>73.311910189232833</v>
      </c>
      <c r="L13" s="10">
        <f t="shared" si="6"/>
        <v>90.057601558102263</v>
      </c>
      <c r="M13" s="10">
        <f>Tabela1[[#This Row],[Conversões + Equiv. Prod. Line]]-Tabela1[[#This Row],[meta de conversões]]</f>
        <v>-16.74569136886943</v>
      </c>
      <c r="N13" s="8">
        <f t="shared" si="16"/>
        <v>0.90426341612604633</v>
      </c>
      <c r="O13" s="11">
        <f t="shared" ref="O13" si="19">H13/E13</f>
        <v>0.77203318346306971</v>
      </c>
      <c r="P13" s="8">
        <f t="shared" si="4"/>
        <v>0.30139605986342755</v>
      </c>
      <c r="Q13" s="6">
        <f t="shared" si="13"/>
        <v>-0.22983888415145004</v>
      </c>
      <c r="R13" s="2">
        <f>[1]!Tabela1[[#This Row],[A$%  (total -S)]]</f>
        <v>2.2525628648921991E-2</v>
      </c>
      <c r="S13" s="2">
        <f>[1]!Tabela1[[#This Row],[B$%  (total -S)]]</f>
        <v>0.79362872043192001</v>
      </c>
      <c r="T13" s="2">
        <f>[1]!Tabela1[[#This Row],[D$% (total-S)]]</f>
        <v>4.0441420595882051E-2</v>
      </c>
      <c r="U13" s="2">
        <f>[1]!Tabela1[[#This Row],[F$%  (total -S)]]</f>
        <v>2.6484214182462704E-2</v>
      </c>
      <c r="V13" s="2">
        <f>[1]!Tabela1[[#This Row],[K$%  (total -S)]]</f>
        <v>7.7359700066912868E-2</v>
      </c>
      <c r="W13" s="2">
        <f>[1]!Tabela1[[#This Row],[P$%  (total-S)]]</f>
        <v>3.9560316073900405E-2</v>
      </c>
      <c r="X13" s="2">
        <f>[1]!Tabela1[[#This Row],[S$%  (total -S)]]</f>
        <v>3.5499573494332845E-2</v>
      </c>
      <c r="Y13" s="2">
        <f>[1]!Tabela1[[#This Row],[$%  (Total-S)]]</f>
        <v>1.0354995734943329</v>
      </c>
    </row>
    <row r="14" spans="1:25" x14ac:dyDescent="0.25">
      <c r="A14">
        <v>2022</v>
      </c>
      <c r="B14">
        <v>39</v>
      </c>
      <c r="C14" s="3">
        <v>41.34</v>
      </c>
      <c r="D14">
        <f t="shared" ref="D14" si="20">ROUNDUP(1500/C14*7,0)</f>
        <v>254</v>
      </c>
      <c r="E14" s="4">
        <f t="shared" si="10"/>
        <v>970</v>
      </c>
      <c r="F14" s="1">
        <f>[1]!Tabela1[[#This Row],[Ticket período]]</f>
        <v>10.825719557195571</v>
      </c>
      <c r="G14" s="1">
        <f>[1]!Tabela2[[#This Row],[Ticket Recomendado]]</f>
        <v>10.407333333333332</v>
      </c>
      <c r="H14" s="4">
        <f>[1]!Tabela1[[#This Row],[$ Total]]/[1]!Tabela1[[#This Row],[Ticket período]]</f>
        <v>690.99794803273608</v>
      </c>
      <c r="I14">
        <f>[1]!Tabela2[[#This Row],[Recomendações]]</f>
        <v>75</v>
      </c>
      <c r="J14" s="5">
        <f>[1]!Tabela1[[#This Row],[S$ Total]]/[1]!Tabela1[[#This Row],[Ticket período]]</f>
        <v>31.499060935247144</v>
      </c>
      <c r="K14" s="10">
        <f t="shared" si="15"/>
        <v>106.49906093524714</v>
      </c>
      <c r="L14" s="10">
        <f t="shared" si="6"/>
        <v>84.760124488695013</v>
      </c>
      <c r="M14" s="10">
        <f>Tabela1[[#This Row],[Conversões + Equiv. Prod. Line]]-Tabela1[[#This Row],[meta de conversões]]</f>
        <v>21.738936446552131</v>
      </c>
      <c r="N14" s="8">
        <f t="shared" si="16"/>
        <v>0.96135257137857888</v>
      </c>
      <c r="O14" s="11">
        <f t="shared" ref="O14" si="21">H14/E14</f>
        <v>0.71236901859044954</v>
      </c>
      <c r="P14" s="8">
        <f t="shared" si="4"/>
        <v>0.26187033278170224</v>
      </c>
      <c r="Q14" s="9">
        <f t="shared" si="13"/>
        <v>6.1727864982421207E-2</v>
      </c>
      <c r="R14" s="2">
        <f>[1]!Tabela1[[#This Row],[A$%  (total -S)]]</f>
        <v>1.2353719772254556E-2</v>
      </c>
      <c r="S14" s="2">
        <f>[1]!Tabela1[[#This Row],[B$%  (total -S)]]</f>
        <v>0.78473573264421437</v>
      </c>
      <c r="T14" s="2">
        <f>[1]!Tabela1[[#This Row],[D$% (total-S)]]</f>
        <v>2.4049134749388967E-2</v>
      </c>
      <c r="U14" s="2">
        <f>[1]!Tabela1[[#This Row],[F$%  (total -S)]]</f>
        <v>0.10919735837692855</v>
      </c>
      <c r="V14" s="2">
        <f>[1]!Tabela1[[#This Row],[K$%  (total -S)]]</f>
        <v>3.8545846727034622E-2</v>
      </c>
      <c r="W14" s="2">
        <f>[1]!Tabela1[[#This Row],[P$%  (total-S)]]</f>
        <v>3.1118207730179079E-2</v>
      </c>
      <c r="X14" s="2">
        <f>[1]!Tabela1[[#This Row],[S$%  (total -S)]]</f>
        <v>4.7762113858716593E-2</v>
      </c>
      <c r="Y14" s="2">
        <f>[1]!Tabela1[[#This Row],[$%  (Total-S)]]</f>
        <v>1.0477621138587168</v>
      </c>
    </row>
    <row r="15" spans="1:25" x14ac:dyDescent="0.25">
      <c r="A15">
        <v>2022</v>
      </c>
      <c r="B15">
        <v>40</v>
      </c>
      <c r="C15" s="3">
        <v>41.34</v>
      </c>
      <c r="D15">
        <f t="shared" ref="D15:D16" si="22">ROUNDUP(1500/C15*7,0)</f>
        <v>254</v>
      </c>
      <c r="E15" s="4">
        <f t="shared" ref="E15:E16" si="23">ROUNDUP(1500*7/F15,0)</f>
        <v>1049</v>
      </c>
      <c r="F15" s="1">
        <f>[1]!Tabela1[[#This Row],[Ticket período]]</f>
        <v>10.009850402761794</v>
      </c>
      <c r="G15" s="1">
        <f>[1]!Tabela2[[#This Row],[Ticket Recomendado]]</f>
        <v>12.336117647058822</v>
      </c>
      <c r="H15" s="4">
        <f>[1]!Tabela1[[#This Row],[$ Total]]/[1]!Tabela1[[#This Row],[Ticket período]]</f>
        <v>730.2516726906523</v>
      </c>
      <c r="I15">
        <f>[1]!Tabela2[[#This Row],[Recomendações]]</f>
        <v>85</v>
      </c>
      <c r="J15" s="5">
        <f>[1]!Tabela1[[#This Row],[S$ Total]]/[1]!Tabela1[[#This Row],[Ticket período]]</f>
        <v>41.559062649450027</v>
      </c>
      <c r="K15" s="10">
        <f t="shared" si="15"/>
        <v>126.55906264945003</v>
      </c>
      <c r="L15" s="10">
        <f t="shared" si="6"/>
        <v>79.62406774714043</v>
      </c>
      <c r="M15" s="10">
        <f>Tabela1[[#This Row],[Conversões + Equiv. Prod. Line]]-Tabela1[[#This Row],[meta de conversões]]</f>
        <v>46.934994902309597</v>
      </c>
      <c r="N15" s="8">
        <f t="shared" si="16"/>
        <v>1.2323978032334224</v>
      </c>
      <c r="O15" s="11">
        <f t="shared" ref="O15:O16" si="24">H15/E15</f>
        <v>0.69614077472893454</v>
      </c>
      <c r="P15" s="8">
        <f t="shared" ref="P15:P16" si="25">F15/C15</f>
        <v>0.24213474607551508</v>
      </c>
      <c r="Q15" s="9">
        <f t="shared" si="13"/>
        <v>5.6807295549387904E-2</v>
      </c>
      <c r="R15" s="2">
        <f>[1]!Tabela1[[#This Row],[A$%  (total -S)]]</f>
        <v>1.1372686115313817E-2</v>
      </c>
      <c r="S15" s="2">
        <f>[1]!Tabela1[[#This Row],[B$%  (total -S)]]</f>
        <v>0.74977914649731425</v>
      </c>
      <c r="T15" s="2">
        <f>[1]!Tabela1[[#This Row],[D$% (total-S)]]</f>
        <v>4.1965792004595499E-2</v>
      </c>
      <c r="U15" s="2">
        <f>[1]!Tabela1[[#This Row],[F$%  (total -S)]]</f>
        <v>0.10544539877656589</v>
      </c>
      <c r="V15" s="2">
        <f>[1]!Tabela1[[#This Row],[K$%  (total -S)]]</f>
        <v>5.7037502302823881E-2</v>
      </c>
      <c r="W15" s="2">
        <f>[1]!Tabela1[[#This Row],[P$%  (total-S)]]</f>
        <v>3.4399474303386711E-2</v>
      </c>
      <c r="X15" s="2">
        <f>[1]!Tabela1[[#This Row],[S$%  (total -S)]]</f>
        <v>6.0344865101665146E-2</v>
      </c>
      <c r="Y15" s="2">
        <f>[1]!Tabela1[[#This Row],[$%  (Total-S)]]</f>
        <v>1.0603448651016651</v>
      </c>
    </row>
    <row r="16" spans="1:25" x14ac:dyDescent="0.25">
      <c r="A16">
        <v>2022</v>
      </c>
      <c r="B16">
        <v>41</v>
      </c>
      <c r="C16" s="3">
        <v>41.34</v>
      </c>
      <c r="D16">
        <f t="shared" si="22"/>
        <v>254</v>
      </c>
      <c r="E16" s="4">
        <f t="shared" si="23"/>
        <v>1027</v>
      </c>
      <c r="F16" s="1">
        <f>[1]!Tabela1[[#This Row],[Ticket período]]</f>
        <v>10.226984978540772</v>
      </c>
      <c r="G16" s="1">
        <f>[1]!Tabela2[[#This Row],[Ticket Recomendado]]</f>
        <v>12.719036144578311</v>
      </c>
      <c r="H16" s="4">
        <f>[1]!Tabela1[[#This Row],[$ Total]]/[1]!Tabela1[[#This Row],[Ticket período]]</f>
        <v>811.412162764713</v>
      </c>
      <c r="I16">
        <f>[1]!Tabela2[[#This Row],[Recomendações]]</f>
        <v>83</v>
      </c>
      <c r="J16" s="5">
        <f>[1]!Tabela1[[#This Row],[S$ Total]]/[1]!Tabela1[[#This Row],[Ticket período]]</f>
        <v>14.862640389023822</v>
      </c>
      <c r="K16" s="10">
        <f t="shared" si="15"/>
        <v>97.862640389023824</v>
      </c>
      <c r="L16" s="10">
        <f t="shared" si="6"/>
        <v>69.353862727202397</v>
      </c>
      <c r="M16" s="10">
        <f>Tabela1[[#This Row],[Conversões + Equiv. Prod. Line]]-Tabela1[[#This Row],[meta de conversões]]</f>
        <v>28.508777661821426</v>
      </c>
      <c r="N16" s="8">
        <f t="shared" si="16"/>
        <v>1.2436740809991016</v>
      </c>
      <c r="O16" s="11">
        <f t="shared" si="24"/>
        <v>0.79008000269202827</v>
      </c>
      <c r="P16" s="8">
        <f t="shared" si="25"/>
        <v>0.24738715477844148</v>
      </c>
      <c r="Q16" s="9">
        <f t="shared" si="13"/>
        <v>0.11114043707016846</v>
      </c>
      <c r="R16" s="2">
        <f>[1]!Tabela1[[#This Row],[A$%  (total -S)]]</f>
        <v>2.1654002430551295E-2</v>
      </c>
      <c r="S16" s="2">
        <f>[1]!Tabela1[[#This Row],[B$%  (total -S)]]</f>
        <v>0.73970268710948539</v>
      </c>
      <c r="T16" s="2">
        <f>[1]!Tabela1[[#This Row],[D$% (total-S)]]</f>
        <v>3.476302124891055E-2</v>
      </c>
      <c r="U16" s="2">
        <f>[1]!Tabela1[[#This Row],[F$%  (total -S)]]</f>
        <v>0.10198249512048416</v>
      </c>
      <c r="V16" s="2">
        <f>[1]!Tabela1[[#This Row],[K$%  (total -S)]]</f>
        <v>4.5591250015344399E-2</v>
      </c>
      <c r="W16" s="2">
        <f>[1]!Tabela1[[#This Row],[P$%  (total-S)]]</f>
        <v>5.6306544075224348E-2</v>
      </c>
      <c r="X16" s="2">
        <f>[1]!Tabela1[[#This Row],[S$%  (total -S)]]</f>
        <v>1.865877760455667E-2</v>
      </c>
      <c r="Y16" s="2">
        <f>[1]!Tabela1[[#This Row],[$%  (Total-S)]]</f>
        <v>1.0186587776045566</v>
      </c>
    </row>
    <row r="17" spans="1:25" x14ac:dyDescent="0.25">
      <c r="A17">
        <v>2022</v>
      </c>
      <c r="B17">
        <v>42</v>
      </c>
      <c r="C17" s="3">
        <v>40.58</v>
      </c>
      <c r="D17">
        <f t="shared" ref="D17:D22" si="26">ROUNDUP(1500/C17*7,0)</f>
        <v>259</v>
      </c>
      <c r="E17" s="4">
        <f t="shared" ref="E17:E22" si="27">ROUNDUP(1500*7/F17,0)</f>
        <v>1083</v>
      </c>
      <c r="F17" s="1">
        <f>[1]!Tabela1[[#This Row],[Ticket período]]</f>
        <v>9.6995438996579253</v>
      </c>
      <c r="G17" s="1">
        <f>[1]!Tabela2[[#This Row],[Ticket Recomendado]]</f>
        <v>12.701891891891892</v>
      </c>
      <c r="H17" s="4">
        <f>[1]!Tabela1[[#This Row],[$ Total]]/[1]!Tabela1[[#This Row],[Ticket período]]</f>
        <v>827.27910538999583</v>
      </c>
      <c r="I17">
        <f>[1]!Tabela2[[#This Row],[Recomendações]]</f>
        <v>74</v>
      </c>
      <c r="J17" s="5">
        <f>[1]!Tabela1[[#This Row],[S$ Total]]/[1]!Tabela1[[#This Row],[Ticket período]]</f>
        <v>4.7424910362663839</v>
      </c>
      <c r="K17" s="10">
        <f t="shared" si="15"/>
        <v>78.742491036266387</v>
      </c>
      <c r="L17" s="10">
        <f t="shared" si="6"/>
        <v>67.423053893711071</v>
      </c>
      <c r="M17" s="10">
        <f>Tabela1[[#This Row],[Conversões + Equiv. Prod. Line]]-Tabela1[[#This Row],[meta de conversões]]</f>
        <v>11.319437142555316</v>
      </c>
      <c r="N17" s="8">
        <f t="shared" si="16"/>
        <v>1.3095349661069993</v>
      </c>
      <c r="O17" s="11">
        <f t="shared" ref="O17:O22" si="28">H17/E17</f>
        <v>0.76387729029547169</v>
      </c>
      <c r="P17" s="8">
        <f t="shared" ref="P17:P22" si="29">F17/C17</f>
        <v>0.23902276736466058</v>
      </c>
      <c r="Q17" s="9">
        <f t="shared" si="13"/>
        <v>1.9554726134766855E-2</v>
      </c>
      <c r="R17" s="2">
        <f>[1]!Tabela1[[#This Row],[A$%  (total -S)]]</f>
        <v>3.070856568436859E-2</v>
      </c>
      <c r="S17" s="2">
        <f>[1]!Tabela1[[#This Row],[B$%  (total -S)]]</f>
        <v>0.74673204457630327</v>
      </c>
      <c r="T17" s="2">
        <f>[1]!Tabela1[[#This Row],[D$% (total-S)]]</f>
        <v>3.1347805214941162E-2</v>
      </c>
      <c r="U17" s="2">
        <f>[1]!Tabela1[[#This Row],[F$%  (total -S)]]</f>
        <v>0.10516242324425341</v>
      </c>
      <c r="V17" s="2">
        <f>[1]!Tabela1[[#This Row],[K$%  (total -S)]]</f>
        <v>3.3217894194576991E-2</v>
      </c>
      <c r="W17" s="2">
        <f>[1]!Tabela1[[#This Row],[P$%  (total-S)]]</f>
        <v>5.2831267085556577E-2</v>
      </c>
      <c r="X17" s="2">
        <f>[1]!Tabela1[[#This Row],[S$%  (total -S)]]</f>
        <v>5.7656898835957348E-3</v>
      </c>
      <c r="Y17" s="2">
        <f>[1]!Tabela1[[#This Row],[$%  (Total-S)]]</f>
        <v>1.0057656898835958</v>
      </c>
    </row>
    <row r="18" spans="1:25" x14ac:dyDescent="0.25">
      <c r="A18">
        <v>2022</v>
      </c>
      <c r="B18">
        <v>43</v>
      </c>
      <c r="C18" s="3">
        <v>40.58</v>
      </c>
      <c r="D18">
        <f t="shared" si="26"/>
        <v>259</v>
      </c>
      <c r="E18" s="4">
        <f t="shared" si="27"/>
        <v>1044</v>
      </c>
      <c r="F18" s="1">
        <f>[1]!Tabela1[[#This Row],[Ticket período]]</f>
        <v>10.061565656565655</v>
      </c>
      <c r="G18" s="1">
        <f>[1]!Tabela2[[#This Row],[Ticket Recomendado]]</f>
        <v>13.471848739495798</v>
      </c>
      <c r="H18" s="4">
        <f>[1]!Tabela1[[#This Row],[$ Total]]/[1]!Tabela1[[#This Row],[Ticket período]]</f>
        <v>896.78190333251371</v>
      </c>
      <c r="I18">
        <f>[1]!Tabela2[[#This Row],[Recomendações]]</f>
        <v>119</v>
      </c>
      <c r="J18" s="5">
        <f>[1]!Tabela1[[#This Row],[S$ Total]]/[1]!Tabela1[[#This Row],[Ticket período]]</f>
        <v>3.478583870012399</v>
      </c>
      <c r="K18" s="10">
        <f t="shared" ref="K18:K23" si="30">J18+I18</f>
        <v>122.4785838700124</v>
      </c>
      <c r="L18" s="10">
        <f t="shared" si="6"/>
        <v>59.332022840137945</v>
      </c>
      <c r="M18" s="10">
        <f>Tabela1[[#This Row],[Conversões + Equiv. Prod. Line]]-Tabela1[[#This Row],[meta de conversões]]</f>
        <v>63.146561029874455</v>
      </c>
      <c r="N18" s="8">
        <f t="shared" ref="N18:N23" si="31">G18/F18</f>
        <v>1.3389415921273413</v>
      </c>
      <c r="O18" s="11">
        <f t="shared" si="28"/>
        <v>0.85898649744493649</v>
      </c>
      <c r="P18" s="8">
        <f t="shared" si="29"/>
        <v>0.24794395407998165</v>
      </c>
      <c r="Q18" s="9">
        <f t="shared" ref="Q18:Q23" si="32">(H18-H17)/H17</f>
        <v>8.401372340928745E-2</v>
      </c>
      <c r="R18" s="2">
        <f>[1]!Tabela1[[#This Row],[A$%  (total -S)]]</f>
        <v>1.5298124283074265E-2</v>
      </c>
      <c r="S18" s="2">
        <f>[1]!Tabela1[[#This Row],[B$%  (total -S)]]</f>
        <v>0.71909862339133268</v>
      </c>
      <c r="T18" s="2">
        <f>[1]!Tabela1[[#This Row],[D$% (total-S)]]</f>
        <v>4.3069504663424574E-2</v>
      </c>
      <c r="U18" s="2">
        <f>[1]!Tabela1[[#This Row],[F$%  (total -S)]]</f>
        <v>0.13279439432222631</v>
      </c>
      <c r="V18" s="2">
        <f>[1]!Tabela1[[#This Row],[K$%  (total -S)]]</f>
        <v>3.7199475302151862E-2</v>
      </c>
      <c r="W18" s="2">
        <f>[1]!Tabela1[[#This Row],[P$%  (total-S)]]</f>
        <v>5.2539878037790262E-2</v>
      </c>
      <c r="X18" s="2">
        <f>[1]!Tabela1[[#This Row],[S$%  (total -S)]]</f>
        <v>3.8940679993279947E-3</v>
      </c>
      <c r="Y18" s="2">
        <f>[1]!Tabela1[[#This Row],[$%  (Total-S)]]</f>
        <v>1.0038940679993278</v>
      </c>
    </row>
    <row r="19" spans="1:25" x14ac:dyDescent="0.25">
      <c r="A19">
        <v>2022</v>
      </c>
      <c r="B19">
        <v>44</v>
      </c>
      <c r="C19" s="3">
        <v>40.58</v>
      </c>
      <c r="D19">
        <f t="shared" si="26"/>
        <v>259</v>
      </c>
      <c r="E19" s="4">
        <f t="shared" si="27"/>
        <v>1034</v>
      </c>
      <c r="F19" s="1">
        <f>[1]!Tabela1[[#This Row],[Ticket período]]</f>
        <v>10.159293413173653</v>
      </c>
      <c r="G19" s="1">
        <f>[1]!Tabela2[[#This Row],[Ticket Recomendado]]</f>
        <v>12.774999999999999</v>
      </c>
      <c r="H19" s="4">
        <f>[1]!Tabela1[[#This Row],[$ Total]]/[1]!Tabela1[[#This Row],[Ticket período]]</f>
        <v>752.16648335909065</v>
      </c>
      <c r="I19">
        <f>[1]!Tabela2[[#This Row],[Recomendações]]</f>
        <v>70</v>
      </c>
      <c r="J19" s="5">
        <f>[1]!Tabela1[[#This Row],[S$ Total]]/[1]!Tabela1[[#This Row],[Ticket período]]</f>
        <v>18.800520098408466</v>
      </c>
      <c r="K19" s="10">
        <f t="shared" si="30"/>
        <v>88.800520098408469</v>
      </c>
      <c r="L19" s="10">
        <f t="shared" si="6"/>
        <v>76.795068728768186</v>
      </c>
      <c r="M19" s="10">
        <f>Tabela1[[#This Row],[Conversões + Equiv. Prod. Line]]-Tabela1[[#This Row],[meta de conversões]]</f>
        <v>12.005451369640284</v>
      </c>
      <c r="N19" s="8">
        <f t="shared" si="31"/>
        <v>1.257469341660566</v>
      </c>
      <c r="O19" s="11">
        <f t="shared" si="28"/>
        <v>0.72743373632407216</v>
      </c>
      <c r="P19" s="8">
        <f t="shared" si="29"/>
        <v>0.25035222802300772</v>
      </c>
      <c r="Q19" s="9">
        <f t="shared" si="32"/>
        <v>-0.16126041285625917</v>
      </c>
      <c r="R19" s="2">
        <f>[1]!Tabela1[[#This Row],[A$%  (total -S)]]</f>
        <v>1.3421954021754303E-2</v>
      </c>
      <c r="S19" s="2">
        <f>[1]!Tabela1[[#This Row],[B$%  (total -S)]]</f>
        <v>0.76983362145794632</v>
      </c>
      <c r="T19" s="2">
        <f>[1]!Tabela1[[#This Row],[D$% (total-S)]]</f>
        <v>2.253546080252548E-2</v>
      </c>
      <c r="U19" s="2">
        <f>[1]!Tabela1[[#This Row],[F$%  (total -S)]]</f>
        <v>0.12261491877033427</v>
      </c>
      <c r="V19" s="2">
        <f>[1]!Tabela1[[#This Row],[K$%  (total -S)]]</f>
        <v>1.8781340262640799E-2</v>
      </c>
      <c r="W19" s="2">
        <f>[1]!Tabela1[[#This Row],[P$%  (total-S)]]</f>
        <v>5.2812704684798845E-2</v>
      </c>
      <c r="X19" s="2">
        <f>[1]!Tabela1[[#This Row],[S$%  (total -S)]]</f>
        <v>2.5635932181550719E-2</v>
      </c>
      <c r="Y19" s="2">
        <f>[1]!Tabela1[[#This Row],[$%  (Total-S)]]</f>
        <v>1.0256359321815507</v>
      </c>
    </row>
    <row r="20" spans="1:25" x14ac:dyDescent="0.25">
      <c r="A20">
        <v>2022</v>
      </c>
      <c r="B20">
        <v>45</v>
      </c>
      <c r="C20" s="3">
        <v>40.58</v>
      </c>
      <c r="D20">
        <f t="shared" si="26"/>
        <v>259</v>
      </c>
      <c r="E20" s="4">
        <f t="shared" si="27"/>
        <v>1016</v>
      </c>
      <c r="F20" s="1">
        <f>[1]!Tabela1[[#This Row],[Ticket período]]</f>
        <v>10.335182389937106</v>
      </c>
      <c r="G20" s="1">
        <f>[1]!Tabela2[[#This Row],[Ticket Recomendado]]</f>
        <v>11.37269230769231</v>
      </c>
      <c r="H20" s="4">
        <f>[1]!Tabela1[[#This Row],[$ Total]]/[1]!Tabela1[[#This Row],[Ticket período]]</f>
        <v>695.02692153686439</v>
      </c>
      <c r="I20">
        <f>[1]!Tabela2[[#This Row],[Recomendações]]</f>
        <v>52</v>
      </c>
      <c r="J20" s="5">
        <f>[1]!Tabela1[[#This Row],[S$ Total]]/[1]!Tabela1[[#This Row],[Ticket período]]</f>
        <v>6.2891971856527196</v>
      </c>
      <c r="K20" s="10">
        <f t="shared" si="30"/>
        <v>58.289197185652718</v>
      </c>
      <c r="L20" s="10">
        <f t="shared" si="6"/>
        <v>84.230072093892957</v>
      </c>
      <c r="M20" s="10">
        <f>Tabela1[[#This Row],[Conversões + Equiv. Prod. Line]]-Tabela1[[#This Row],[meta de conversões]]</f>
        <v>-25.940874908240239</v>
      </c>
      <c r="N20" s="8">
        <f t="shared" si="31"/>
        <v>1.1003862223820433</v>
      </c>
      <c r="O20" s="11">
        <f t="shared" si="28"/>
        <v>0.6840816156858901</v>
      </c>
      <c r="P20" s="8">
        <f t="shared" si="29"/>
        <v>0.25468660399056448</v>
      </c>
      <c r="Q20" s="9">
        <f t="shared" si="32"/>
        <v>-7.5966641809200833E-2</v>
      </c>
      <c r="R20" s="2">
        <f>[1]!Tabela1[[#This Row],[A$%  (total -S)]]</f>
        <v>2.3755905611366871E-2</v>
      </c>
      <c r="S20" s="2">
        <f>[1]!Tabela1[[#This Row],[B$%  (total -S)]]</f>
        <v>0.77917965561663494</v>
      </c>
      <c r="T20" s="2">
        <f>[1]!Tabela1[[#This Row],[D$% (total-S)]]</f>
        <v>2.2748632735946999E-2</v>
      </c>
      <c r="U20" s="2">
        <f>[1]!Tabela1[[#This Row],[F$%  (total -S)]]</f>
        <v>0.10641128482782938</v>
      </c>
      <c r="V20" s="2">
        <f>[1]!Tabela1[[#This Row],[K$%  (total -S)]]</f>
        <v>2.0248011092645221E-2</v>
      </c>
      <c r="W20" s="2">
        <f>[1]!Tabela1[[#This Row],[P$%  (total-S)]]</f>
        <v>4.7656510115576471E-2</v>
      </c>
      <c r="X20" s="2">
        <f>[1]!Tabela1[[#This Row],[S$%  (total -S)]]</f>
        <v>9.1314835289109803E-3</v>
      </c>
      <c r="Y20" s="2">
        <f>[1]!Tabela1[[#This Row],[$%  (Total-S)]]</f>
        <v>1.0091314835289107</v>
      </c>
    </row>
    <row r="21" spans="1:25" x14ac:dyDescent="0.25">
      <c r="A21">
        <v>2022</v>
      </c>
      <c r="B21">
        <v>46</v>
      </c>
      <c r="C21" s="3">
        <v>40.58</v>
      </c>
      <c r="D21">
        <f t="shared" si="26"/>
        <v>259</v>
      </c>
      <c r="E21" s="4">
        <f t="shared" si="27"/>
        <v>1001</v>
      </c>
      <c r="F21" s="1">
        <f>[1]!Tabela1[[#This Row],[Ticket período]]</f>
        <v>10.498821081830791</v>
      </c>
      <c r="G21" s="1">
        <f>[1]!Tabela2[[#This Row],[Ticket Recomendado]]</f>
        <v>13.873571428571429</v>
      </c>
      <c r="H21" s="4">
        <f>[1]!Tabela1[[#This Row],[$ Total]]/[1]!Tabela1[[#This Row],[Ticket período]]</f>
        <v>685.35218801397684</v>
      </c>
      <c r="I21">
        <f>[1]!Tabela2[[#This Row],[Recomendações]]</f>
        <v>56</v>
      </c>
      <c r="J21" s="5">
        <f>[1]!Tabela1[[#This Row],[S$ Total]]/[1]!Tabela1[[#This Row],[Ticket período]]</f>
        <v>52.053463502275534</v>
      </c>
      <c r="K21" s="10">
        <f t="shared" si="30"/>
        <v>108.05346350227553</v>
      </c>
      <c r="L21" s="10">
        <f t="shared" si="6"/>
        <v>85.50359973291765</v>
      </c>
      <c r="M21" s="10">
        <f>Tabela1[[#This Row],[Conversões + Equiv. Prod. Line]]-Tabela1[[#This Row],[meta de conversões]]</f>
        <v>22.549863769357884</v>
      </c>
      <c r="N21" s="8">
        <f t="shared" si="31"/>
        <v>1.3214408856420046</v>
      </c>
      <c r="O21" s="11">
        <f t="shared" si="28"/>
        <v>0.68466752049348334</v>
      </c>
      <c r="P21" s="8">
        <f t="shared" si="29"/>
        <v>0.25871910009440097</v>
      </c>
      <c r="Q21" s="9">
        <f t="shared" si="32"/>
        <v>-1.3919940685886653E-2</v>
      </c>
      <c r="R21" s="2">
        <f>[1]!Tabela1[[#This Row],[A$%  (total -S)]]</f>
        <v>1.2032083550788178E-2</v>
      </c>
      <c r="S21" s="2">
        <f>[1]!Tabela1[[#This Row],[B$%  (total -S)]]</f>
        <v>0.77662286486917365</v>
      </c>
      <c r="T21" s="2">
        <f>[1]!Tabela1[[#This Row],[D$% (total-S)]]</f>
        <v>2.0710223811794149E-2</v>
      </c>
      <c r="U21" s="2">
        <f>[1]!Tabela1[[#This Row],[F$%  (total -S)]]</f>
        <v>0.12302805430680912</v>
      </c>
      <c r="V21" s="2">
        <f>[1]!Tabela1[[#This Row],[K$%  (total -S)]]</f>
        <v>2.321891323213349E-2</v>
      </c>
      <c r="W21" s="2">
        <f>[1]!Tabela1[[#This Row],[P$%  (total-S)]]</f>
        <v>4.4387860229301447E-2</v>
      </c>
      <c r="X21" s="2">
        <f>[1]!Tabela1[[#This Row],[S$%  (total -S)]]</f>
        <v>8.2194170756321738E-2</v>
      </c>
      <c r="Y21" s="2">
        <f>[1]!Tabela1[[#This Row],[$%  (Total-S)]]</f>
        <v>1.0821941707563218</v>
      </c>
    </row>
    <row r="22" spans="1:25" x14ac:dyDescent="0.25">
      <c r="A22">
        <v>2022</v>
      </c>
      <c r="B22">
        <v>47</v>
      </c>
      <c r="C22" s="3">
        <v>40.58</v>
      </c>
      <c r="D22">
        <f t="shared" si="26"/>
        <v>259</v>
      </c>
      <c r="E22" s="4">
        <f t="shared" si="27"/>
        <v>1007</v>
      </c>
      <c r="F22" s="1">
        <f>[1]!Tabela1[[#This Row],[Ticket período]]</f>
        <v>10.428664921465968</v>
      </c>
      <c r="G22" s="1">
        <f>[1]!Tabela2[[#This Row],[Ticket Recomendado]]</f>
        <v>13.749864864864865</v>
      </c>
      <c r="H22" s="4">
        <f>[1]!Tabela1[[#This Row],[$ Total]]/[1]!Tabela1[[#This Row],[Ticket período]]</f>
        <v>673.73820646375907</v>
      </c>
      <c r="I22">
        <f>[1]!Tabela2[[#This Row],[Recomendações]]</f>
        <v>74</v>
      </c>
      <c r="J22" s="5">
        <f>[1]!Tabela1[[#This Row],[S$ Total]]/[1]!Tabela1[[#This Row],[Ticket período]]</f>
        <v>4.027361154690932</v>
      </c>
      <c r="K22" s="10">
        <f t="shared" si="30"/>
        <v>78.027361154690936</v>
      </c>
      <c r="L22" s="10">
        <f t="shared" si="6"/>
        <v>87.034900237825852</v>
      </c>
      <c r="M22" s="10">
        <f>Tabela1[[#This Row],[Conversões + Equiv. Prod. Line]]-Tabela1[[#This Row],[meta de conversões]]</f>
        <v>-9.0075390831349154</v>
      </c>
      <c r="N22" s="8">
        <f t="shared" si="31"/>
        <v>1.3184683723572961</v>
      </c>
      <c r="O22" s="11">
        <f t="shared" si="28"/>
        <v>0.6690548227048253</v>
      </c>
      <c r="P22" s="8">
        <f t="shared" si="29"/>
        <v>0.25699026420566706</v>
      </c>
      <c r="Q22" s="9">
        <f t="shared" si="32"/>
        <v>-1.6946004920292048E-2</v>
      </c>
      <c r="R22" s="2">
        <f>[1]!Tabela1[[#This Row],[A$%  (total -S)]]</f>
        <v>1.5749857893327644E-2</v>
      </c>
      <c r="S22" s="2">
        <f>[1]!Tabela1[[#This Row],[B$%  (total -S)]]</f>
        <v>0.76512666465259405</v>
      </c>
      <c r="T22" s="2">
        <f>[1]!Tabela1[[#This Row],[D$% (total-S)]]</f>
        <v>3.0746586218301616E-2</v>
      </c>
      <c r="U22" s="2">
        <f>[1]!Tabela1[[#This Row],[F$%  (total -S)]]</f>
        <v>0.10184001294351956</v>
      </c>
      <c r="V22" s="2">
        <f>[1]!Tabela1[[#This Row],[K$%  (total -S)]]</f>
        <v>4.1263195875255385E-2</v>
      </c>
      <c r="W22" s="2">
        <f>[1]!Tabela1[[#This Row],[P$%  (total-S)]]</f>
        <v>4.5273682417001838E-2</v>
      </c>
      <c r="X22" s="2">
        <f>[1]!Tabela1[[#This Row],[S$%  (total -S)]]</f>
        <v>6.0135821047251001E-3</v>
      </c>
      <c r="Y22" s="2">
        <f>[1]!Tabela1[[#This Row],[$%  (Total-S)]]</f>
        <v>1.0060135821047251</v>
      </c>
    </row>
    <row r="23" spans="1:25" x14ac:dyDescent="0.25">
      <c r="A23">
        <v>2022</v>
      </c>
      <c r="B23">
        <v>48</v>
      </c>
      <c r="C23" s="3">
        <v>40.58</v>
      </c>
      <c r="D23">
        <f t="shared" ref="D23:D28" si="33">ROUNDUP(1500/C23*7,0)</f>
        <v>259</v>
      </c>
      <c r="E23" s="4">
        <f t="shared" ref="E23:E28" si="34">ROUNDUP(1500*7/F23,0)</f>
        <v>1061</v>
      </c>
      <c r="F23" s="1">
        <f>[1]!Tabela1[[#This Row],[Ticket período]]</f>
        <v>9.9048575498575513</v>
      </c>
      <c r="G23" s="1">
        <f>[1]!Tabela2[[#This Row],[Ticket Recomendado]]</f>
        <v>14.991044776119404</v>
      </c>
      <c r="H23" s="4">
        <f>[1]!Tabela1[[#This Row],[$ Total]]/[1]!Tabela1[[#This Row],[Ticket período]]</f>
        <v>712.40297646698423</v>
      </c>
      <c r="I23">
        <f>[1]!Tabela2[[#This Row],[Recomendações]]</f>
        <v>67</v>
      </c>
      <c r="J23" s="5">
        <f>[1]!Tabela1[[#This Row],[S$ Total]]/[1]!Tabela1[[#This Row],[Ticket período]]</f>
        <v>25.228025616945263</v>
      </c>
      <c r="K23" s="10">
        <f t="shared" si="30"/>
        <v>92.22802561694526</v>
      </c>
      <c r="L23" s="10">
        <f t="shared" si="6"/>
        <v>81.950629945155939</v>
      </c>
      <c r="M23" s="10">
        <f>Tabela1[[#This Row],[Conversões + Equiv. Prod. Line]]-Tabela1[[#This Row],[meta de conversões]]</f>
        <v>10.277395671789321</v>
      </c>
      <c r="N23" s="8">
        <f t="shared" si="31"/>
        <v>1.5135043286245951</v>
      </c>
      <c r="O23" s="11">
        <f t="shared" ref="O23:O28" si="35">H23/E23</f>
        <v>0.67144484115644132</v>
      </c>
      <c r="P23" s="8">
        <f t="shared" ref="P23:P28" si="36">F23/C23</f>
        <v>0.24408224617687413</v>
      </c>
      <c r="Q23" s="9">
        <f t="shared" si="32"/>
        <v>5.7388418279207334E-2</v>
      </c>
      <c r="R23" s="2">
        <f>[1]!Tabela1[[#This Row],[A$%  (total -S)]]</f>
        <v>1.7630543152958186E-2</v>
      </c>
      <c r="S23" s="2">
        <f>[1]!Tabela1[[#This Row],[B$%  (total -S)]]</f>
        <v>0.67063941572379993</v>
      </c>
      <c r="T23" s="2">
        <f>[1]!Tabela1[[#This Row],[D$% (total-S)]]</f>
        <v>0.17067688062799993</v>
      </c>
      <c r="U23" s="2">
        <f>[1]!Tabela1[[#This Row],[F$%  (total -S)]]</f>
        <v>9.1902144608653397E-2</v>
      </c>
      <c r="V23" s="2">
        <f>[1]!Tabela1[[#This Row],[K$%  (total -S)]]</f>
        <v>1.418377196655486E-2</v>
      </c>
      <c r="W23" s="2">
        <f>[1]!Tabela1[[#This Row],[P$%  (total-S)]]</f>
        <v>3.4967243920033739E-2</v>
      </c>
      <c r="X23" s="2">
        <f>[1]!Tabela1[[#This Row],[S$%  (total -S)]]</f>
        <v>3.6712667692176591E-2</v>
      </c>
      <c r="Y23" s="2">
        <f>[1]!Tabela1[[#This Row],[$%  (Total-S)]]</f>
        <v>1.0367126676921765</v>
      </c>
    </row>
    <row r="24" spans="1:25" x14ac:dyDescent="0.25">
      <c r="A24">
        <v>2022</v>
      </c>
      <c r="B24">
        <v>49</v>
      </c>
      <c r="C24" s="3">
        <v>40.58</v>
      </c>
      <c r="D24">
        <f t="shared" si="33"/>
        <v>259</v>
      </c>
      <c r="E24" s="4">
        <f t="shared" si="34"/>
        <v>1063</v>
      </c>
      <c r="F24" s="1">
        <f>[1]!Tabela1[[#This Row],[Ticket período]]</f>
        <v>9.8796805555555558</v>
      </c>
      <c r="G24" s="1">
        <f>[1]!Tabela2[[#This Row],[Ticket Recomendado]]</f>
        <v>14.623928571428573</v>
      </c>
      <c r="H24" s="4">
        <f>[1]!Tabela1[[#This Row],[$ Total]]/[1]!Tabela1[[#This Row],[Ticket período]]</f>
        <v>755.48191644747851</v>
      </c>
      <c r="I24">
        <f>[1]!Tabela2[[#This Row],[Recomendações]]</f>
        <v>84</v>
      </c>
      <c r="J24" s="5">
        <f>[1]!Tabela1[[#This Row],[S$ Total]]/[1]!Tabela1[[#This Row],[Ticket período]]</f>
        <v>48.177671061676811</v>
      </c>
      <c r="K24" s="10">
        <f t="shared" ref="K24:K30" si="37">J24+I24</f>
        <v>132.17767106167682</v>
      </c>
      <c r="L24" s="10">
        <f t="shared" si="6"/>
        <v>76.370178654511633</v>
      </c>
      <c r="M24" s="10">
        <f>Tabela1[[#This Row],[Conversões + Equiv. Prod. Line]]-Tabela1[[#This Row],[meta de conversões]]</f>
        <v>55.807492407165185</v>
      </c>
      <c r="N24" s="8">
        <f t="shared" ref="N24:N30" si="38">G24/F24</f>
        <v>1.4802025722587988</v>
      </c>
      <c r="O24" s="11">
        <f t="shared" si="35"/>
        <v>0.71070735319612277</v>
      </c>
      <c r="P24" s="8">
        <f t="shared" si="36"/>
        <v>0.24346181753463667</v>
      </c>
      <c r="Q24" s="9">
        <f t="shared" ref="Q24:Q30" si="39">(H24-H23)/H23</f>
        <v>6.0469904539331674E-2</v>
      </c>
      <c r="R24" s="2">
        <f>[1]!Tabela1[[#This Row],[A$%  (total -S)]]</f>
        <v>1.8603479709327783E-2</v>
      </c>
      <c r="S24" s="2">
        <f>[1]!Tabela1[[#This Row],[B$%  (total -S)]]</f>
        <v>0.63572097070095057</v>
      </c>
      <c r="T24" s="2">
        <f>[1]!Tabela1[[#This Row],[D$% (total-S)]]</f>
        <v>0.13858733761308767</v>
      </c>
      <c r="U24" s="2">
        <f>[1]!Tabela1[[#This Row],[F$%  (total -S)]]</f>
        <v>0.12055197955334473</v>
      </c>
      <c r="V24" s="2">
        <f>[1]!Tabela1[[#This Row],[K$%  (total -S)]]</f>
        <v>4.7181286616656694E-2</v>
      </c>
      <c r="W24" s="2">
        <f>[1]!Tabela1[[#This Row],[P$%  (total-S)]]</f>
        <v>3.9354945806632569E-2</v>
      </c>
      <c r="X24" s="2">
        <f>[1]!Tabela1[[#This Row],[S$%  (total -S)]]</f>
        <v>6.8114494400352596E-2</v>
      </c>
      <c r="Y24" s="2">
        <f>[1]!Tabela1[[#This Row],[$%  (Total-S)]]</f>
        <v>1.0681144944003527</v>
      </c>
    </row>
    <row r="25" spans="1:25" x14ac:dyDescent="0.25">
      <c r="A25">
        <v>2022</v>
      </c>
      <c r="B25">
        <v>50</v>
      </c>
      <c r="C25" s="3">
        <v>40.58</v>
      </c>
      <c r="D25">
        <f t="shared" si="33"/>
        <v>259</v>
      </c>
      <c r="E25" s="4">
        <f t="shared" si="34"/>
        <v>1069</v>
      </c>
      <c r="F25" s="1">
        <f>[1]!Tabela1[[#This Row],[Ticket período]]</f>
        <v>9.8307116564417178</v>
      </c>
      <c r="G25" s="1">
        <f>[1]!Tabela2[[#This Row],[Ticket Recomendado]]</f>
        <v>13.701739130434783</v>
      </c>
      <c r="H25" s="4">
        <f>[1]!Tabela1[[#This Row],[$ Total]]/[1]!Tabela1[[#This Row],[Ticket período]]</f>
        <v>844.20744804999481</v>
      </c>
      <c r="I25">
        <f>[1]!Tabela2[[#This Row],[Recomendações]]</f>
        <v>69</v>
      </c>
      <c r="J25" s="5">
        <f>[1]!Tabela1[[#This Row],[S$ Total]]/[1]!Tabela1[[#This Row],[Ticket período]]</f>
        <v>15.156583287880849</v>
      </c>
      <c r="K25" s="10">
        <f t="shared" si="37"/>
        <v>84.156583287880849</v>
      </c>
      <c r="L25" s="10">
        <f t="shared" si="6"/>
        <v>65.395804418850688</v>
      </c>
      <c r="M25" s="10">
        <f>Tabela1[[#This Row],[Conversões + Equiv. Prod. Line]]-Tabela1[[#This Row],[meta de conversões]]</f>
        <v>18.760778869030162</v>
      </c>
      <c r="N25" s="8">
        <f t="shared" si="38"/>
        <v>1.3937687940889323</v>
      </c>
      <c r="O25" s="11">
        <f t="shared" si="35"/>
        <v>0.78971697666042551</v>
      </c>
      <c r="P25" s="8">
        <f t="shared" si="36"/>
        <v>0.24225509256879543</v>
      </c>
      <c r="Q25" s="9">
        <f t="shared" si="39"/>
        <v>0.11744229699068455</v>
      </c>
      <c r="R25" s="2">
        <f>[1]!Tabela1[[#This Row],[A$%  (total -S)]]</f>
        <v>1.4539591860773284E-2</v>
      </c>
      <c r="S25" s="2">
        <f>[1]!Tabela1[[#This Row],[B$%  (total -S)]]</f>
        <v>0.64246468780980992</v>
      </c>
      <c r="T25" s="2">
        <f>[1]!Tabela1[[#This Row],[D$% (total-S)]]</f>
        <v>0.15641656114726579</v>
      </c>
      <c r="U25" s="2">
        <f>[1]!Tabela1[[#This Row],[F$%  (total -S)]]</f>
        <v>0.11692163098638554</v>
      </c>
      <c r="V25" s="2">
        <f>[1]!Tabela1[[#This Row],[K$%  (total -S)]]</f>
        <v>3.3593205532161323E-2</v>
      </c>
      <c r="W25" s="2">
        <f>[1]!Tabela1[[#This Row],[P$%  (total-S)]]</f>
        <v>3.6064322663604154E-2</v>
      </c>
      <c r="X25" s="2">
        <f>[1]!Tabela1[[#This Row],[S$%  (total -S)]]</f>
        <v>1.8281849681478644E-2</v>
      </c>
      <c r="Y25" s="2">
        <f>[1]!Tabela1[[#This Row],[$%  (Total-S)]]</f>
        <v>1.0182818496814785</v>
      </c>
    </row>
    <row r="26" spans="1:25" x14ac:dyDescent="0.25">
      <c r="A26">
        <v>2022</v>
      </c>
      <c r="B26">
        <v>51</v>
      </c>
      <c r="C26" s="3">
        <v>40.58</v>
      </c>
      <c r="D26">
        <f t="shared" si="33"/>
        <v>259</v>
      </c>
      <c r="E26" s="4">
        <f t="shared" si="34"/>
        <v>1081</v>
      </c>
      <c r="F26" s="1">
        <f>[1]!Tabela1[[#This Row],[Ticket período]]</f>
        <v>9.713912087912087</v>
      </c>
      <c r="G26" s="1">
        <f>[1]!Tabela2[[#This Row],[Ticket Recomendado]]</f>
        <v>15.005098039215687</v>
      </c>
      <c r="H26" s="4">
        <f>[1]!Tabela1[[#This Row],[$ Total]]/[1]!Tabela1[[#This Row],[Ticket período]]</f>
        <v>932.14246928049272</v>
      </c>
      <c r="I26">
        <f>[1]!Tabela2[[#This Row],[Recomendações]]</f>
        <v>51</v>
      </c>
      <c r="J26" s="5">
        <f>[1]!Tabela1[[#This Row],[S$ Total]]/[1]!Tabela1[[#This Row],[Ticket período]]</f>
        <v>18.478651893851122</v>
      </c>
      <c r="K26" s="10">
        <f t="shared" si="37"/>
        <v>69.478651893851122</v>
      </c>
      <c r="L26" s="10">
        <f t="shared" si="6"/>
        <v>55.464348845917399</v>
      </c>
      <c r="M26" s="10">
        <f>Tabela1[[#This Row],[Conversões + Equiv. Prod. Line]]-Tabela1[[#This Row],[meta de conversões]]</f>
        <v>14.014303047933723</v>
      </c>
      <c r="N26" s="8">
        <f t="shared" si="38"/>
        <v>1.5447018568232576</v>
      </c>
      <c r="O26" s="11">
        <f t="shared" si="35"/>
        <v>0.86229645631867968</v>
      </c>
      <c r="P26" s="8">
        <f t="shared" si="36"/>
        <v>0.23937683804613324</v>
      </c>
      <c r="Q26" s="9">
        <f t="shared" si="39"/>
        <v>0.10416281144358053</v>
      </c>
      <c r="R26" s="2">
        <f>[1]!Tabela1[[#This Row],[A$%  (total -S)]]</f>
        <v>2.1407847666262921E-2</v>
      </c>
      <c r="S26" s="2">
        <f>[1]!Tabela1[[#This Row],[B$%  (total -S)]]</f>
        <v>0.65516576997831044</v>
      </c>
      <c r="T26" s="2">
        <f>[1]!Tabela1[[#This Row],[D$% (total-S)]]</f>
        <v>0.12654404101292921</v>
      </c>
      <c r="U26" s="2">
        <f>[1]!Tabela1[[#This Row],[F$%  (total -S)]]</f>
        <v>0.13958254697050787</v>
      </c>
      <c r="V26" s="2">
        <f>[1]!Tabela1[[#This Row],[K$%  (total -S)]]</f>
        <v>1.5690825610546182E-2</v>
      </c>
      <c r="W26" s="2">
        <f>[1]!Tabela1[[#This Row],[P$%  (total-S)]]</f>
        <v>4.1608968761443356E-2</v>
      </c>
      <c r="X26" s="2">
        <f>[1]!Tabela1[[#This Row],[S$%  (total -S)]]</f>
        <v>2.0224782400495762E-2</v>
      </c>
      <c r="Y26" s="2">
        <f>[1]!Tabela1[[#This Row],[$%  (Total-S)]]</f>
        <v>1.0202247824004957</v>
      </c>
    </row>
    <row r="27" spans="1:25" x14ac:dyDescent="0.25">
      <c r="A27">
        <v>2022</v>
      </c>
      <c r="B27">
        <v>52</v>
      </c>
      <c r="C27" s="3">
        <v>40.58</v>
      </c>
      <c r="D27">
        <f t="shared" si="33"/>
        <v>259</v>
      </c>
      <c r="E27" s="4">
        <f t="shared" si="34"/>
        <v>1086</v>
      </c>
      <c r="F27" s="1">
        <f>[1]!Tabela1[[#This Row],[Ticket período]]</f>
        <v>9.6760650887573938</v>
      </c>
      <c r="G27" s="1">
        <f>[1]!Tabela2[[#This Row],[Ticket Recomendado]]</f>
        <v>14.773</v>
      </c>
      <c r="H27" s="4">
        <f>[1]!Tabela1[[#This Row],[$ Total]]/[1]!Tabela1[[#This Row],[Ticket período]]</f>
        <v>1044.9288948818382</v>
      </c>
      <c r="I27">
        <f>[1]!Tabela2[[#This Row],[Recomendações]]</f>
        <v>40</v>
      </c>
      <c r="J27" s="5">
        <f>[1]!Tabela1[[#This Row],[S$ Total]]/[1]!Tabela1[[#This Row],[Ticket período]]</f>
        <v>70.689892402102444</v>
      </c>
      <c r="K27" s="10">
        <f t="shared" si="37"/>
        <v>110.68989240210244</v>
      </c>
      <c r="L27" s="10">
        <f t="shared" si="6"/>
        <v>44.327250628804947</v>
      </c>
      <c r="M27" s="10">
        <f>Tabela1[[#This Row],[Conversões + Equiv. Prod. Line]]-Tabela1[[#This Row],[meta de conversões]]</f>
        <v>66.362641773297497</v>
      </c>
      <c r="N27" s="8">
        <f t="shared" si="38"/>
        <v>1.5267569889711394</v>
      </c>
      <c r="O27" s="11">
        <f t="shared" si="35"/>
        <v>0.96218130283778847</v>
      </c>
      <c r="P27" s="8">
        <f t="shared" si="36"/>
        <v>0.23844418651447497</v>
      </c>
      <c r="Q27" s="9">
        <f t="shared" si="39"/>
        <v>0.12099698202615285</v>
      </c>
      <c r="R27" s="2">
        <f>[1]!Tabela1[[#This Row],[A$%  (total -S)]]</f>
        <v>1.8999024059065645E-2</v>
      </c>
      <c r="S27" s="2">
        <f>[1]!Tabela1[[#This Row],[B$%  (total -S)]]</f>
        <v>0.67774854669665219</v>
      </c>
      <c r="T27" s="2">
        <f>[1]!Tabela1[[#This Row],[D$% (total-S)]]</f>
        <v>0.12736241354436287</v>
      </c>
      <c r="U27" s="2">
        <f>[1]!Tabela1[[#This Row],[F$%  (total -S)]]</f>
        <v>0.10891500827428184</v>
      </c>
      <c r="V27" s="2">
        <f>[1]!Tabela1[[#This Row],[K$%  (total -S)]]</f>
        <v>1.9579284592862903E-2</v>
      </c>
      <c r="W27" s="2">
        <f>[1]!Tabela1[[#This Row],[P$%  (total-S)]]</f>
        <v>4.7395722832774635E-2</v>
      </c>
      <c r="X27" s="2">
        <f>[1]!Tabela1[[#This Row],[S$%  (total -S)]]</f>
        <v>7.2559086858743169E-2</v>
      </c>
      <c r="Y27" s="2">
        <f>[1]!Tabela1[[#This Row],[$%  (Total-S)]]</f>
        <v>1.0725590868587431</v>
      </c>
    </row>
    <row r="28" spans="1:25" x14ac:dyDescent="0.25">
      <c r="A28">
        <v>2022</v>
      </c>
      <c r="B28">
        <v>53</v>
      </c>
      <c r="C28" s="3">
        <v>40.58</v>
      </c>
      <c r="D28">
        <f t="shared" si="33"/>
        <v>259</v>
      </c>
      <c r="E28" s="4">
        <f t="shared" si="34"/>
        <v>1096</v>
      </c>
      <c r="F28" s="1">
        <f>[1]!Tabela1[[#This Row],[Ticket período]]</f>
        <v>9.5830785562632705</v>
      </c>
      <c r="G28" s="1">
        <f>[1]!Tabela2[[#This Row],[Ticket Recomendado]]</f>
        <v>12.647708333333334</v>
      </c>
      <c r="H28" s="4">
        <f>[1]!Tabela1[[#This Row],[$ Total]]/[1]!Tabela1[[#This Row],[Ticket período]]</f>
        <v>996.94893910223027</v>
      </c>
      <c r="I28">
        <f>[1]!Tabela2[[#This Row],[Recomendações]]</f>
        <v>48</v>
      </c>
      <c r="J28" s="5">
        <f>[1]!Tabela1[[#This Row],[S$ Total]]/[1]!Tabela1[[#This Row],[Ticket período]]</f>
        <v>22.346681052722527</v>
      </c>
      <c r="K28" s="10">
        <f t="shared" si="37"/>
        <v>70.346681052722531</v>
      </c>
      <c r="L28" s="10">
        <f t="shared" si="6"/>
        <v>48.839281059756573</v>
      </c>
      <c r="M28" s="10">
        <f>Tabela1[[#This Row],[Conversões + Equiv. Prod. Line]]-Tabela1[[#This Row],[meta de conversões]]</f>
        <v>21.507399992965958</v>
      </c>
      <c r="N28" s="8">
        <f t="shared" si="38"/>
        <v>1.3197959569127287</v>
      </c>
      <c r="O28" s="11">
        <f t="shared" si="35"/>
        <v>0.90962494443634145</v>
      </c>
      <c r="P28" s="8">
        <f t="shared" si="36"/>
        <v>0.23615274904542313</v>
      </c>
      <c r="Q28" s="9">
        <f t="shared" si="39"/>
        <v>-4.5916957617516733E-2</v>
      </c>
      <c r="R28" s="2">
        <f>[1]!Tabela1[[#This Row],[A$%  (total -S)]]</f>
        <v>2.027904566425652E-2</v>
      </c>
      <c r="S28" s="2">
        <f>[1]!Tabela1[[#This Row],[B$%  (total -S)]]</f>
        <v>0.61499578679806288</v>
      </c>
      <c r="T28" s="2">
        <f>[1]!Tabela1[[#This Row],[D$% (total-S)]]</f>
        <v>0.18049100130732393</v>
      </c>
      <c r="U28" s="2">
        <f>[1]!Tabela1[[#This Row],[F$%  (total -S)]]</f>
        <v>0.10830980471514577</v>
      </c>
      <c r="V28" s="2">
        <f>[1]!Tabela1[[#This Row],[K$%  (total -S)]]</f>
        <v>3.6521554783938218E-2</v>
      </c>
      <c r="W28" s="2">
        <f>[1]!Tabela1[[#This Row],[P$%  (total-S)]]</f>
        <v>3.9402806731272659E-2</v>
      </c>
      <c r="X28" s="2">
        <f>[1]!Tabela1[[#This Row],[S$%  (total -S)]]</f>
        <v>2.2929026552273146E-2</v>
      </c>
      <c r="Y28" s="2">
        <f>[1]!Tabela1[[#This Row],[$%  (Total-S)]]</f>
        <v>1.0229290265522732</v>
      </c>
    </row>
    <row r="29" spans="1:25" x14ac:dyDescent="0.25">
      <c r="A29">
        <v>2023</v>
      </c>
      <c r="B29">
        <v>1</v>
      </c>
      <c r="C29" s="3">
        <v>45.3</v>
      </c>
      <c r="D29">
        <f t="shared" ref="D29:D34" si="40">ROUNDUP(1500/C29*7,0)</f>
        <v>232</v>
      </c>
      <c r="E29" s="4">
        <f t="shared" ref="E29:E34" si="41">ROUNDUP(1500*7/F29,0)</f>
        <v>1060</v>
      </c>
      <c r="F29" s="1">
        <f>[1]!Tabela1[[#This Row],[Ticket período]]</f>
        <v>9.911662790697676</v>
      </c>
      <c r="G29" s="1">
        <f>[1]!Tabela2[[#This Row],[Ticket Recomendado]]</f>
        <v>13.190344827586209</v>
      </c>
      <c r="H29" s="4">
        <f>[1]!Tabela1[[#This Row],[$ Total]]/[1]!Tabela1[[#This Row],[Ticket período]]</f>
        <v>830.84243016507423</v>
      </c>
      <c r="I29">
        <f>[1]!Tabela2[[#This Row],[Recomendações]]</f>
        <v>58</v>
      </c>
      <c r="J29" s="5">
        <f>[1]!Tabela1[[#This Row],[S$ Total]]/[1]!Tabela1[[#This Row],[Ticket período]]</f>
        <v>15.973101924793786</v>
      </c>
      <c r="K29" s="10">
        <f t="shared" si="37"/>
        <v>73.973101924793781</v>
      </c>
      <c r="L29" s="10">
        <f t="shared" si="6"/>
        <v>66.99346408575326</v>
      </c>
      <c r="M29" s="10">
        <f>Tabela1[[#This Row],[Conversões + Equiv. Prod. Line]]-Tabela1[[#This Row],[meta de conversões]]</f>
        <v>6.9796378390405209</v>
      </c>
      <c r="N29" s="8">
        <f t="shared" si="38"/>
        <v>1.3307903130003225</v>
      </c>
      <c r="O29" s="11">
        <f t="shared" ref="O29:O34" si="42">H29/E29</f>
        <v>0.78381361336327759</v>
      </c>
      <c r="P29" s="8">
        <f t="shared" ref="P29:P34" si="43">F29/C29</f>
        <v>0.21880050310590898</v>
      </c>
      <c r="Q29" s="9">
        <f t="shared" si="39"/>
        <v>-0.16661486102461559</v>
      </c>
      <c r="R29" s="2">
        <f>[1]!Tabela1[[#This Row],[A$%  (total -S)]]</f>
        <v>2.3524430120680333E-2</v>
      </c>
      <c r="S29" s="2">
        <f>[1]!Tabela1[[#This Row],[B$%  (total -S)]]</f>
        <v>0.68679821362906435</v>
      </c>
      <c r="T29" s="2">
        <f>[1]!Tabela1[[#This Row],[D$% (total-S)]]</f>
        <v>0.13133070272425282</v>
      </c>
      <c r="U29" s="2">
        <f>[1]!Tabela1[[#This Row],[F$%  (total -S)]]</f>
        <v>8.4706520352965525E-2</v>
      </c>
      <c r="V29" s="2">
        <f>[1]!Tabela1[[#This Row],[K$%  (total -S)]]</f>
        <v>2.4890085195580881E-2</v>
      </c>
      <c r="W29" s="2">
        <f>[1]!Tabela1[[#This Row],[P$%  (total-S)]]</f>
        <v>4.8750047977456197E-2</v>
      </c>
      <c r="X29" s="2">
        <f>[1]!Tabela1[[#This Row],[S$%  (total -S)]]</f>
        <v>1.9602040930032157E-2</v>
      </c>
      <c r="Y29" s="2">
        <f>[1]!Tabela1[[#This Row],[$%  (Total-S)]]</f>
        <v>1.0196020409300324</v>
      </c>
    </row>
    <row r="30" spans="1:25" x14ac:dyDescent="0.25">
      <c r="A30">
        <v>2023</v>
      </c>
      <c r="B30">
        <v>2</v>
      </c>
      <c r="C30" s="3">
        <v>45.3</v>
      </c>
      <c r="D30">
        <f t="shared" si="40"/>
        <v>232</v>
      </c>
      <c r="E30" s="4">
        <f t="shared" si="41"/>
        <v>1051</v>
      </c>
      <c r="F30" s="1">
        <f>[1]!Tabela1[[#This Row],[Ticket período]]</f>
        <v>9.998725314183126</v>
      </c>
      <c r="G30" s="1">
        <f>[1]!Tabela2[[#This Row],[Ticket Recomendado]]</f>
        <v>14.081212121212122</v>
      </c>
      <c r="H30" s="4">
        <f>[1]!Tabela1[[#This Row],[$ Total]]/[1]!Tabela1[[#This Row],[Ticket período]]</f>
        <v>1139.1742089207062</v>
      </c>
      <c r="I30">
        <f>[1]!Tabela2[[#This Row],[Recomendações]]</f>
        <v>33</v>
      </c>
      <c r="J30" s="5">
        <f>[1]!Tabela1[[#This Row],[S$ Total]]/[1]!Tabela1[[#This Row],[Ticket período]]</f>
        <v>23.863041788091476</v>
      </c>
      <c r="K30" s="10">
        <f t="shared" si="37"/>
        <v>56.863041788091479</v>
      </c>
      <c r="L30" s="10">
        <f t="shared" si="6"/>
        <v>36.423656449771329</v>
      </c>
      <c r="M30" s="10">
        <f>Tabela1[[#This Row],[Conversões + Equiv. Prod. Line]]-Tabela1[[#This Row],[meta de conversões]]</f>
        <v>20.43938533832015</v>
      </c>
      <c r="N30" s="8">
        <f t="shared" si="38"/>
        <v>1.4083007262173723</v>
      </c>
      <c r="O30" s="11">
        <f t="shared" si="42"/>
        <v>1.0838955365563332</v>
      </c>
      <c r="P30" s="8">
        <f t="shared" si="43"/>
        <v>0.22072241311662533</v>
      </c>
      <c r="Q30" s="9">
        <f t="shared" si="39"/>
        <v>0.37110740564173123</v>
      </c>
      <c r="R30" s="2">
        <f>[1]!Tabela1[[#This Row],[A$%  (total -S)]]</f>
        <v>1.6060346010335649E-2</v>
      </c>
      <c r="S30" s="2">
        <f>[1]!Tabela1[[#This Row],[B$%  (total -S)]]</f>
        <v>0.6865766534041029</v>
      </c>
      <c r="T30" s="2">
        <f>[1]!Tabela1[[#This Row],[D$% (total-S)]]</f>
        <v>0.14316753783507247</v>
      </c>
      <c r="U30" s="2">
        <f>[1]!Tabela1[[#This Row],[F$%  (total -S)]]</f>
        <v>8.7910442273771941E-2</v>
      </c>
      <c r="V30" s="2">
        <f>[1]!Tabela1[[#This Row],[K$%  (total -S)]]</f>
        <v>2.2443235061232865E-2</v>
      </c>
      <c r="W30" s="2">
        <f>[1]!Tabela1[[#This Row],[P$%  (total-S)]]</f>
        <v>4.38417854154841E-2</v>
      </c>
      <c r="X30" s="2">
        <f>[1]!Tabela1[[#This Row],[S$%  (total -S)]]</f>
        <v>2.1395860179040122E-2</v>
      </c>
      <c r="Y30" s="2">
        <f>[1]!Tabela1[[#This Row],[$%  (Total-S)]]</f>
        <v>1.02139586017904</v>
      </c>
    </row>
    <row r="31" spans="1:25" x14ac:dyDescent="0.25">
      <c r="A31">
        <v>2023</v>
      </c>
      <c r="B31">
        <v>3</v>
      </c>
      <c r="C31" s="3">
        <v>45.3</v>
      </c>
      <c r="D31">
        <f t="shared" si="40"/>
        <v>232</v>
      </c>
      <c r="E31" s="4">
        <f t="shared" si="41"/>
        <v>1063</v>
      </c>
      <c r="F31" s="1">
        <f>[1]!Tabela1[[#This Row],[Ticket período]]</f>
        <v>9.8859042033235554</v>
      </c>
      <c r="G31" s="1">
        <f>[1]!Tabela2[[#This Row],[Ticket Recomendado]]</f>
        <v>13.164999999999999</v>
      </c>
      <c r="H31" s="4">
        <f>[1]!Tabela1[[#This Row],[$ Total]]/[1]!Tabela1[[#This Row],[Ticket período]]</f>
        <v>1052.7534746392862</v>
      </c>
      <c r="I31">
        <f>[1]!Tabela2[[#This Row],[Recomendações]]</f>
        <v>32</v>
      </c>
      <c r="J31" s="5">
        <f>[1]!Tabela1[[#This Row],[S$ Total]]/[1]!Tabela1[[#This Row],[Ticket período]]</f>
        <v>24.813107122516147</v>
      </c>
      <c r="K31" s="10">
        <f t="shared" ref="K31:K36" si="44">J31+I31</f>
        <v>56.813107122516143</v>
      </c>
      <c r="L31" s="10">
        <f t="shared" si="6"/>
        <v>43.623069861025172</v>
      </c>
      <c r="M31" s="10">
        <f>Tabela1[[#This Row],[Conversões + Equiv. Prod. Line]]-Tabela1[[#This Row],[meta de conversões]]</f>
        <v>13.190037261490971</v>
      </c>
      <c r="N31" s="8">
        <f t="shared" ref="N31:N36" si="45">G31/F31</f>
        <v>1.3316940695798003</v>
      </c>
      <c r="O31" s="11">
        <f t="shared" si="42"/>
        <v>0.99036074754401338</v>
      </c>
      <c r="P31" s="8">
        <f t="shared" si="43"/>
        <v>0.21823188086806966</v>
      </c>
      <c r="Q31" s="9">
        <f t="shared" ref="Q31:Q36" si="46">(H31-H30)/H30</f>
        <v>-7.5862614870203238E-2</v>
      </c>
      <c r="R31" s="2">
        <f>[1]!Tabela1[[#This Row],[A$%  (total -S)]]</f>
        <v>1.8696886082825243E-2</v>
      </c>
      <c r="S31" s="2">
        <f>[1]!Tabela1[[#This Row],[B$%  (total -S)]]</f>
        <v>0.64206386069048593</v>
      </c>
      <c r="T31" s="2">
        <f>[1]!Tabela1[[#This Row],[D$% (total-S)]]</f>
        <v>0.15908688344558031</v>
      </c>
      <c r="U31" s="2">
        <f>[1]!Tabela1[[#This Row],[F$%  (total -S)]]</f>
        <v>0.1112513924259899</v>
      </c>
      <c r="V31" s="2">
        <f>[1]!Tabela1[[#This Row],[K$%  (total -S)]]</f>
        <v>2.8124052855112918E-2</v>
      </c>
      <c r="W31" s="2">
        <f>[1]!Tabela1[[#This Row],[P$%  (total-S)]]</f>
        <v>4.0776924500005918E-2</v>
      </c>
      <c r="X31" s="2">
        <f>[1]!Tabela1[[#This Row],[S$%  (total -S)]]</f>
        <v>2.4138663979563327E-2</v>
      </c>
      <c r="Y31" s="2">
        <f>[1]!Tabela1[[#This Row],[$%  (Total-S)]]</f>
        <v>1.0241386639795635</v>
      </c>
    </row>
    <row r="32" spans="1:25" x14ac:dyDescent="0.25">
      <c r="A32">
        <v>2023</v>
      </c>
      <c r="B32">
        <v>4</v>
      </c>
      <c r="C32" s="3">
        <v>45.3</v>
      </c>
      <c r="D32">
        <f t="shared" si="40"/>
        <v>232</v>
      </c>
      <c r="E32" s="4">
        <f t="shared" si="41"/>
        <v>1024</v>
      </c>
      <c r="F32" s="1">
        <f>[1]!Tabela1[[#This Row],[Ticket período]]</f>
        <v>10.255621734587251</v>
      </c>
      <c r="G32" s="1">
        <f>[1]!Tabela2[[#This Row],[Ticket Recomendado]]</f>
        <v>12.799142857142854</v>
      </c>
      <c r="H32" s="4">
        <f>[1]!Tabela1[[#This Row],[$ Total]]/[1]!Tabela1[[#This Row],[Ticket período]]</f>
        <v>949.00828558998171</v>
      </c>
      <c r="I32">
        <f>[1]!Tabela2[[#This Row],[Recomendações]]</f>
        <v>35</v>
      </c>
      <c r="J32" s="5">
        <f>[1]!Tabela1[[#This Row],[S$ Total]]/[1]!Tabela1[[#This Row],[Ticket período]]</f>
        <v>13.602295756437075</v>
      </c>
      <c r="K32" s="10">
        <f t="shared" si="44"/>
        <v>48.602295756437073</v>
      </c>
      <c r="L32" s="10">
        <f t="shared" si="6"/>
        <v>53.681845121647129</v>
      </c>
      <c r="M32" s="10">
        <f>Tabela1[[#This Row],[Conversões + Equiv. Prod. Line]]-Tabela1[[#This Row],[meta de conversões]]</f>
        <v>-5.0795493652100561</v>
      </c>
      <c r="N32" s="8">
        <f t="shared" si="45"/>
        <v>1.2480123768583953</v>
      </c>
      <c r="O32" s="11">
        <f t="shared" si="42"/>
        <v>0.92676590389646651</v>
      </c>
      <c r="P32" s="8">
        <f t="shared" si="43"/>
        <v>0.22639341577455302</v>
      </c>
      <c r="Q32" s="9">
        <f t="shared" si="46"/>
        <v>-9.8546517820662219E-2</v>
      </c>
      <c r="R32" s="2">
        <f>[1]!Tabela1[[#This Row],[A$%  (total -S)]]</f>
        <v>2.0754349188016052E-2</v>
      </c>
      <c r="S32" s="2">
        <f>[1]!Tabela1[[#This Row],[B$%  (total -S)]]</f>
        <v>0.68413464996450579</v>
      </c>
      <c r="T32" s="2">
        <f>[1]!Tabela1[[#This Row],[D$% (total-S)]]</f>
        <v>0.1144178618746462</v>
      </c>
      <c r="U32" s="2">
        <f>[1]!Tabela1[[#This Row],[F$%  (total -S)]]</f>
        <v>0.11660587688949532</v>
      </c>
      <c r="V32" s="2">
        <f>[1]!Tabela1[[#This Row],[K$%  (total -S)]]</f>
        <v>2.4193254158948494E-2</v>
      </c>
      <c r="W32" s="2">
        <f>[1]!Tabela1[[#This Row],[P$%  (total-S)]]</f>
        <v>3.9894007924387874E-2</v>
      </c>
      <c r="X32" s="2">
        <f>[1]!Tabela1[[#This Row],[S$%  (total -S)]]</f>
        <v>1.4541595739468807E-2</v>
      </c>
      <c r="Y32" s="2">
        <f>[1]!Tabela1[[#This Row],[$%  (Total-S)]]</f>
        <v>1.0145415957394686</v>
      </c>
    </row>
    <row r="33" spans="1:25" x14ac:dyDescent="0.25">
      <c r="A33">
        <v>2023</v>
      </c>
      <c r="B33">
        <v>5</v>
      </c>
      <c r="C33" s="3">
        <v>45.3</v>
      </c>
      <c r="D33">
        <f t="shared" si="40"/>
        <v>232</v>
      </c>
      <c r="E33" s="4">
        <f t="shared" si="41"/>
        <v>1063</v>
      </c>
      <c r="F33" s="1">
        <f>[1]!Tabela1[[#This Row],[Ticket período]]</f>
        <v>9.8781038135593224</v>
      </c>
      <c r="G33" s="1">
        <f>[1]!Tabela2[[#This Row],[Ticket Recomendado]]</f>
        <v>13.504794520547945</v>
      </c>
      <c r="H33" s="4">
        <f>[1]!Tabela1[[#This Row],[$ Total]]/[1]!Tabela1[[#This Row],[Ticket período]]</f>
        <v>1020.0834279721132</v>
      </c>
      <c r="I33">
        <f>[1]!Tabela2[[#This Row],[Recomendações]]</f>
        <v>73</v>
      </c>
      <c r="J33" s="5">
        <f>[1]!Tabela1[[#This Row],[S$ Total]]/[1]!Tabela1[[#This Row],[Ticket período]]</f>
        <v>56.13223048323151</v>
      </c>
      <c r="K33" s="10">
        <f t="shared" si="44"/>
        <v>129.13223048323152</v>
      </c>
      <c r="L33" s="10">
        <f t="shared" si="6"/>
        <v>46.621956661704843</v>
      </c>
      <c r="M33" s="10">
        <f>Tabela1[[#This Row],[Conversões + Equiv. Prod. Line]]-Tabela1[[#This Row],[meta de conversões]]</f>
        <v>82.510273821526681</v>
      </c>
      <c r="N33" s="8">
        <f t="shared" si="45"/>
        <v>1.3671444211803476</v>
      </c>
      <c r="O33" s="11">
        <f t="shared" si="42"/>
        <v>0.9596269313002006</v>
      </c>
      <c r="P33" s="8">
        <f t="shared" si="43"/>
        <v>0.21805968683353913</v>
      </c>
      <c r="Q33" s="9">
        <f t="shared" si="46"/>
        <v>7.4894122065483695E-2</v>
      </c>
      <c r="R33" s="2">
        <f>[1]!Tabela1[[#This Row],[A$%  (total -S)]]</f>
        <v>1.9953770264891556E-2</v>
      </c>
      <c r="S33" s="2">
        <f>[1]!Tabela1[[#This Row],[B$%  (total -S)]]</f>
        <v>0.64010434771650104</v>
      </c>
      <c r="T33" s="2">
        <f>[1]!Tabela1[[#This Row],[D$% (total-S)]]</f>
        <v>0.15639555093935001</v>
      </c>
      <c r="U33" s="2">
        <f>[1]!Tabela1[[#This Row],[F$%  (total -S)]]</f>
        <v>0.1030223660760701</v>
      </c>
      <c r="V33" s="2">
        <f>[1]!Tabela1[[#This Row],[K$%  (total -S)]]</f>
        <v>3.7229534520547662E-2</v>
      </c>
      <c r="W33" s="2">
        <f>[1]!Tabela1[[#This Row],[P$%  (total-S)]]</f>
        <v>4.3294430482639701E-2</v>
      </c>
      <c r="X33" s="2">
        <f>[1]!Tabela1[[#This Row],[S$%  (total -S)]]</f>
        <v>5.8231402823563524E-2</v>
      </c>
      <c r="Y33" s="2">
        <f>[1]!Tabela1[[#This Row],[$%  (Total-S)]]</f>
        <v>1.0582314028235635</v>
      </c>
    </row>
    <row r="34" spans="1:25" x14ac:dyDescent="0.25">
      <c r="A34">
        <v>2023</v>
      </c>
      <c r="B34">
        <v>6</v>
      </c>
      <c r="C34" s="3">
        <v>45.3</v>
      </c>
      <c r="D34">
        <f t="shared" si="40"/>
        <v>232</v>
      </c>
      <c r="E34" s="4">
        <f t="shared" si="41"/>
        <v>1060</v>
      </c>
      <c r="F34" s="1">
        <f>[1]!Tabela1[[#This Row],[Ticket período]]</f>
        <v>9.9122084130019115</v>
      </c>
      <c r="G34" s="1">
        <f>[1]!Tabela2[[#This Row],[Ticket Recomendado]]</f>
        <v>12.611034482758622</v>
      </c>
      <c r="H34" s="4">
        <f>[1]!Tabela1[[#This Row],[$ Total]]/[1]!Tabela1[[#This Row],[Ticket período]]</f>
        <v>1073.3813855289795</v>
      </c>
      <c r="I34">
        <f>[1]!Tabela2[[#This Row],[Recomendações]]</f>
        <v>58</v>
      </c>
      <c r="J34" s="5">
        <f>[1]!Tabela1[[#This Row],[S$ Total]]/[1]!Tabela1[[#This Row],[Ticket período]]</f>
        <v>23.365126150516438</v>
      </c>
      <c r="K34" s="10">
        <f t="shared" si="44"/>
        <v>81.365126150516431</v>
      </c>
      <c r="L34" s="10">
        <f t="shared" si="6"/>
        <v>41.808812949627331</v>
      </c>
      <c r="M34" s="10">
        <f>Tabela1[[#This Row],[Conversões + Equiv. Prod. Line]]-Tabela1[[#This Row],[meta de conversões]]</f>
        <v>39.5563132008891</v>
      </c>
      <c r="N34" s="8">
        <f t="shared" si="45"/>
        <v>1.2722729342753369</v>
      </c>
      <c r="O34" s="11">
        <f t="shared" si="42"/>
        <v>1.0126239486122448</v>
      </c>
      <c r="P34" s="8">
        <f t="shared" si="43"/>
        <v>0.21881254774838657</v>
      </c>
      <c r="Q34" s="9">
        <f t="shared" si="46"/>
        <v>5.2248626039166836E-2</v>
      </c>
      <c r="R34" s="2">
        <f>[1]!Tabela1[[#This Row],[A$%  (total -S)]]</f>
        <v>2.4020030784071455E-2</v>
      </c>
      <c r="S34" s="2">
        <f>[1]!Tabela1[[#This Row],[B$%  (total -S)]]</f>
        <v>0.63149621732555206</v>
      </c>
      <c r="T34" s="2">
        <f>[1]!Tabela1[[#This Row],[D$% (total-S)]]</f>
        <v>0.16863310652018934</v>
      </c>
      <c r="U34" s="2">
        <f>[1]!Tabela1[[#This Row],[F$%  (total -S)]]</f>
        <v>0.10819582666377145</v>
      </c>
      <c r="V34" s="2">
        <f>[1]!Tabela1[[#This Row],[K$%  (total -S)]]</f>
        <v>3.390187144863846E-2</v>
      </c>
      <c r="W34" s="2">
        <f>[1]!Tabela1[[#This Row],[P$%  (total-S)]]</f>
        <v>3.3752947257777208E-2</v>
      </c>
      <c r="X34" s="2">
        <f>[1]!Tabela1[[#This Row],[S$%  (total -S)]]</f>
        <v>2.2252156518363795E-2</v>
      </c>
      <c r="Y34" s="2">
        <f>[1]!Tabela1[[#This Row],[$%  (Total-S)]]</f>
        <v>1.0222521565183638</v>
      </c>
    </row>
    <row r="35" spans="1:25" x14ac:dyDescent="0.25">
      <c r="A35">
        <v>2023</v>
      </c>
      <c r="B35">
        <v>7</v>
      </c>
      <c r="C35" s="3">
        <v>45.3</v>
      </c>
      <c r="D35">
        <f t="shared" ref="D35:D41" si="47">ROUNDUP(1500/C35*7,0)</f>
        <v>232</v>
      </c>
      <c r="E35" s="4">
        <f t="shared" ref="E35:E41" si="48">ROUNDUP(1500*7/F35,0)</f>
        <v>1079</v>
      </c>
      <c r="F35" s="1">
        <f>[1]!Tabela1[[#This Row],[Ticket período]]</f>
        <v>9.7389738219895285</v>
      </c>
      <c r="G35" s="1">
        <f>[1]!Tabela2[[#This Row],[Ticket Recomendado]]</f>
        <v>12.230344827586206</v>
      </c>
      <c r="H35" s="4">
        <f>[1]!Tabela1[[#This Row],[$ Total]]/[1]!Tabela1[[#This Row],[Ticket período]]</f>
        <v>995.74556593468049</v>
      </c>
      <c r="I35">
        <f>[1]!Tabela2[[#This Row],[Recomendações]]</f>
        <v>29</v>
      </c>
      <c r="J35" s="5">
        <f>[1]!Tabela1[[#This Row],[S$ Total]]/[1]!Tabela1[[#This Row],[Ticket período]]</f>
        <v>42.488049312311304</v>
      </c>
      <c r="K35" s="10">
        <f t="shared" si="44"/>
        <v>71.488049312311304</v>
      </c>
      <c r="L35" s="10">
        <f t="shared" si="6"/>
        <v>48.956750391221199</v>
      </c>
      <c r="M35" s="10">
        <f>Tabela1[[#This Row],[Conversões + Equiv. Prod. Line]]-Tabela1[[#This Row],[meta de conversões]]</f>
        <v>22.531298921090105</v>
      </c>
      <c r="N35" s="8">
        <f t="shared" si="45"/>
        <v>1.2558145294498519</v>
      </c>
      <c r="O35" s="11">
        <f t="shared" ref="O35:O41" si="49">H35/E35</f>
        <v>0.92284111764103849</v>
      </c>
      <c r="P35" s="8">
        <f t="shared" ref="P35:P41" si="50">F35/C35</f>
        <v>0.21498838459138034</v>
      </c>
      <c r="Q35" s="9">
        <f t="shared" si="46"/>
        <v>-7.2328270865288827E-2</v>
      </c>
      <c r="R35" s="2">
        <f>[1]!Tabela1[[#This Row],[A$%  (total -S)]]</f>
        <v>1.8311565908172883E-2</v>
      </c>
      <c r="S35" s="2">
        <f>[1]!Tabela1[[#This Row],[B$%  (total -S)]]</f>
        <v>0.60649629729365828</v>
      </c>
      <c r="T35" s="2">
        <f>[1]!Tabela1[[#This Row],[D$% (total-S)]]</f>
        <v>0.15872142183923518</v>
      </c>
      <c r="U35" s="2">
        <f>[1]!Tabela1[[#This Row],[F$%  (total -S)]]</f>
        <v>0.13631021946950317</v>
      </c>
      <c r="V35" s="2">
        <f>[1]!Tabela1[[#This Row],[K$%  (total -S)]]</f>
        <v>3.7793994883533057E-2</v>
      </c>
      <c r="W35" s="2">
        <f>[1]!Tabela1[[#This Row],[P$%  (total-S)]]</f>
        <v>4.2366500605897396E-2</v>
      </c>
      <c r="X35" s="2">
        <f>[1]!Tabela1[[#This Row],[S$%  (total -S)]]</f>
        <v>4.4571428571428567E-2</v>
      </c>
      <c r="Y35" s="2">
        <f>[1]!Tabela1[[#This Row],[$%  (Total-S)]]</f>
        <v>1.0445714285714285</v>
      </c>
    </row>
    <row r="36" spans="1:25" x14ac:dyDescent="0.25">
      <c r="A36">
        <v>2023</v>
      </c>
      <c r="B36">
        <v>8</v>
      </c>
      <c r="C36" s="3">
        <v>45.3</v>
      </c>
      <c r="D36">
        <f t="shared" si="47"/>
        <v>232</v>
      </c>
      <c r="E36" s="4">
        <f t="shared" si="48"/>
        <v>1058</v>
      </c>
      <c r="F36" s="1">
        <f>[1]!Tabela1[[#This Row],[Ticket período]]</f>
        <v>9.9269195402298855</v>
      </c>
      <c r="G36" s="1">
        <f>[1]!Tabela2[[#This Row],[Ticket Recomendado]]</f>
        <v>13.969787234042551</v>
      </c>
      <c r="H36" s="4">
        <f>[1]!Tabela1[[#This Row],[$ Total]]/[1]!Tabela1[[#This Row],[Ticket período]]</f>
        <v>866.64246296497856</v>
      </c>
      <c r="I36">
        <f>[1]!Tabela2[[#This Row],[Recomendações]]</f>
        <v>47</v>
      </c>
      <c r="J36" s="5">
        <f>[1]!Tabela1[[#This Row],[S$ Total]]/[1]!Tabela1[[#This Row],[Ticket período]]</f>
        <v>10.063544848444147</v>
      </c>
      <c r="K36" s="10">
        <f t="shared" si="44"/>
        <v>57.063544848444145</v>
      </c>
      <c r="L36" s="10">
        <f t="shared" si="6"/>
        <v>62.763978034319742</v>
      </c>
      <c r="M36" s="10">
        <f>Tabela1[[#This Row],[Conversões + Equiv. Prod. Line]]-Tabela1[[#This Row],[meta de conversões]]</f>
        <v>-5.7004331858755961</v>
      </c>
      <c r="N36" s="8">
        <f t="shared" si="45"/>
        <v>1.4072630665966939</v>
      </c>
      <c r="O36" s="11">
        <f t="shared" si="49"/>
        <v>0.81913276272682278</v>
      </c>
      <c r="P36" s="8">
        <f t="shared" si="50"/>
        <v>0.21913729669381646</v>
      </c>
      <c r="Q36" s="9">
        <f t="shared" si="46"/>
        <v>-0.12965471038629853</v>
      </c>
      <c r="R36" s="2">
        <f>[1]!Tabela1[[#This Row],[A$%  (total -S)]]</f>
        <v>2.0874518857040711E-2</v>
      </c>
      <c r="S36" s="2">
        <f>[1]!Tabela1[[#This Row],[B$%  (total -S)]]</f>
        <v>0.64256473158896854</v>
      </c>
      <c r="T36" s="2">
        <f>[1]!Tabela1[[#This Row],[D$% (total-S)]]</f>
        <v>0.16405725380710059</v>
      </c>
      <c r="U36" s="2">
        <f>[1]!Tabela1[[#This Row],[F$%  (total -S)]]</f>
        <v>0.10083157026951062</v>
      </c>
      <c r="V36" s="2">
        <f>[1]!Tabela1[[#This Row],[K$%  (total -S)]]</f>
        <v>2.9331345059912806E-2</v>
      </c>
      <c r="W36" s="2">
        <f>[1]!Tabela1[[#This Row],[P$%  (total-S)]]</f>
        <v>4.2340580417466855E-2</v>
      </c>
      <c r="X36" s="2">
        <f>[1]!Tabela1[[#This Row],[S$%  (total -S)]]</f>
        <v>1.1748532021511927E-2</v>
      </c>
      <c r="Y36" s="2">
        <f>[1]!Tabela1[[#This Row],[$%  (Total-S)]]</f>
        <v>1.0117485320215118</v>
      </c>
    </row>
    <row r="37" spans="1:25" x14ac:dyDescent="0.25">
      <c r="A37">
        <v>2023</v>
      </c>
      <c r="B37">
        <v>9</v>
      </c>
      <c r="C37" s="3">
        <v>45.3</v>
      </c>
      <c r="D37">
        <f t="shared" si="47"/>
        <v>232</v>
      </c>
      <c r="E37" s="4">
        <f t="shared" si="48"/>
        <v>1076</v>
      </c>
      <c r="F37" s="1">
        <f>[1]!Tabela1[[#This Row],[Ticket período]]</f>
        <v>9.7660834088848585</v>
      </c>
      <c r="G37" s="1">
        <f>[1]!Tabela2[[#This Row],[Ticket Recomendado]]</f>
        <v>13.64038961038961</v>
      </c>
      <c r="H37" s="4">
        <f>[1]!Tabela1[[#This Row],[$ Total]]/[1]!Tabela1[[#This Row],[Ticket período]]</f>
        <v>1121.5378255705259</v>
      </c>
      <c r="I37">
        <f>[1]!Tabela2[[#This Row],[Recomendações]]</f>
        <v>77</v>
      </c>
      <c r="J37" s="5">
        <f>[1]!Tabela1[[#This Row],[S$ Total]]/[1]!Tabela1[[#This Row],[Ticket período]]</f>
        <v>52.862542575698647</v>
      </c>
      <c r="K37" s="10">
        <f t="shared" ref="K37:K47" si="51">J37+I37</f>
        <v>129.86254257569865</v>
      </c>
      <c r="L37" s="10">
        <f t="shared" si="6"/>
        <v>37.808154102354592</v>
      </c>
      <c r="M37" s="10">
        <f>Tabela1[[#This Row],[Conversões + Equiv. Prod. Line]]-Tabela1[[#This Row],[meta de conversões]]</f>
        <v>92.054388473344062</v>
      </c>
      <c r="N37" s="8">
        <f t="shared" ref="N37:N47" si="52">G37/F37</f>
        <v>1.3967103330266497</v>
      </c>
      <c r="O37" s="11">
        <f t="shared" si="49"/>
        <v>1.0423213992291134</v>
      </c>
      <c r="P37" s="8">
        <f t="shared" si="50"/>
        <v>0.21558683021820882</v>
      </c>
      <c r="Q37" s="9">
        <f t="shared" ref="Q37:Q47" si="53">(H37-H36)/H36</f>
        <v>0.29411824771831863</v>
      </c>
      <c r="R37" s="2">
        <f>[1]!Tabela1[[#This Row],[A$%  (total -S)]]</f>
        <v>1.1066640197288048E-2</v>
      </c>
      <c r="S37" s="2">
        <f>[1]!Tabela1[[#This Row],[B$%  (total -S)]]</f>
        <v>0.63094317199604988</v>
      </c>
      <c r="T37" s="2">
        <f>[1]!Tabela1[[#This Row],[D$% (total-S)]]</f>
        <v>0.15914403494100068</v>
      </c>
      <c r="U37" s="2">
        <f>[1]!Tabela1[[#This Row],[F$%  (total -S)]]</f>
        <v>0.12349029049240456</v>
      </c>
      <c r="V37" s="2">
        <f>[1]!Tabela1[[#This Row],[K$%  (total -S)]]</f>
        <v>3.1810602125537948E-2</v>
      </c>
      <c r="W37" s="2">
        <f>[1]!Tabela1[[#This Row],[P$%  (total-S)]]</f>
        <v>4.3545260247718758E-2</v>
      </c>
      <c r="X37" s="2">
        <f>[1]!Tabela1[[#This Row],[S$%  (total -S)]]</f>
        <v>4.9465486305211498E-2</v>
      </c>
      <c r="Y37" s="2">
        <f>[1]!Tabela1[[#This Row],[$%  (Total-S)]]</f>
        <v>1.0494654863052115</v>
      </c>
    </row>
    <row r="38" spans="1:25" x14ac:dyDescent="0.25">
      <c r="A38">
        <v>2023</v>
      </c>
      <c r="B38">
        <v>10</v>
      </c>
      <c r="C38" s="3">
        <v>45.3</v>
      </c>
      <c r="D38">
        <f t="shared" si="47"/>
        <v>232</v>
      </c>
      <c r="E38" s="4">
        <f t="shared" si="48"/>
        <v>1089</v>
      </c>
      <c r="F38" s="1">
        <f>[1]!Tabela1[[#This Row],[Ticket período]]</f>
        <v>9.6468636363636353</v>
      </c>
      <c r="G38" s="1">
        <f>[1]!Tabela2[[#This Row],[Ticket Recomendado]]</f>
        <v>14.050697674418604</v>
      </c>
      <c r="H38" s="4">
        <f>[1]!Tabela1[[#This Row],[$ Total]]/[1]!Tabela1[[#This Row],[Ticket período]]</f>
        <v>1130.4240429305103</v>
      </c>
      <c r="I38">
        <f>[1]!Tabela2[[#This Row],[Recomendações]]</f>
        <v>43</v>
      </c>
      <c r="J38" s="5">
        <f>[1]!Tabela1[[#This Row],[S$ Total]]/[1]!Tabela1[[#This Row],[Ticket período]]</f>
        <v>26.573403508441277</v>
      </c>
      <c r="K38" s="10">
        <f t="shared" si="51"/>
        <v>69.573403508441274</v>
      </c>
      <c r="L38" s="10">
        <f t="shared" si="6"/>
        <v>37.10523867299834</v>
      </c>
      <c r="M38" s="10">
        <f>Tabela1[[#This Row],[Conversões + Equiv. Prod. Line]]-Tabela1[[#This Row],[meta de conversões]]</f>
        <v>32.468164835442934</v>
      </c>
      <c r="N38" s="8">
        <f t="shared" si="52"/>
        <v>1.4565042281156351</v>
      </c>
      <c r="O38" s="11">
        <f t="shared" si="49"/>
        <v>1.0380386069150691</v>
      </c>
      <c r="P38" s="8">
        <f t="shared" si="50"/>
        <v>0.21295504716034516</v>
      </c>
      <c r="Q38" s="9">
        <f t="shared" si="53"/>
        <v>7.9232435655604769E-3</v>
      </c>
      <c r="R38" s="2">
        <f>[1]!Tabela1[[#This Row],[A$%  (total -S)]]</f>
        <v>2.6388206062110949E-2</v>
      </c>
      <c r="S38" s="2">
        <f>[1]!Tabela1[[#This Row],[B$%  (total -S)]]</f>
        <v>0.63934773052023142</v>
      </c>
      <c r="T38" s="2">
        <f>[1]!Tabela1[[#This Row],[D$% (total-S)]]</f>
        <v>0.16988558028015099</v>
      </c>
      <c r="U38" s="2">
        <f>[1]!Tabela1[[#This Row],[F$%  (total -S)]]</f>
        <v>0.10740563316518917</v>
      </c>
      <c r="V38" s="2">
        <f>[1]!Tabela1[[#This Row],[K$%  (total -S)]]</f>
        <v>1.3290828483881009E-2</v>
      </c>
      <c r="W38" s="2">
        <f>[1]!Tabela1[[#This Row],[P$%  (total-S)]]</f>
        <v>4.368202148843648E-2</v>
      </c>
      <c r="X38" s="2">
        <f>[1]!Tabela1[[#This Row],[S$%  (total -S)]]</f>
        <v>2.4073368768762073E-2</v>
      </c>
      <c r="Y38" s="2">
        <f>[1]!Tabela1[[#This Row],[$%  (Total-S)]]</f>
        <v>1.024073368768762</v>
      </c>
    </row>
    <row r="39" spans="1:25" x14ac:dyDescent="0.25">
      <c r="A39">
        <v>2023</v>
      </c>
      <c r="B39">
        <v>11</v>
      </c>
      <c r="C39" s="3">
        <v>45.3</v>
      </c>
      <c r="D39">
        <f t="shared" si="47"/>
        <v>232</v>
      </c>
      <c r="E39" s="4">
        <f t="shared" si="48"/>
        <v>1040</v>
      </c>
      <c r="F39" s="1">
        <f>[1]!Tabela1[[#This Row],[Ticket período]]</f>
        <v>10.100921501706484</v>
      </c>
      <c r="G39" s="1">
        <f>[1]!Tabela2[[#This Row],[Ticket Recomendado]]</f>
        <v>13.122</v>
      </c>
      <c r="H39" s="4">
        <f>[1]!Tabela1[[#This Row],[$ Total]]/[1]!Tabela1[[#This Row],[Ticket período]]</f>
        <v>934.47556371041037</v>
      </c>
      <c r="I39">
        <f>[1]!Tabela2[[#This Row],[Recomendações]]</f>
        <v>20</v>
      </c>
      <c r="J39" s="5">
        <f>[1]!Tabela1[[#This Row],[S$ Total]]/[1]!Tabela1[[#This Row],[Ticket período]]</f>
        <v>92.06585754011563</v>
      </c>
      <c r="K39" s="10">
        <f t="shared" si="51"/>
        <v>112.06585754011563</v>
      </c>
      <c r="L39" s="10">
        <f t="shared" si="6"/>
        <v>55.215349119286209</v>
      </c>
      <c r="M39" s="10">
        <f>Tabela1[[#This Row],[Conversões + Equiv. Prod. Line]]-Tabela1[[#This Row],[meta de conversões]]</f>
        <v>56.850508420829421</v>
      </c>
      <c r="N39" s="8">
        <f t="shared" si="52"/>
        <v>1.2990893947431554</v>
      </c>
      <c r="O39" s="11">
        <f t="shared" si="49"/>
        <v>0.89853419587539463</v>
      </c>
      <c r="P39" s="8">
        <f t="shared" si="50"/>
        <v>0.22297839959616964</v>
      </c>
      <c r="Q39" s="9">
        <f t="shared" si="53"/>
        <v>-0.17334068613059861</v>
      </c>
      <c r="R39" s="2">
        <f>[1]!Tabela1[[#This Row],[A$%  (total -S)]]</f>
        <v>2.2567566130501249E-2</v>
      </c>
      <c r="S39" s="2">
        <f>[1]!Tabela1[[#This Row],[B$%  (total -S)]]</f>
        <v>0.64772311152717887</v>
      </c>
      <c r="T39" s="2">
        <f>[1]!Tabela1[[#This Row],[D$% (total-S)]]</f>
        <v>0.12389656091798647</v>
      </c>
      <c r="U39" s="2">
        <f>[1]!Tabela1[[#This Row],[F$%  (total -S)]]</f>
        <v>0.13820004721566551</v>
      </c>
      <c r="V39" s="2">
        <f>[1]!Tabela1[[#This Row],[K$%  (total -S)]]</f>
        <v>2.7884218173118945E-2</v>
      </c>
      <c r="W39" s="2">
        <f>[1]!Tabela1[[#This Row],[P$%  (total-S)]]</f>
        <v>3.9728496035548996E-2</v>
      </c>
      <c r="X39" s="2">
        <f>[1]!Tabela1[[#This Row],[S$%  (total -S)]]</f>
        <v>0.10928869511565713</v>
      </c>
      <c r="Y39" s="2">
        <f>[1]!Tabela1[[#This Row],[$%  (Total-S)]]</f>
        <v>1.1092886951156571</v>
      </c>
    </row>
    <row r="40" spans="1:25" x14ac:dyDescent="0.25">
      <c r="A40">
        <v>2023</v>
      </c>
      <c r="B40">
        <v>12</v>
      </c>
      <c r="C40" s="3">
        <v>45.3</v>
      </c>
      <c r="D40">
        <f t="shared" si="47"/>
        <v>232</v>
      </c>
      <c r="E40" s="4">
        <f t="shared" si="48"/>
        <v>1056</v>
      </c>
      <c r="F40" s="1">
        <f>[1]!Tabela1[[#This Row],[Ticket período]]</f>
        <v>9.9437735849056619</v>
      </c>
      <c r="G40" s="1">
        <f>[1]!Tabela2[[#This Row],[Ticket Recomendado]]</f>
        <v>13.438333333333333</v>
      </c>
      <c r="H40" s="4">
        <f>[1]!Tabela1[[#This Row],[$ Total]]/[1]!Tabela1[[#This Row],[Ticket período]]</f>
        <v>981.52730470719246</v>
      </c>
      <c r="I40">
        <f>[1]!Tabela2[[#This Row],[Recomendações]]</f>
        <v>24</v>
      </c>
      <c r="J40" s="5">
        <f>[1]!Tabela1[[#This Row],[S$ Total]]/[1]!Tabela1[[#This Row],[Ticket período]]</f>
        <v>21.782475048385258</v>
      </c>
      <c r="K40" s="10">
        <f t="shared" si="51"/>
        <v>45.782475048385258</v>
      </c>
      <c r="L40" s="10">
        <f t="shared" si="6"/>
        <v>50.360649719350022</v>
      </c>
      <c r="M40" s="10">
        <f>Tabela1[[#This Row],[Conversões + Equiv. Prod. Line]]-Tabela1[[#This Row],[meta de conversões]]</f>
        <v>-4.5781746709647635</v>
      </c>
      <c r="N40" s="8">
        <f t="shared" si="52"/>
        <v>1.3514319507166075</v>
      </c>
      <c r="O40" s="11">
        <f t="shared" si="49"/>
        <v>0.92947661430605344</v>
      </c>
      <c r="P40" s="8">
        <f t="shared" si="50"/>
        <v>0.21950935066016916</v>
      </c>
      <c r="Q40" s="9">
        <f t="shared" si="53"/>
        <v>5.0350959216054154E-2</v>
      </c>
      <c r="R40" s="2">
        <f>[1]!Tabela1[[#This Row],[A$%  (total -S)]]</f>
        <v>2.0801624779940117E-2</v>
      </c>
      <c r="S40" s="2">
        <f>[1]!Tabela1[[#This Row],[B$%  (total -S)]]</f>
        <v>0.64731382877947563</v>
      </c>
      <c r="T40" s="2">
        <f>[1]!Tabela1[[#This Row],[D$% (total-S)]]</f>
        <v>0.12644018028137288</v>
      </c>
      <c r="U40" s="2">
        <f>[1]!Tabela1[[#This Row],[F$%  (total -S)]]</f>
        <v>0.13947001123737507</v>
      </c>
      <c r="V40" s="2">
        <f>[1]!Tabela1[[#This Row],[K$%  (total -S)]]</f>
        <v>2.2026544151678484E-2</v>
      </c>
      <c r="W40" s="2">
        <f>[1]!Tabela1[[#This Row],[P$%  (total-S)]]</f>
        <v>4.3947810770157796E-2</v>
      </c>
      <c r="X40" s="2">
        <f>[1]!Tabela1[[#This Row],[S$%  (total -S)]]</f>
        <v>2.2696110857017077E-2</v>
      </c>
      <c r="Y40" s="2">
        <f>[1]!Tabela1[[#This Row],[$%  (Total-S)]]</f>
        <v>1.0226961108570169</v>
      </c>
    </row>
    <row r="41" spans="1:25" x14ac:dyDescent="0.25">
      <c r="A41">
        <v>2023</v>
      </c>
      <c r="B41">
        <v>13</v>
      </c>
      <c r="C41" s="3">
        <v>45.3</v>
      </c>
      <c r="D41">
        <f t="shared" si="47"/>
        <v>232</v>
      </c>
      <c r="E41" s="4">
        <f t="shared" si="48"/>
        <v>1031</v>
      </c>
      <c r="F41" s="1">
        <f>[1]!Tabela1[[#This Row],[Ticket período]]</f>
        <v>10.190568181818183</v>
      </c>
      <c r="G41" s="1">
        <f>[1]!Tabela2[[#This Row],[Ticket Recomendado]]</f>
        <v>13.279166666666667</v>
      </c>
      <c r="H41" s="4">
        <f>[1]!Tabela1[[#This Row],[$ Total]]/[1]!Tabela1[[#This Row],[Ticket período]]</f>
        <v>1097.2135085202888</v>
      </c>
      <c r="I41">
        <f>[1]!Tabela2[[#This Row],[Recomendações]]</f>
        <v>24</v>
      </c>
      <c r="J41" s="5">
        <f>[1]!Tabela1[[#This Row],[S$ Total]]/[1]!Tabela1[[#This Row],[Ticket período]]</f>
        <v>23.231285613925532</v>
      </c>
      <c r="K41" s="10">
        <f t="shared" si="51"/>
        <v>47.231285613925536</v>
      </c>
      <c r="L41" s="10">
        <f t="shared" si="6"/>
        <v>39.788213979026217</v>
      </c>
      <c r="M41" s="10">
        <f>Tabela1[[#This Row],[Conversões + Equiv. Prod. Line]]-Tabela1[[#This Row],[meta de conversões]]</f>
        <v>7.4430716348993187</v>
      </c>
      <c r="N41" s="8">
        <f t="shared" si="52"/>
        <v>1.3030840312082994</v>
      </c>
      <c r="O41" s="11">
        <f t="shared" si="49"/>
        <v>1.0642226076821424</v>
      </c>
      <c r="P41" s="8">
        <f t="shared" si="50"/>
        <v>0.22495735500702391</v>
      </c>
      <c r="Q41" s="9">
        <f t="shared" si="53"/>
        <v>0.11786345958822574</v>
      </c>
      <c r="R41" s="2">
        <f>[1]!Tabela1[[#This Row],[A$%  (total -S)]]</f>
        <v>2.5218171288795426E-2</v>
      </c>
      <c r="S41" s="2">
        <f>[1]!Tabela1[[#This Row],[B$%  (total -S)]]</f>
        <v>0.64797817016002346</v>
      </c>
      <c r="T41" s="2">
        <f>[1]!Tabela1[[#This Row],[D$% (total-S)]]</f>
        <v>0.11859850120600167</v>
      </c>
      <c r="U41" s="2">
        <f>[1]!Tabela1[[#This Row],[F$%  (total -S)]]</f>
        <v>0.1450931139908278</v>
      </c>
      <c r="V41" s="2">
        <f>[1]!Tabela1[[#This Row],[K$%  (total -S)]]</f>
        <v>2.8009530465870423E-2</v>
      </c>
      <c r="W41" s="2">
        <f>[1]!Tabela1[[#This Row],[P$%  (total-S)]]</f>
        <v>3.5102512888481277E-2</v>
      </c>
      <c r="X41" s="2">
        <f>[1]!Tabela1[[#This Row],[S$%  (total -S)]]</f>
        <v>2.1630977793150107E-2</v>
      </c>
      <c r="Y41" s="2">
        <f>[1]!Tabela1[[#This Row],[$%  (Total-S)]]</f>
        <v>1.02163097779315</v>
      </c>
    </row>
    <row r="42" spans="1:25" x14ac:dyDescent="0.25">
      <c r="A42">
        <v>2023</v>
      </c>
      <c r="B42">
        <v>14</v>
      </c>
      <c r="C42" s="3">
        <v>45.3</v>
      </c>
      <c r="D42">
        <f t="shared" ref="D42:D47" si="54">ROUNDUP(1500/C42*7,0)</f>
        <v>232</v>
      </c>
      <c r="E42" s="4">
        <f t="shared" ref="E42:E47" si="55">ROUNDUP(1500*7/F42,0)</f>
        <v>1069</v>
      </c>
      <c r="F42" s="1">
        <f>[1]!Tabela1[[#This Row],[Ticket período]]</f>
        <v>9.8232074016962212</v>
      </c>
      <c r="G42" s="1">
        <f>[1]!Tabela2[[#This Row],[Ticket Recomendado]]</f>
        <v>13.438333333333333</v>
      </c>
      <c r="H42" s="4">
        <f>[1]!Tabela1[[#This Row],[$ Total]]/[1]!Tabela1[[#This Row],[Ticket período]]</f>
        <v>1243.9389292593157</v>
      </c>
      <c r="I42">
        <f>[1]!Tabela2[[#This Row],[Recomendações]]</f>
        <v>24</v>
      </c>
      <c r="J42" s="5">
        <f>[1]!Tabela1[[#This Row],[S$ Total]]/[1]!Tabela1[[#This Row],[Ticket período]]</f>
        <v>11.94314594992324</v>
      </c>
      <c r="K42" s="10">
        <f t="shared" si="51"/>
        <v>35.943145949923242</v>
      </c>
      <c r="L42" s="10">
        <f t="shared" si="6"/>
        <v>29.046662369949324</v>
      </c>
      <c r="M42" s="10">
        <f>Tabela1[[#This Row],[Conversões + Equiv. Prod. Line]]-Tabela1[[#This Row],[meta de conversões]]</f>
        <v>6.8964835799739177</v>
      </c>
      <c r="N42" s="8">
        <f t="shared" si="52"/>
        <v>1.3680188948278613</v>
      </c>
      <c r="O42" s="11">
        <f t="shared" ref="O42:O47" si="56">H42/E42</f>
        <v>1.1636472677823346</v>
      </c>
      <c r="P42" s="8">
        <f t="shared" ref="P42:P47" si="57">F42/C42</f>
        <v>0.21684784551205788</v>
      </c>
      <c r="Q42" s="9">
        <f t="shared" si="53"/>
        <v>0.13372549608590042</v>
      </c>
      <c r="R42" s="2">
        <f>[1]!Tabela1[[#This Row],[A$%  (total -S)]]</f>
        <v>1.719013840659734E-2</v>
      </c>
      <c r="S42" s="2">
        <f>[1]!Tabela1[[#This Row],[B$%  (total -S)]]</f>
        <v>0.61387329093940479</v>
      </c>
      <c r="T42" s="2">
        <f>[1]!Tabela1[[#This Row],[D$% (total-S)]]</f>
        <v>0.12128266160854</v>
      </c>
      <c r="U42" s="2">
        <f>[1]!Tabela1[[#This Row],[F$%  (total -S)]]</f>
        <v>0.18227308688867627</v>
      </c>
      <c r="V42" s="2">
        <f>[1]!Tabela1[[#This Row],[K$%  (total -S)]]</f>
        <v>2.4763501051814647E-2</v>
      </c>
      <c r="W42" s="2">
        <f>[1]!Tabela1[[#This Row],[P$%  (total-S)]]</f>
        <v>4.061732110496688E-2</v>
      </c>
      <c r="X42" s="2">
        <f>[1]!Tabela1[[#This Row],[S$%  (total -S)]]</f>
        <v>9.6941451518945208E-3</v>
      </c>
      <c r="Y42" s="2">
        <f>[1]!Tabela1[[#This Row],[$%  (Total-S)]]</f>
        <v>1.0096941451518944</v>
      </c>
    </row>
    <row r="43" spans="1:25" x14ac:dyDescent="0.25">
      <c r="A43">
        <v>2023</v>
      </c>
      <c r="B43">
        <v>15</v>
      </c>
      <c r="C43" s="3">
        <v>45.3</v>
      </c>
      <c r="D43">
        <f t="shared" si="54"/>
        <v>232</v>
      </c>
      <c r="E43" s="4">
        <f t="shared" si="55"/>
        <v>1065</v>
      </c>
      <c r="F43" s="1">
        <f>[1]!Tabela1[[#This Row],[Ticket período]]</f>
        <v>9.8622088006902473</v>
      </c>
      <c r="G43" s="1">
        <f>[1]!Tabela2[[#This Row],[Ticket Recomendado]]</f>
        <v>14.318936170212766</v>
      </c>
      <c r="H43" s="4">
        <f>[1]!Tabela1[[#This Row],[$ Total]]/[1]!Tabela1[[#This Row],[Ticket período]]</f>
        <v>1152.7285959389192</v>
      </c>
      <c r="I43">
        <f>[1]!Tabela2[[#This Row],[Recomendações]]</f>
        <v>47</v>
      </c>
      <c r="J43" s="5">
        <f>[1]!Tabela1[[#This Row],[S$ Total]]/[1]!Tabela1[[#This Row],[Ticket período]]</f>
        <v>57.836942317217733</v>
      </c>
      <c r="K43" s="10">
        <f t="shared" si="51"/>
        <v>104.83694231721773</v>
      </c>
      <c r="L43" s="10">
        <f t="shared" si="6"/>
        <v>35.388379632699781</v>
      </c>
      <c r="M43" s="10">
        <f>Tabela1[[#This Row],[Conversões + Equiv. Prod. Line]]-Tabela1[[#This Row],[meta de conversões]]</f>
        <v>69.448562684517952</v>
      </c>
      <c r="N43" s="8">
        <f t="shared" si="52"/>
        <v>1.4518995145601252</v>
      </c>
      <c r="O43" s="11">
        <f t="shared" si="56"/>
        <v>1.0823742684872479</v>
      </c>
      <c r="P43" s="8">
        <f t="shared" si="57"/>
        <v>0.21770880354724609</v>
      </c>
      <c r="Q43" s="9">
        <f t="shared" si="53"/>
        <v>-7.3323803263160472E-2</v>
      </c>
      <c r="R43" s="2">
        <f>[1]!Tabela1[[#This Row],[A$%  (total -S)]]</f>
        <v>2.662517744224482E-2</v>
      </c>
      <c r="S43" s="2">
        <f>[1]!Tabela1[[#This Row],[B$%  (total -S)]]</f>
        <v>0.64780889772432215</v>
      </c>
      <c r="T43" s="2">
        <f>[1]!Tabela1[[#This Row],[D$% (total-S)]]</f>
        <v>0.12451648269304243</v>
      </c>
      <c r="U43" s="2">
        <f>[1]!Tabela1[[#This Row],[F$%  (total -S)]]</f>
        <v>0.13861878025581184</v>
      </c>
      <c r="V43" s="2">
        <f>[1]!Tabela1[[#This Row],[K$%  (total -S)]]</f>
        <v>1.5011969470473351E-2</v>
      </c>
      <c r="W43" s="2">
        <f>[1]!Tabela1[[#This Row],[P$%  (total-S)]]</f>
        <v>4.7418692414105443E-2</v>
      </c>
      <c r="X43" s="2">
        <f>[1]!Tabela1[[#This Row],[S$%  (total -S)]]</f>
        <v>5.2824352186724322E-2</v>
      </c>
      <c r="Y43" s="2">
        <f>[1]!Tabela1[[#This Row],[$%  (Total-S)]]</f>
        <v>1.0528243521867244</v>
      </c>
    </row>
    <row r="44" spans="1:25" x14ac:dyDescent="0.25">
      <c r="A44">
        <v>2023</v>
      </c>
      <c r="B44">
        <v>16</v>
      </c>
      <c r="C44" s="3">
        <v>45.3</v>
      </c>
      <c r="D44">
        <f t="shared" si="54"/>
        <v>232</v>
      </c>
      <c r="E44" s="4">
        <f t="shared" si="55"/>
        <v>1075</v>
      </c>
      <c r="F44" s="1">
        <f>[1]!Tabela1[[#This Row],[Ticket período]]</f>
        <v>9.7726173285198552</v>
      </c>
      <c r="G44" s="1">
        <f>[1]!Tabela2[[#This Row],[Ticket Recomendado]]</f>
        <v>13.869393939393937</v>
      </c>
      <c r="H44" s="4">
        <f>[1]!Tabela1[[#This Row],[$ Total]]/[1]!Tabela1[[#This Row],[Ticket período]]</f>
        <v>1098.5388788132616</v>
      </c>
      <c r="I44">
        <f>[1]!Tabela2[[#This Row],[Recomendações]]</f>
        <v>33</v>
      </c>
      <c r="J44" s="5">
        <f>[1]!Tabela1[[#This Row],[S$ Total]]/[1]!Tabela1[[#This Row],[Ticket período]]</f>
        <v>14.076065279308036</v>
      </c>
      <c r="K44" s="10">
        <f t="shared" si="51"/>
        <v>47.07606527930804</v>
      </c>
      <c r="L44" s="10">
        <f t="shared" si="6"/>
        <v>39.678196862571369</v>
      </c>
      <c r="M44" s="10">
        <f>Tabela1[[#This Row],[Conversões + Equiv. Prod. Line]]-Tabela1[[#This Row],[meta de conversões]]</f>
        <v>7.3978684167366708</v>
      </c>
      <c r="N44" s="8">
        <f t="shared" si="52"/>
        <v>1.4192097647084041</v>
      </c>
      <c r="O44" s="11">
        <f t="shared" si="56"/>
        <v>1.0218966314541968</v>
      </c>
      <c r="P44" s="8">
        <f t="shared" si="57"/>
        <v>0.21573106685474294</v>
      </c>
      <c r="Q44" s="9">
        <f t="shared" si="53"/>
        <v>-4.7009953007645336E-2</v>
      </c>
      <c r="R44" s="2">
        <f>[1]!Tabela1[[#This Row],[A$%  (total -S)]]</f>
        <v>2.339111750646377E-2</v>
      </c>
      <c r="S44" s="2">
        <f>[1]!Tabela1[[#This Row],[B$%  (total -S)]]</f>
        <v>0.62856970940400414</v>
      </c>
      <c r="T44" s="2">
        <f>[1]!Tabela1[[#This Row],[D$% (total-S)]]</f>
        <v>0.16409900884158929</v>
      </c>
      <c r="U44" s="2">
        <f>[1]!Tabela1[[#This Row],[F$%  (total -S)]]</f>
        <v>0.12529274585342437</v>
      </c>
      <c r="V44" s="2">
        <f>[1]!Tabela1[[#This Row],[K$%  (total -S)]]</f>
        <v>2.0650044708434817E-2</v>
      </c>
      <c r="W44" s="2">
        <f>[1]!Tabela1[[#This Row],[P$%  (total-S)]]</f>
        <v>3.7997373686083545E-2</v>
      </c>
      <c r="X44" s="2">
        <f>[1]!Tabela1[[#This Row],[S$%  (total -S)]]</f>
        <v>1.2979758368512583E-2</v>
      </c>
      <c r="Y44" s="2">
        <f>[1]!Tabela1[[#This Row],[$%  (Total-S)]]</f>
        <v>1.0129797583685125</v>
      </c>
    </row>
    <row r="45" spans="1:25" x14ac:dyDescent="0.25">
      <c r="A45">
        <v>2023</v>
      </c>
      <c r="B45">
        <v>17</v>
      </c>
      <c r="C45" s="3">
        <v>45.3</v>
      </c>
      <c r="D45">
        <f t="shared" si="54"/>
        <v>232</v>
      </c>
      <c r="E45" s="4">
        <f t="shared" si="55"/>
        <v>1077</v>
      </c>
      <c r="F45" s="1">
        <f>[1]!Tabela1[[#This Row],[Ticket período]]</f>
        <v>9.7530134357005736</v>
      </c>
      <c r="G45" s="1">
        <f>[1]!Tabela2[[#This Row],[Ticket Recomendado]]</f>
        <v>12.273421052631578</v>
      </c>
      <c r="H45" s="4">
        <f>[1]!Tabela1[[#This Row],[$ Total]]/[1]!Tabela1[[#This Row],[Ticket período]]</f>
        <v>1101.6800234386017</v>
      </c>
      <c r="I45">
        <f>[1]!Tabela2[[#This Row],[Recomendações]]</f>
        <v>38</v>
      </c>
      <c r="J45" s="5">
        <f>[1]!Tabela1[[#This Row],[S$ Total]]/[1]!Tabela1[[#This Row],[Ticket período]]</f>
        <v>83.768981288326671</v>
      </c>
      <c r="K45" s="10">
        <f t="shared" si="51"/>
        <v>121.76898128832667</v>
      </c>
      <c r="L45" s="10">
        <f t="shared" si="6"/>
        <v>39.41843930122883</v>
      </c>
      <c r="M45" s="10">
        <f>Tabela1[[#This Row],[Conversões + Equiv. Prod. Line]]-Tabela1[[#This Row],[meta de conversões]]</f>
        <v>82.350541987097841</v>
      </c>
      <c r="N45" s="8">
        <f t="shared" si="52"/>
        <v>1.2584234742982243</v>
      </c>
      <c r="O45" s="11">
        <f t="shared" si="56"/>
        <v>1.0229155277981445</v>
      </c>
      <c r="P45" s="8">
        <f t="shared" si="57"/>
        <v>0.21529830983886478</v>
      </c>
      <c r="Q45" s="9">
        <f t="shared" si="53"/>
        <v>2.8593841200535539E-3</v>
      </c>
      <c r="R45" s="2">
        <f>[1]!Tabela1[[#This Row],[A$%  (total -S)]]</f>
        <v>2.7037480888821259E-2</v>
      </c>
      <c r="S45" s="2">
        <f>[1]!Tabela1[[#This Row],[B$%  (total -S)]]</f>
        <v>0.61905321916233891</v>
      </c>
      <c r="T45" s="2">
        <f>[1]!Tabela1[[#This Row],[D$% (total-S)]]</f>
        <v>0.15530605960965504</v>
      </c>
      <c r="U45" s="2">
        <f>[1]!Tabela1[[#This Row],[F$%  (total -S)]]</f>
        <v>0.12154424956833676</v>
      </c>
      <c r="V45" s="2">
        <f>[1]!Tabela1[[#This Row],[K$%  (total -S)]]</f>
        <v>2.5780392322880846E-2</v>
      </c>
      <c r="W45" s="2">
        <f>[1]!Tabela1[[#This Row],[P$%  (total-S)]]</f>
        <v>5.1278598447967172E-2</v>
      </c>
      <c r="X45" s="2">
        <f>[1]!Tabela1[[#This Row],[S$%  (total -S)]]</f>
        <v>8.2294992214024726E-2</v>
      </c>
      <c r="Y45" s="2">
        <f>[1]!Tabela1[[#This Row],[$%  (Total-S)]]</f>
        <v>1.0822949922140248</v>
      </c>
    </row>
    <row r="46" spans="1:25" x14ac:dyDescent="0.25">
      <c r="A46">
        <v>2023</v>
      </c>
      <c r="B46">
        <v>18</v>
      </c>
      <c r="C46" s="3">
        <v>45.3</v>
      </c>
      <c r="D46">
        <f t="shared" si="54"/>
        <v>232</v>
      </c>
      <c r="E46" s="4">
        <f t="shared" si="55"/>
        <v>1052</v>
      </c>
      <c r="F46" s="1">
        <f>[1]!Tabela1[[#This Row],[Ticket período]]</f>
        <v>9.9827522935779811</v>
      </c>
      <c r="G46" s="1">
        <f>[1]!Tabela2[[#This Row],[Ticket Recomendado]]</f>
        <v>13.482000000000003</v>
      </c>
      <c r="H46" s="4">
        <f>[1]!Tabela1[[#This Row],[$ Total]]/[1]!Tabela1[[#This Row],[Ticket período]]</f>
        <v>1040.8602518407088</v>
      </c>
      <c r="I46">
        <f>[1]!Tabela2[[#This Row],[Recomendações]]</f>
        <v>20</v>
      </c>
      <c r="J46" s="5">
        <f>[1]!Tabela1[[#This Row],[S$ Total]]/[1]!Tabela1[[#This Row],[Ticket período]]</f>
        <v>9.8169319560342618</v>
      </c>
      <c r="K46" s="10">
        <f t="shared" si="51"/>
        <v>29.81693195603426</v>
      </c>
      <c r="L46" s="10">
        <f t="shared" si="6"/>
        <v>44.696904646852438</v>
      </c>
      <c r="M46" s="10">
        <f>Tabela1[[#This Row],[Conversões + Equiv. Prod. Line]]-Tabela1[[#This Row],[meta de conversões]]</f>
        <v>-14.879972690818178</v>
      </c>
      <c r="N46" s="8">
        <f t="shared" si="52"/>
        <v>1.3505293533801424</v>
      </c>
      <c r="O46" s="11">
        <f t="shared" si="56"/>
        <v>0.98941088578014147</v>
      </c>
      <c r="P46" s="8">
        <f t="shared" si="57"/>
        <v>0.22036980780525345</v>
      </c>
      <c r="Q46" s="9">
        <f t="shared" si="53"/>
        <v>-5.5206385070013457E-2</v>
      </c>
      <c r="R46" s="2">
        <f>[1]!Tabela1[[#This Row],[A$%  (total -S)]]</f>
        <v>2.9403862362795571E-2</v>
      </c>
      <c r="S46" s="2">
        <f>[1]!Tabela1[[#This Row],[B$%  (total -S)]]</f>
        <v>0.65803851199635688</v>
      </c>
      <c r="T46" s="2">
        <f>[1]!Tabela1[[#This Row],[D$% (total-S)]]</f>
        <v>0.10452133853131672</v>
      </c>
      <c r="U46" s="2">
        <f>[1]!Tabela1[[#This Row],[F$%  (total -S)]]</f>
        <v>0.1489896414951114</v>
      </c>
      <c r="V46" s="2">
        <f>[1]!Tabela1[[#This Row],[K$%  (total -S)]]</f>
        <v>1.8122641164584716E-2</v>
      </c>
      <c r="W46" s="2">
        <f>[1]!Tabela1[[#This Row],[P$%  (total-S)]]</f>
        <v>4.0924004449834621E-2</v>
      </c>
      <c r="X46" s="2">
        <f>[1]!Tabela1[[#This Row],[S$%  (total -S)]]</f>
        <v>9.5213574121524956E-3</v>
      </c>
      <c r="Y46" s="2">
        <f>[1]!Tabela1[[#This Row],[$%  (Total-S)]]</f>
        <v>1.0095213574121524</v>
      </c>
    </row>
    <row r="47" spans="1:25" x14ac:dyDescent="0.25">
      <c r="A47">
        <v>2023</v>
      </c>
      <c r="B47">
        <v>19</v>
      </c>
      <c r="C47" s="3">
        <v>45.35</v>
      </c>
      <c r="D47">
        <f t="shared" si="54"/>
        <v>232</v>
      </c>
      <c r="E47" s="4">
        <f t="shared" si="55"/>
        <v>1007</v>
      </c>
      <c r="F47" s="1">
        <f>[1]!Tabela1[[#This Row],[Ticket período]]</f>
        <v>10.432495088408643</v>
      </c>
      <c r="G47" s="1">
        <f>[1]!Tabela2[[#This Row],[Ticket Recomendado]]</f>
        <v>14.965333333333335</v>
      </c>
      <c r="H47" s="4">
        <f>[1]!Tabela1[[#This Row],[$ Total]]/[1]!Tabela1[[#This Row],[Ticket período]]</f>
        <v>1001.260962817714</v>
      </c>
      <c r="I47">
        <f>[1]!Tabela2[[#This Row],[Recomendações]]</f>
        <v>45</v>
      </c>
      <c r="J47" s="5">
        <f>[1]!Tabela1[[#This Row],[S$ Total]]/[1]!Tabela1[[#This Row],[Ticket período]]</f>
        <v>37.83371030644301</v>
      </c>
      <c r="K47" s="10">
        <f t="shared" si="51"/>
        <v>82.83371030644301</v>
      </c>
      <c r="L47" s="10">
        <f t="shared" si="6"/>
        <v>48.42008713218717</v>
      </c>
      <c r="M47" s="10">
        <f>Tabela1[[#This Row],[Conversões + Equiv. Prod. Line]]-Tabela1[[#This Row],[meta de conversões]]</f>
        <v>34.413623174255839</v>
      </c>
      <c r="N47" s="8">
        <f t="shared" si="52"/>
        <v>1.4344922481642044</v>
      </c>
      <c r="O47" s="11">
        <f t="shared" si="56"/>
        <v>0.99430085681997415</v>
      </c>
      <c r="P47" s="8">
        <f t="shared" si="57"/>
        <v>0.23004399312918727</v>
      </c>
      <c r="Q47" s="9">
        <f t="shared" si="53"/>
        <v>-3.8044770134093804E-2</v>
      </c>
      <c r="R47" s="2">
        <f>[1]!Tabela1[[#This Row],[A$%  (total -S)]]</f>
        <v>3.4200746428066038E-2</v>
      </c>
      <c r="S47" s="2">
        <f>[1]!Tabela1[[#This Row],[B$%  (total -S)]]</f>
        <v>0.65402157758899993</v>
      </c>
      <c r="T47" s="2">
        <f>[1]!Tabela1[[#This Row],[D$% (total-S)]]</f>
        <v>0.11474835647249244</v>
      </c>
      <c r="U47" s="2">
        <f>[1]!Tabela1[[#This Row],[F$%  (total -S)]]</f>
        <v>0.12517451067356505</v>
      </c>
      <c r="V47" s="2">
        <f>[1]!Tabela1[[#This Row],[K$%  (total -S)]]</f>
        <v>3.0951303660320593E-2</v>
      </c>
      <c r="W47" s="2">
        <f>[1]!Tabela1[[#This Row],[P$%  (total-S)]]</f>
        <v>4.0903505176555763E-2</v>
      </c>
      <c r="X47" s="2">
        <f>[1]!Tabela1[[#This Row],[S$%  (total -S)]]</f>
        <v>3.9269919143168935E-2</v>
      </c>
      <c r="Y47" s="2">
        <f>[1]!Tabela1[[#This Row],[$%  (Total-S)]]</f>
        <v>1.0392699191431689</v>
      </c>
    </row>
    <row r="48" spans="1:25" x14ac:dyDescent="0.25">
      <c r="A48">
        <v>2023</v>
      </c>
      <c r="B48">
        <v>20</v>
      </c>
      <c r="C48" s="3">
        <v>45.35</v>
      </c>
      <c r="D48">
        <f t="shared" ref="D48:D55" si="58">ROUNDUP(1500/C48*7,0)</f>
        <v>232</v>
      </c>
      <c r="E48" s="4">
        <f t="shared" ref="E48:E55" si="59">ROUNDUP(1500*7/F48,0)</f>
        <v>1013</v>
      </c>
      <c r="F48" s="1">
        <f>[1]!Tabela1[[#This Row],[Ticket período]]</f>
        <v>10.371764705882352</v>
      </c>
      <c r="G48" s="1">
        <f>[1]!Tabela2[[#This Row],[Ticket Recomendado]]</f>
        <v>14.640975609756097</v>
      </c>
      <c r="H48" s="4">
        <f>[1]!Tabela1[[#This Row],[$ Total]]/[1]!Tabela1[[#This Row],[Ticket período]]</f>
        <v>979.49291767874001</v>
      </c>
      <c r="I48">
        <f>[1]!Tabela2[[#This Row],[Recomendações]]</f>
        <v>41</v>
      </c>
      <c r="J48" s="5">
        <f>[1]!Tabela1[[#This Row],[S$ Total]]/[1]!Tabela1[[#This Row],[Ticket período]]</f>
        <v>14.655172413793105</v>
      </c>
      <c r="K48" s="7">
        <f t="shared" ref="K48:K55" si="60">J48+I48</f>
        <v>55.655172413793103</v>
      </c>
      <c r="L48" s="7">
        <f t="shared" ref="L48:L55" si="61">1.5*(0.65*EXP(-0.003*H48))*H48</f>
        <v>50.563928459936768</v>
      </c>
      <c r="M48" s="10">
        <f>Tabela1[[#This Row],[Conversões + Equiv. Prod. Line]]-Tabela1[[#This Row],[meta de conversões]]</f>
        <v>5.0912439538563348</v>
      </c>
      <c r="N48" s="8">
        <f t="shared" ref="N48:N55" si="62">G48/F48</f>
        <v>1.4116185649152317</v>
      </c>
      <c r="O48" s="11">
        <f t="shared" ref="O48:O55" si="63">H48/E48</f>
        <v>0.96692291972234945</v>
      </c>
      <c r="P48" s="8">
        <f t="shared" ref="P48:P55" si="64">F48/C48</f>
        <v>0.22870484467215771</v>
      </c>
      <c r="Q48" s="9">
        <f t="shared" ref="Q48:Q55" si="65">(H48-H47)/H47</f>
        <v>-2.174063101163469E-2</v>
      </c>
      <c r="R48" s="2">
        <f>[1]!Tabela1[[#This Row],[A$%  (total -S)]]</f>
        <v>2.2040287326396957E-2</v>
      </c>
      <c r="S48" s="2">
        <f>[1]!Tabela1[[#This Row],[B$%  (total -S)]]</f>
        <v>0.66130688510484559</v>
      </c>
      <c r="T48" s="2">
        <f>[1]!Tabela1[[#This Row],[D$% (total-S)]]</f>
        <v>0.12894383589673786</v>
      </c>
      <c r="U48" s="2">
        <f>[1]!Tabela1[[#This Row],[F$%  (total -S)]]</f>
        <v>0.12583410515122112</v>
      </c>
      <c r="V48" s="2">
        <f>[1]!Tabela1[[#This Row],[K$%  (total -S)]]</f>
        <v>1.7599557470179137E-2</v>
      </c>
      <c r="W48" s="2">
        <f>[1]!Tabela1[[#This Row],[P$%  (total-S)]]</f>
        <v>4.4275329050619379E-2</v>
      </c>
      <c r="X48" s="2">
        <f>[1]!Tabela1[[#This Row],[S$%  (total -S)]]</f>
        <v>1.51892610811663E-2</v>
      </c>
      <c r="Y48" s="2">
        <f>[1]!Tabela1[[#This Row],[$%  (Total-S)]]</f>
        <v>1.0151892610811664</v>
      </c>
    </row>
    <row r="49" spans="1:25" x14ac:dyDescent="0.25">
      <c r="A49">
        <v>2023</v>
      </c>
      <c r="B49">
        <v>21</v>
      </c>
      <c r="C49" s="3">
        <v>45.35</v>
      </c>
      <c r="D49">
        <f t="shared" si="58"/>
        <v>232</v>
      </c>
      <c r="E49" s="4">
        <f t="shared" si="59"/>
        <v>1025</v>
      </c>
      <c r="F49" s="1">
        <f>[1]!Tabela1[[#This Row],[Ticket período]]</f>
        <v>10.248048523206753</v>
      </c>
      <c r="G49" s="1">
        <f>[1]!Tabela2[[#This Row],[Ticket Recomendado]]</f>
        <v>13.525</v>
      </c>
      <c r="H49" s="4">
        <f>[1]!Tabela1[[#This Row],[$ Total]]/[1]!Tabela1[[#This Row],[Ticket período]]</f>
        <v>928.68022966696526</v>
      </c>
      <c r="I49">
        <f>[1]!Tabela2[[#This Row],[Recomendações]]</f>
        <v>30</v>
      </c>
      <c r="J49" s="5">
        <f>[1]!Tabela1[[#This Row],[S$ Total]]/[1]!Tabela1[[#This Row],[Ticket período]]</f>
        <v>9.1529621308167286</v>
      </c>
      <c r="K49" s="7">
        <f t="shared" si="60"/>
        <v>39.152962130816732</v>
      </c>
      <c r="L49" s="7">
        <f t="shared" si="61"/>
        <v>55.835282553293325</v>
      </c>
      <c r="M49" s="10">
        <f>Tabela1[[#This Row],[Conversões + Equiv. Prod. Line]]-Tabela1[[#This Row],[meta de conversões]]</f>
        <v>-16.682320422476593</v>
      </c>
      <c r="N49" s="8">
        <f t="shared" si="62"/>
        <v>1.3197634622213756</v>
      </c>
      <c r="O49" s="11">
        <f t="shared" si="63"/>
        <v>0.90602949235801489</v>
      </c>
      <c r="P49" s="8">
        <f t="shared" si="64"/>
        <v>0.22597681418316987</v>
      </c>
      <c r="Q49" s="9">
        <f t="shared" si="65"/>
        <v>-5.1876524163333056E-2</v>
      </c>
      <c r="R49" s="2">
        <f>[1]!Tabela1[[#This Row],[A$%  (total -S)]]</f>
        <v>2.5362502637547059E-2</v>
      </c>
      <c r="S49" s="2">
        <f>[1]!Tabela1[[#This Row],[B$%  (total -S)]]</f>
        <v>0.62019891963621043</v>
      </c>
      <c r="T49" s="2">
        <f>[1]!Tabela1[[#This Row],[D$% (total-S)]]</f>
        <v>0.16076961878127055</v>
      </c>
      <c r="U49" s="2">
        <f>[1]!Tabela1[[#This Row],[F$%  (total -S)]]</f>
        <v>0.12740472734018865</v>
      </c>
      <c r="V49" s="2">
        <f>[1]!Tabela1[[#This Row],[K$%  (total -S)]]</f>
        <v>2.3518978029818633E-2</v>
      </c>
      <c r="W49" s="2">
        <f>[1]!Tabela1[[#This Row],[P$%  (total-S)]]</f>
        <v>4.2745253574964621E-2</v>
      </c>
      <c r="X49" s="2">
        <f>[1]!Tabela1[[#This Row],[S$%  (total -S)]]</f>
        <v>9.9539866341776598E-3</v>
      </c>
      <c r="Y49" s="2">
        <f>[1]!Tabela1[[#This Row],[$%  (Total-S)]]</f>
        <v>1.0099539866341773</v>
      </c>
    </row>
    <row r="50" spans="1:25" x14ac:dyDescent="0.25">
      <c r="A50">
        <v>2023</v>
      </c>
      <c r="B50">
        <v>22</v>
      </c>
      <c r="C50" s="3">
        <v>45.35</v>
      </c>
      <c r="D50">
        <f t="shared" si="58"/>
        <v>232</v>
      </c>
      <c r="E50" s="4">
        <f t="shared" si="59"/>
        <v>981</v>
      </c>
      <c r="F50" s="1">
        <f>[1]!Tabela1[[#This Row],[Ticket período]]</f>
        <v>10.709343283582088</v>
      </c>
      <c r="G50" s="1">
        <f>[1]!Tabela2[[#This Row],[Ticket Recomendado]]</f>
        <v>13.716666666666665</v>
      </c>
      <c r="H50" s="4">
        <f>[1]!Tabela1[[#This Row],[$ Total]]/[1]!Tabela1[[#This Row],[Ticket período]]</f>
        <v>980.32902777307231</v>
      </c>
      <c r="I50">
        <f>[1]!Tabela2[[#This Row],[Recomendações]]</f>
        <v>39</v>
      </c>
      <c r="J50" s="5">
        <f>[1]!Tabela1[[#This Row],[S$ Total]]/[1]!Tabela1[[#This Row],[Ticket período]]</f>
        <v>39.684973088083225</v>
      </c>
      <c r="K50" s="7">
        <f t="shared" si="60"/>
        <v>78.684973088083225</v>
      </c>
      <c r="L50" s="7">
        <f t="shared" si="61"/>
        <v>50.480310372428136</v>
      </c>
      <c r="M50" s="10">
        <f>Tabela1[[#This Row],[Conversões + Equiv. Prod. Line]]-Tabela1[[#This Row],[meta de conversões]]</f>
        <v>28.20466271565509</v>
      </c>
      <c r="N50" s="8">
        <f t="shared" si="62"/>
        <v>1.2808130529997055</v>
      </c>
      <c r="O50" s="11">
        <f t="shared" si="63"/>
        <v>0.9993160323884529</v>
      </c>
      <c r="P50" s="8">
        <f t="shared" si="64"/>
        <v>0.23614869423554768</v>
      </c>
      <c r="Q50" s="9">
        <f t="shared" si="65"/>
        <v>5.5615266112242816E-2</v>
      </c>
      <c r="R50" s="2">
        <f>[1]!Tabela1[[#This Row],[A$%  (total -S)]]</f>
        <v>2.3862182862194142E-2</v>
      </c>
      <c r="S50" s="2">
        <f>[1]!Tabela1[[#This Row],[B$%  (total -S)]]</f>
        <v>0.68180403690323466</v>
      </c>
      <c r="T50" s="2">
        <f>[1]!Tabela1[[#This Row],[D$% (total-S)]]</f>
        <v>9.9908870551668957E-2</v>
      </c>
      <c r="U50" s="2">
        <f>[1]!Tabela1[[#This Row],[F$%  (total -S)]]</f>
        <v>0.11574710289415566</v>
      </c>
      <c r="V50" s="2">
        <f>[1]!Tabela1[[#This Row],[K$%  (total -S)]]</f>
        <v>3.6047204936160065E-2</v>
      </c>
      <c r="W50" s="2">
        <f>[1]!Tabela1[[#This Row],[P$%  (total-S)]]</f>
        <v>4.2630601852586672E-2</v>
      </c>
      <c r="X50" s="2">
        <f>[1]!Tabela1[[#This Row],[S$%  (total -S)]]</f>
        <v>4.2189149966374122E-2</v>
      </c>
      <c r="Y50" s="2">
        <f>[1]!Tabela1[[#This Row],[$%  (Total-S)]]</f>
        <v>1.0421891499663742</v>
      </c>
    </row>
    <row r="51" spans="1:25" x14ac:dyDescent="0.25">
      <c r="A51">
        <v>2023</v>
      </c>
      <c r="B51">
        <v>23</v>
      </c>
      <c r="C51" s="3">
        <v>45.35</v>
      </c>
      <c r="D51">
        <f t="shared" si="58"/>
        <v>232</v>
      </c>
      <c r="E51" s="4">
        <f t="shared" si="59"/>
        <v>1032</v>
      </c>
      <c r="F51" s="1">
        <f>[1]!Tabela1[[#This Row],[Ticket período]]</f>
        <v>10.183500473036897</v>
      </c>
      <c r="G51" s="1">
        <f>[1]!Tabela2[[#This Row],[Ticket Recomendado]]</f>
        <v>14.153030303030302</v>
      </c>
      <c r="H51" s="4">
        <f>[1]!Tabela1[[#This Row],[$ Total]]/[1]!Tabela1[[#This Row],[Ticket período]]</f>
        <v>1050.2734392839927</v>
      </c>
      <c r="I51">
        <f>[1]!Tabela2[[#This Row],[Recomendações]]</f>
        <v>33</v>
      </c>
      <c r="J51" s="5">
        <f>[1]!Tabela1[[#This Row],[S$ Total]]/[1]!Tabela1[[#This Row],[Ticket período]]</f>
        <v>41.734175898089546</v>
      </c>
      <c r="K51" s="7">
        <f t="shared" si="60"/>
        <v>74.734175898089546</v>
      </c>
      <c r="L51" s="7">
        <f t="shared" si="61"/>
        <v>43.84530755387928</v>
      </c>
      <c r="M51" s="10">
        <f>Tabela1[[#This Row],[Conversões + Equiv. Prod. Line]]-Tabela1[[#This Row],[meta de conversões]]</f>
        <v>30.888868344210266</v>
      </c>
      <c r="N51" s="8">
        <f t="shared" si="62"/>
        <v>1.3898001321356666</v>
      </c>
      <c r="O51" s="11">
        <f t="shared" si="63"/>
        <v>1.0177068210116209</v>
      </c>
      <c r="P51" s="8">
        <f t="shared" si="64"/>
        <v>0.22455348341867468</v>
      </c>
      <c r="Q51" s="9">
        <f t="shared" si="65"/>
        <v>7.1347893951285948E-2</v>
      </c>
      <c r="R51" s="2">
        <f>[1]!Tabela1[[#This Row],[A$%  (total -S)]]</f>
        <v>2.7342981081376408E-2</v>
      </c>
      <c r="S51" s="2">
        <f>[1]!Tabela1[[#This Row],[B$%  (total -S)]]</f>
        <v>0.63192867273677988</v>
      </c>
      <c r="T51" s="2">
        <f>[1]!Tabela1[[#This Row],[D$% (total-S)]]</f>
        <v>0.13452659299322589</v>
      </c>
      <c r="U51" s="2">
        <f>[1]!Tabela1[[#This Row],[F$%  (total -S)]]</f>
        <v>0.12704555536084167</v>
      </c>
      <c r="V51" s="2">
        <f>[1]!Tabela1[[#This Row],[K$%  (total -S)]]</f>
        <v>3.0307309083226441E-2</v>
      </c>
      <c r="W51" s="2">
        <f>[1]!Tabela1[[#This Row],[P$%  (total-S)]]</f>
        <v>4.8848888744549727E-2</v>
      </c>
      <c r="X51" s="2">
        <f>[1]!Tabela1[[#This Row],[S$%  (total -S)]]</f>
        <v>4.1380814226288143E-2</v>
      </c>
      <c r="Y51" s="2">
        <f>[1]!Tabela1[[#This Row],[$%  (Total-S)]]</f>
        <v>1.0413808142262881</v>
      </c>
    </row>
    <row r="52" spans="1:25" x14ac:dyDescent="0.25">
      <c r="A52">
        <v>2023</v>
      </c>
      <c r="B52">
        <v>24</v>
      </c>
      <c r="C52" s="3">
        <v>45.35</v>
      </c>
      <c r="D52">
        <f t="shared" si="58"/>
        <v>232</v>
      </c>
      <c r="E52" s="4">
        <f t="shared" si="59"/>
        <v>1020</v>
      </c>
      <c r="F52" s="1">
        <f>[1]!Tabela1[[#This Row],[Ticket período]]</f>
        <v>10.298216374269007</v>
      </c>
      <c r="G52" s="1">
        <f>[1]!Tabela2[[#This Row],[Ticket Recomendado]]</f>
        <v>12.247272727272726</v>
      </c>
      <c r="H52" s="4">
        <f>[1]!Tabela1[[#This Row],[$ Total]]/[1]!Tabela1[[#This Row],[Ticket período]]</f>
        <v>1020.4941971083565</v>
      </c>
      <c r="I52">
        <f>[1]!Tabela2[[#This Row],[Recomendações]]</f>
        <v>33</v>
      </c>
      <c r="J52" s="5">
        <f>[1]!Tabela1[[#This Row],[S$ Total]]/[1]!Tabela1[[#This Row],[Ticket período]]</f>
        <v>56.126224094900891</v>
      </c>
      <c r="K52" s="7">
        <f t="shared" si="60"/>
        <v>89.126224094900891</v>
      </c>
      <c r="L52" s="7">
        <f t="shared" si="61"/>
        <v>46.583290161561244</v>
      </c>
      <c r="M52" s="10">
        <f>Tabela1[[#This Row],[Conversões + Equiv. Prod. Line]]-Tabela1[[#This Row],[meta de conversões]]</f>
        <v>42.542933933339647</v>
      </c>
      <c r="N52" s="8">
        <f t="shared" si="62"/>
        <v>1.1892615460939049</v>
      </c>
      <c r="O52" s="11">
        <f t="shared" si="63"/>
        <v>1.0004845069689769</v>
      </c>
      <c r="P52" s="8">
        <f t="shared" si="64"/>
        <v>0.22708305125179729</v>
      </c>
      <c r="Q52" s="9">
        <f t="shared" si="65"/>
        <v>-2.8353799174372869E-2</v>
      </c>
      <c r="R52" s="2">
        <f>[1]!Tabela1[[#This Row],[A$%  (total -S)]]</f>
        <v>2.9115107556238501E-2</v>
      </c>
      <c r="S52" s="2">
        <f>[1]!Tabela1[[#This Row],[B$%  (total -S)]]</f>
        <v>0.63461832497795934</v>
      </c>
      <c r="T52" s="2">
        <f>[1]!Tabela1[[#This Row],[D$% (total-S)]]</f>
        <v>0.12292830927502488</v>
      </c>
      <c r="U52" s="2">
        <f>[1]!Tabela1[[#This Row],[F$%  (total -S)]]</f>
        <v>0.12979423763300804</v>
      </c>
      <c r="V52" s="2">
        <f>[1]!Tabela1[[#This Row],[K$%  (total -S)]]</f>
        <v>3.3347195850850643E-2</v>
      </c>
      <c r="W52" s="2">
        <f>[1]!Tabela1[[#This Row],[P$%  (total-S)]]</f>
        <v>5.0196824706918525E-2</v>
      </c>
      <c r="X52" s="2">
        <f>[1]!Tabela1[[#This Row],[S$%  (total -S)]]</f>
        <v>5.8200008363527192E-2</v>
      </c>
      <c r="Y52" s="2">
        <f>[1]!Tabela1[[#This Row],[$%  (Total-S)]]</f>
        <v>1.058200008363527</v>
      </c>
    </row>
    <row r="53" spans="1:25" x14ac:dyDescent="0.25">
      <c r="A53">
        <v>2023</v>
      </c>
      <c r="B53">
        <v>25</v>
      </c>
      <c r="C53" s="3">
        <v>45.35</v>
      </c>
      <c r="D53">
        <f t="shared" si="58"/>
        <v>232</v>
      </c>
      <c r="E53" s="4">
        <f t="shared" si="59"/>
        <v>1004</v>
      </c>
      <c r="F53" s="1">
        <f>[1]!Tabela1[[#This Row],[Ticket período]]</f>
        <v>10.46601931330472</v>
      </c>
      <c r="G53" s="1">
        <f>[1]!Tabela2[[#This Row],[Ticket Recomendado]]</f>
        <v>13.40185185185185</v>
      </c>
      <c r="H53" s="4">
        <f>[1]!Tabela1[[#This Row],[$ Total]]/[1]!Tabela1[[#This Row],[Ticket período]]</f>
        <v>855.84210867727074</v>
      </c>
      <c r="I53">
        <f>[1]!Tabela2[[#This Row],[Recomendações]]</f>
        <v>27</v>
      </c>
      <c r="J53" s="5">
        <f>[1]!Tabela1[[#This Row],[S$ Total]]/[1]!Tabela1[[#This Row],[Ticket período]]</f>
        <v>10.892393429379569</v>
      </c>
      <c r="K53" s="7">
        <f t="shared" si="60"/>
        <v>37.892393429379567</v>
      </c>
      <c r="L53" s="7">
        <f t="shared" si="61"/>
        <v>64.022960231000496</v>
      </c>
      <c r="M53" s="10">
        <f>Tabela1[[#This Row],[Conversões + Equiv. Prod. Line]]-Tabela1[[#This Row],[meta de conversões]]</f>
        <v>-26.13056680162093</v>
      </c>
      <c r="N53" s="8">
        <f t="shared" si="62"/>
        <v>1.2805109039704341</v>
      </c>
      <c r="O53" s="11">
        <f t="shared" si="63"/>
        <v>0.8524323791606282</v>
      </c>
      <c r="P53" s="8">
        <f t="shared" si="64"/>
        <v>0.23078322631322426</v>
      </c>
      <c r="Q53" s="9">
        <f t="shared" si="65"/>
        <v>-0.16134544311730459</v>
      </c>
      <c r="R53" s="2">
        <f>[1]!Tabela1[[#This Row],[A$%  (total -S)]]</f>
        <v>1.9804913092993329E-2</v>
      </c>
      <c r="S53" s="2">
        <f>[1]!Tabela1[[#This Row],[B$%  (total -S)]]</f>
        <v>0.65428757354226708</v>
      </c>
      <c r="T53" s="2">
        <f>[1]!Tabela1[[#This Row],[D$% (total-S)]]</f>
        <v>0.10792117339522053</v>
      </c>
      <c r="U53" s="2">
        <f>[1]!Tabela1[[#This Row],[F$%  (total -S)]]</f>
        <v>0.13021654080410075</v>
      </c>
      <c r="V53" s="2">
        <f>[1]!Tabela1[[#This Row],[K$%  (total -S)]]</f>
        <v>3.8811479947928142E-2</v>
      </c>
      <c r="W53" s="2">
        <f>[1]!Tabela1[[#This Row],[P$%  (total-S)]]</f>
        <v>4.8958319217490089E-2</v>
      </c>
      <c r="X53" s="2">
        <f>[1]!Tabela1[[#This Row],[S$%  (total -S)]]</f>
        <v>1.2891173560765046E-2</v>
      </c>
      <c r="Y53" s="2">
        <f>[1]!Tabela1[[#This Row],[$%  (Total-S)]]</f>
        <v>1.0128911735607649</v>
      </c>
    </row>
    <row r="54" spans="1:25" x14ac:dyDescent="0.25">
      <c r="A54">
        <v>2023</v>
      </c>
      <c r="B54">
        <v>26</v>
      </c>
      <c r="C54" s="3">
        <v>45.35</v>
      </c>
      <c r="D54">
        <f t="shared" si="58"/>
        <v>232</v>
      </c>
      <c r="E54" s="4">
        <f t="shared" si="59"/>
        <v>990</v>
      </c>
      <c r="F54" s="1">
        <f>[1]!Tabela1[[#This Row],[Ticket período]]</f>
        <v>10.615456273764257</v>
      </c>
      <c r="G54" s="1">
        <f>[1]!Tabela2[[#This Row],[Ticket Recomendado]]</f>
        <v>12.881538461538462</v>
      </c>
      <c r="H54" s="4">
        <f>[1]!Tabela1[[#This Row],[$ Total]]/[1]!Tabela1[[#This Row],[Ticket período]]</f>
        <v>1006.1687221608044</v>
      </c>
      <c r="I54">
        <f>[1]!Tabela2[[#This Row],[Recomendações]]</f>
        <v>52</v>
      </c>
      <c r="J54" s="5">
        <f>[1]!Tabela1[[#This Row],[S$ Total]]/[1]!Tabela1[[#This Row],[Ticket período]]</f>
        <v>33.48136819122486</v>
      </c>
      <c r="K54" s="7">
        <f t="shared" si="60"/>
        <v>85.48136819122486</v>
      </c>
      <c r="L54" s="7">
        <f t="shared" si="61"/>
        <v>47.946273310981667</v>
      </c>
      <c r="M54" s="10">
        <f>Tabela1[[#This Row],[Conversões + Equiv. Prod. Line]]-Tabela1[[#This Row],[meta de conversões]]</f>
        <v>37.535094880243193</v>
      </c>
      <c r="N54" s="8">
        <f t="shared" si="62"/>
        <v>1.2134700694283627</v>
      </c>
      <c r="O54" s="11">
        <f t="shared" si="63"/>
        <v>1.0163320425866711</v>
      </c>
      <c r="P54" s="8">
        <f t="shared" si="64"/>
        <v>0.23407841838509938</v>
      </c>
      <c r="Q54" s="9">
        <f t="shared" si="65"/>
        <v>0.17564760130331497</v>
      </c>
      <c r="R54" s="2">
        <f>[1]!Tabela1[[#This Row],[A$%  (total -S)]]</f>
        <v>3.4064143059471537E-2</v>
      </c>
      <c r="S54" s="2">
        <f>[1]!Tabela1[[#This Row],[B$%  (total -S)]]</f>
        <v>0.68048442867200643</v>
      </c>
      <c r="T54" s="2">
        <f>[1]!Tabela1[[#This Row],[D$% (total-S)]]</f>
        <v>0.11819097217976207</v>
      </c>
      <c r="U54" s="2">
        <f>[1]!Tabela1[[#This Row],[F$%  (total -S)]]</f>
        <v>9.8313233107299156E-2</v>
      </c>
      <c r="V54" s="2">
        <f>[1]!Tabela1[[#This Row],[K$%  (total -S)]]</f>
        <v>2.1737404162015195E-2</v>
      </c>
      <c r="W54" s="2">
        <f>[1]!Tabela1[[#This Row],[P$%  (total-S)]]</f>
        <v>4.7209818819445672E-2</v>
      </c>
      <c r="X54" s="2">
        <f>[1]!Tabela1[[#This Row],[S$%  (total -S)]]</f>
        <v>3.4421510729615155E-2</v>
      </c>
      <c r="Y54" s="2">
        <f>[1]!Tabela1[[#This Row],[$%  (Total-S)]]</f>
        <v>1.0344215107296151</v>
      </c>
    </row>
    <row r="55" spans="1:25" x14ac:dyDescent="0.25">
      <c r="A55">
        <v>2023</v>
      </c>
      <c r="B55">
        <v>27</v>
      </c>
      <c r="C55" s="3">
        <v>45.35</v>
      </c>
      <c r="D55">
        <f t="shared" si="58"/>
        <v>232</v>
      </c>
      <c r="E55" s="4">
        <f t="shared" si="59"/>
        <v>1021</v>
      </c>
      <c r="F55" s="1">
        <f>[1]!Tabela1[[#This Row],[Ticket período]]</f>
        <v>10.290008857395923</v>
      </c>
      <c r="G55" s="1">
        <f>[1]!Tabela2[[#This Row],[Ticket Recomendado]]</f>
        <v>13.323400000000001</v>
      </c>
      <c r="H55" s="4">
        <f>[1]!Tabela1[[#This Row],[$ Total]]/[1]!Tabela1[[#This Row],[Ticket período]]</f>
        <v>1115.6093506499374</v>
      </c>
      <c r="I55">
        <f>[1]!Tabela2[[#This Row],[Recomendações]]</f>
        <v>50</v>
      </c>
      <c r="J55" s="5">
        <f>[1]!Tabela1[[#This Row],[S$ Total]]/[1]!Tabela1[[#This Row],[Ticket período]]</f>
        <v>28.474222331636462</v>
      </c>
      <c r="K55" s="7">
        <f t="shared" si="60"/>
        <v>78.474222331636469</v>
      </c>
      <c r="L55" s="7">
        <f t="shared" si="61"/>
        <v>38.283162476725103</v>
      </c>
      <c r="M55" s="10">
        <f>Tabela1[[#This Row],[Conversões + Equiv. Prod. Line]]-Tabela1[[#This Row],[meta de conversões]]</f>
        <v>40.191059854911366</v>
      </c>
      <c r="N55" s="8">
        <f t="shared" si="62"/>
        <v>1.2947899447553763</v>
      </c>
      <c r="O55" s="11">
        <f t="shared" si="63"/>
        <v>1.0926634188540032</v>
      </c>
      <c r="P55" s="8">
        <f t="shared" si="64"/>
        <v>0.22690206962284284</v>
      </c>
      <c r="Q55" s="9">
        <f t="shared" si="65"/>
        <v>0.10876965868517863</v>
      </c>
      <c r="R55" s="2">
        <f>[1]!Tabela1[[#This Row],[A$%  (total -S)]]</f>
        <v>2.5986377792668887E-2</v>
      </c>
      <c r="S55" s="2">
        <f>[1]!Tabela1[[#This Row],[B$%  (total -S)]]</f>
        <v>0.68084509667879323</v>
      </c>
      <c r="T55" s="2">
        <f>[1]!Tabela1[[#This Row],[D$% (total-S)]]</f>
        <v>0.1226106513659324</v>
      </c>
      <c r="U55" s="2">
        <f>[1]!Tabela1[[#This Row],[F$%  (total -S)]]</f>
        <v>0.10062604813702188</v>
      </c>
      <c r="V55" s="2">
        <f>[1]!Tabela1[[#This Row],[K$%  (total -S)]]</f>
        <v>2.0697028618270188E-2</v>
      </c>
      <c r="W55" s="2">
        <f>[1]!Tabela1[[#This Row],[P$%  (total-S)]]</f>
        <v>4.9234797407313471E-2</v>
      </c>
      <c r="X55" s="2">
        <f>[1]!Tabela1[[#This Row],[S$%  (total -S)]]</f>
        <v>2.6191980729832077E-2</v>
      </c>
      <c r="Y55" s="2">
        <f>[1]!Tabela1[[#This Row],[$%  (Total-S)]]</f>
        <v>1.0261919807298321</v>
      </c>
    </row>
    <row r="56" spans="1:25" x14ac:dyDescent="0.25">
      <c r="A56">
        <v>2023</v>
      </c>
      <c r="B56">
        <v>28</v>
      </c>
      <c r="C56" s="3">
        <v>45.35</v>
      </c>
      <c r="D56">
        <f t="shared" ref="D56:D63" si="66">ROUNDUP(1500/C56*7,0)</f>
        <v>232</v>
      </c>
      <c r="E56" s="4">
        <f t="shared" ref="E56:E67" si="67">ROUNDUP(1500*7/F56,0)</f>
        <v>1015</v>
      </c>
      <c r="F56" s="1">
        <f>[1]!Tabela1[[#This Row],[Ticket período]]</f>
        <v>10.352050092764379</v>
      </c>
      <c r="G56" s="1">
        <f>[1]!Tabela2[[#This Row],[Ticket Recomendado]]</f>
        <v>13.320344827586208</v>
      </c>
      <c r="H56" s="4">
        <f>[1]!Tabela1[[#This Row],[$ Total]]/[1]!Tabela1[[#This Row],[Ticket período]]</f>
        <v>1003.4968897206093</v>
      </c>
      <c r="I56">
        <f>[1]!Tabela2[[#This Row],[Recomendações]]</f>
        <v>29</v>
      </c>
      <c r="J56" s="5">
        <f>[1]!Tabela1[[#This Row],[S$ Total]]/[1]!Tabela1[[#This Row],[Ticket período]]</f>
        <v>19.609642358849086</v>
      </c>
      <c r="K56" s="7">
        <f t="shared" ref="K56:K67" si="68">J56+I56</f>
        <v>48.609642358849086</v>
      </c>
      <c r="L56" s="7">
        <f t="shared" ref="L56:L72" si="69">1.5*(0.65*EXP(-0.003*H56))*H56</f>
        <v>48.203787251582604</v>
      </c>
      <c r="M56" s="10">
        <f>Tabela1[[#This Row],[Conversões + Equiv. Prod. Line]]-Tabela1[[#This Row],[meta de conversões]]</f>
        <v>0.40585510726648266</v>
      </c>
      <c r="N56" s="8">
        <f t="shared" ref="N56:N67" si="70">G56/F56</f>
        <v>1.2867349663325658</v>
      </c>
      <c r="O56" s="11">
        <f t="shared" ref="O56:O67" si="71">H56/E56</f>
        <v>0.98866688642424561</v>
      </c>
      <c r="P56" s="8">
        <f t="shared" ref="P56:P67" si="72">F56/C56</f>
        <v>0.22827012332446261</v>
      </c>
      <c r="Q56" s="9">
        <f t="shared" ref="Q56:Q67" si="73">(H56-H55)/H55</f>
        <v>-0.10049437185517768</v>
      </c>
      <c r="R56" s="2">
        <f>[1]!Tabela1[[#This Row],[A$%  (total -S)]]</f>
        <v>2.3465304496978517E-2</v>
      </c>
      <c r="S56" s="2">
        <f>[1]!Tabela1[[#This Row],[B$%  (total -S)]]</f>
        <v>0.66238698403750873</v>
      </c>
      <c r="T56" s="2">
        <f>[1]!Tabela1[[#This Row],[D$% (total-S)]]</f>
        <v>0.13129786573738284</v>
      </c>
      <c r="U56" s="2">
        <f>[1]!Tabela1[[#This Row],[F$%  (total -S)]]</f>
        <v>0.12021933738115187</v>
      </c>
      <c r="V56" s="2">
        <f>[1]!Tabela1[[#This Row],[K$%  (total -S)]]</f>
        <v>2.0885103973764228E-2</v>
      </c>
      <c r="W56" s="2">
        <f>[1]!Tabela1[[#This Row],[P$%  (total-S)]]</f>
        <v>4.1745404373213772E-2</v>
      </c>
      <c r="X56" s="2">
        <f>[1]!Tabela1[[#This Row],[S$%  (total -S)]]</f>
        <v>1.9930782121052256E-2</v>
      </c>
      <c r="Y56" s="2">
        <f>[1]!Tabela1[[#This Row],[$%  (Total-S)]]</f>
        <v>1.0199307821210519</v>
      </c>
    </row>
    <row r="57" spans="1:25" x14ac:dyDescent="0.25">
      <c r="A57">
        <v>2023</v>
      </c>
      <c r="B57">
        <v>29</v>
      </c>
      <c r="C57" s="3">
        <v>45.35</v>
      </c>
      <c r="D57">
        <f t="shared" si="66"/>
        <v>232</v>
      </c>
      <c r="E57" s="4">
        <f t="shared" si="67"/>
        <v>1013</v>
      </c>
      <c r="F57" s="1">
        <f>[1]!Tabela1[[#This Row],[Ticket período]]</f>
        <v>10.372683851402577</v>
      </c>
      <c r="G57" s="1">
        <f>[1]!Tabela2[[#This Row],[Ticket Recomendado]]</f>
        <v>11.868771929824561</v>
      </c>
      <c r="H57" s="4">
        <f>[1]!Tabela1[[#This Row],[$ Total]]/[1]!Tabela1[[#This Row],[Ticket período]]</f>
        <v>1306.0004784176524</v>
      </c>
      <c r="I57">
        <f>[1]!Tabela2[[#This Row],[Recomendações]]</f>
        <v>57</v>
      </c>
      <c r="J57" s="5">
        <f>[1]!Tabela1[[#This Row],[S$ Total]]/[1]!Tabela1[[#This Row],[Ticket período]]</f>
        <v>28.343676931814112</v>
      </c>
      <c r="K57" s="7">
        <f t="shared" si="68"/>
        <v>85.343676931814116</v>
      </c>
      <c r="L57" s="7">
        <f t="shared" si="69"/>
        <v>25.315210811541473</v>
      </c>
      <c r="M57" s="10">
        <f>Tabela1[[#This Row],[Conversões + Equiv. Prod. Line]]-Tabela1[[#This Row],[meta de conversões]]</f>
        <v>60.02846612027264</v>
      </c>
      <c r="N57" s="8">
        <f t="shared" si="70"/>
        <v>1.1442334597154125</v>
      </c>
      <c r="O57" s="11">
        <f t="shared" si="71"/>
        <v>1.2892403538180182</v>
      </c>
      <c r="P57" s="8">
        <f t="shared" si="72"/>
        <v>0.22872511248958274</v>
      </c>
      <c r="Q57" s="9">
        <f t="shared" si="73"/>
        <v>0.30144945320285482</v>
      </c>
      <c r="R57" s="2">
        <f>[1]!Tabela1[[#This Row],[A$%  (total -S)]]</f>
        <v>2.2191403246197183E-2</v>
      </c>
      <c r="S57" s="2">
        <f>[1]!Tabela1[[#This Row],[B$%  (total -S)]]</f>
        <v>0.66680512236405343</v>
      </c>
      <c r="T57" s="2">
        <f>[1]!Tabela1[[#This Row],[D$% (total-S)]]</f>
        <v>0.13895474189001253</v>
      </c>
      <c r="U57" s="2">
        <f>[1]!Tabela1[[#This Row],[F$%  (total -S)]]</f>
        <v>0.11125032530668161</v>
      </c>
      <c r="V57" s="2">
        <f>[1]!Tabela1[[#This Row],[K$%  (total -S)]]</f>
        <v>2.1377622119620677E-2</v>
      </c>
      <c r="W57" s="2">
        <f>[1]!Tabela1[[#This Row],[P$%  (total-S)]]</f>
        <v>3.942078507343455E-2</v>
      </c>
      <c r="X57" s="2">
        <f>[1]!Tabela1[[#This Row],[S$%  (total -S)]]</f>
        <v>2.2184108360595832E-2</v>
      </c>
      <c r="Y57" s="2">
        <f>[1]!Tabela1[[#This Row],[$%  (Total-S)]]</f>
        <v>1.0221841083605958</v>
      </c>
    </row>
    <row r="58" spans="1:25" x14ac:dyDescent="0.25">
      <c r="A58">
        <v>2023</v>
      </c>
      <c r="B58">
        <v>30</v>
      </c>
      <c r="C58" s="3">
        <v>45.35</v>
      </c>
      <c r="D58">
        <f t="shared" si="66"/>
        <v>232</v>
      </c>
      <c r="E58" s="4">
        <f t="shared" si="67"/>
        <v>1062</v>
      </c>
      <c r="F58" s="1">
        <f>[1]!Tabela1[[#This Row],[Ticket período]]</f>
        <v>9.8922546634225466</v>
      </c>
      <c r="G58" s="1">
        <f>[1]!Tabela2[[#This Row],[Ticket Recomendado]]</f>
        <v>12.511470588235293</v>
      </c>
      <c r="H58" s="4">
        <f>[1]!Tabela1[[#This Row],[$ Total]]/[1]!Tabela1[[#This Row],[Ticket período]]</f>
        <v>1244.9719372258905</v>
      </c>
      <c r="I58">
        <f>[1]!Tabela2[[#This Row],[Recomendações]]</f>
        <v>34</v>
      </c>
      <c r="J58" s="5">
        <f>[1]!Tabela1[[#This Row],[S$ Total]]/[1]!Tabela1[[#This Row],[Ticket período]]</f>
        <v>44.670860734303616</v>
      </c>
      <c r="K58" s="7">
        <f t="shared" si="68"/>
        <v>78.670860734303616</v>
      </c>
      <c r="L58" s="7">
        <f t="shared" si="69"/>
        <v>28.980832077285307</v>
      </c>
      <c r="M58" s="10">
        <f>Tabela1[[#This Row],[Conversões + Equiv. Prod. Line]]-Tabela1[[#This Row],[meta de conversões]]</f>
        <v>49.69002865701831</v>
      </c>
      <c r="N58" s="8">
        <f t="shared" si="70"/>
        <v>1.2647744133091843</v>
      </c>
      <c r="O58" s="11">
        <f t="shared" si="71"/>
        <v>1.1722899597230607</v>
      </c>
      <c r="P58" s="8">
        <f t="shared" si="72"/>
        <v>0.21813130459586652</v>
      </c>
      <c r="Q58" s="9">
        <f t="shared" si="73"/>
        <v>-4.6729340609204001E-2</v>
      </c>
      <c r="R58" s="2">
        <f>[1]!Tabela1[[#This Row],[A$%  (total -S)]]</f>
        <v>2.0675975279116101E-2</v>
      </c>
      <c r="S58" s="2">
        <f>[1]!Tabela1[[#This Row],[B$%  (total -S)]]</f>
        <v>0.66850596013547536</v>
      </c>
      <c r="T58" s="2">
        <f>[1]!Tabela1[[#This Row],[D$% (total-S)]]</f>
        <v>0.14188497595191804</v>
      </c>
      <c r="U58" s="2">
        <f>[1]!Tabela1[[#This Row],[F$%  (total -S)]]</f>
        <v>0.10076676602159426</v>
      </c>
      <c r="V58" s="2">
        <f>[1]!Tabela1[[#This Row],[K$%  (total -S)]]</f>
        <v>1.5248848064786357E-2</v>
      </c>
      <c r="W58" s="2">
        <f>[1]!Tabela1[[#This Row],[P$%  (total-S)]]</f>
        <v>5.2917474547109933E-2</v>
      </c>
      <c r="X58" s="2">
        <f>[1]!Tabela1[[#This Row],[S$%  (total -S)]]</f>
        <v>3.72163797977038E-2</v>
      </c>
      <c r="Y58" s="2">
        <f>[1]!Tabela1[[#This Row],[$%  (Total-S)]]</f>
        <v>1.0372163797977039</v>
      </c>
    </row>
    <row r="59" spans="1:25" x14ac:dyDescent="0.25">
      <c r="A59">
        <v>2023</v>
      </c>
      <c r="B59">
        <v>31</v>
      </c>
      <c r="C59" s="3">
        <v>45.35</v>
      </c>
      <c r="D59">
        <f t="shared" si="66"/>
        <v>232</v>
      </c>
      <c r="E59" s="4">
        <f t="shared" si="67"/>
        <v>1032</v>
      </c>
      <c r="F59" s="1">
        <f>[1]!Tabela1[[#This Row],[Ticket período]]</f>
        <v>10.178948412698414</v>
      </c>
      <c r="G59" s="1">
        <f>[1]!Tabela2[[#This Row],[Ticket Recomendado]]</f>
        <v>13.196981132075473</v>
      </c>
      <c r="H59" s="4">
        <f>[1]!Tabela1[[#This Row],[$ Total]]/[1]!Tabela1[[#This Row],[Ticket período]]</f>
        <v>998.16402052926969</v>
      </c>
      <c r="I59">
        <f>[1]!Tabela2[[#This Row],[Recomendações]]</f>
        <v>53</v>
      </c>
      <c r="J59" s="5">
        <f>[1]!Tabela1[[#This Row],[S$ Total]]/[1]!Tabela1[[#This Row],[Ticket período]]</f>
        <v>4.5191308703966122</v>
      </c>
      <c r="K59" s="7">
        <f t="shared" si="68"/>
        <v>57.519130870396609</v>
      </c>
      <c r="L59" s="7">
        <f t="shared" si="69"/>
        <v>48.720882768678294</v>
      </c>
      <c r="M59" s="10">
        <f>Tabela1[[#This Row],[Conversões + Equiv. Prod. Line]]-Tabela1[[#This Row],[meta de conversões]]</f>
        <v>8.7982481017183147</v>
      </c>
      <c r="N59" s="8">
        <f t="shared" si="70"/>
        <v>1.2964974963044327</v>
      </c>
      <c r="O59" s="11">
        <f t="shared" si="71"/>
        <v>0.9672131981872768</v>
      </c>
      <c r="P59" s="8">
        <f t="shared" si="72"/>
        <v>0.22445310722598488</v>
      </c>
      <c r="Q59" s="9">
        <f t="shared" si="73"/>
        <v>-0.19824375900919561</v>
      </c>
      <c r="R59" s="2">
        <f>[1]!Tabela1[[#This Row],[A$%  (total -S)]]</f>
        <v>2.923803202646932E-2</v>
      </c>
      <c r="S59" s="2">
        <f>[1]!Tabela1[[#This Row],[B$%  (total -S)]]</f>
        <v>0.636196912694038</v>
      </c>
      <c r="T59" s="2">
        <f>[1]!Tabela1[[#This Row],[D$% (total-S)]]</f>
        <v>0.1686937269423372</v>
      </c>
      <c r="U59" s="2">
        <f>[1]!Tabela1[[#This Row],[F$%  (total -S)]]</f>
        <v>0.10685541948754691</v>
      </c>
      <c r="V59" s="2">
        <f>[1]!Tabela1[[#This Row],[K$%  (total -S)]]</f>
        <v>1.811469685479223E-2</v>
      </c>
      <c r="W59" s="2">
        <f>[1]!Tabela1[[#This Row],[P$%  (total-S)]]</f>
        <v>4.090121199481641E-2</v>
      </c>
      <c r="X59" s="2">
        <f>[1]!Tabela1[[#This Row],[S$%  (total -S)]]</f>
        <v>4.5480341291223962E-3</v>
      </c>
      <c r="Y59" s="2">
        <f>[1]!Tabela1[[#This Row],[$%  (Total-S)]]</f>
        <v>1.0045480341291226</v>
      </c>
    </row>
    <row r="60" spans="1:25" x14ac:dyDescent="0.25">
      <c r="A60">
        <v>2023</v>
      </c>
      <c r="B60">
        <v>32</v>
      </c>
      <c r="C60" s="3">
        <v>45.35</v>
      </c>
      <c r="D60">
        <f t="shared" si="66"/>
        <v>232</v>
      </c>
      <c r="E60" s="4">
        <f t="shared" si="67"/>
        <v>1034</v>
      </c>
      <c r="F60" s="1">
        <f>[1]!Tabela1[[#This Row],[Ticket período]]</f>
        <v>10.163086319218241</v>
      </c>
      <c r="G60" s="1">
        <f>[1]!Tabela2[[#This Row],[Ticket Recomendado]]</f>
        <v>13.417272727272726</v>
      </c>
      <c r="H60" s="4">
        <f>[1]!Tabela1[[#This Row],[$ Total]]/[1]!Tabela1[[#This Row],[Ticket período]]</f>
        <v>1170.6189630683014</v>
      </c>
      <c r="I60">
        <f>[1]!Tabela2[[#This Row],[Recomendações]]</f>
        <v>66</v>
      </c>
      <c r="J60" s="5">
        <f>[1]!Tabela1[[#This Row],[S$ Total]]/[1]!Tabela1[[#This Row],[Ticket período]]</f>
        <v>16.410369206834194</v>
      </c>
      <c r="K60" s="7">
        <f t="shared" si="68"/>
        <v>82.41036920683419</v>
      </c>
      <c r="L60" s="7">
        <f t="shared" si="69"/>
        <v>34.059643861832058</v>
      </c>
      <c r="M60" s="10">
        <f>Tabela1[[#This Row],[Conversões + Equiv. Prod. Line]]-Tabela1[[#This Row],[meta de conversões]]</f>
        <v>48.350725345002132</v>
      </c>
      <c r="N60" s="8">
        <f t="shared" si="70"/>
        <v>1.3201966711530206</v>
      </c>
      <c r="O60" s="11">
        <f t="shared" si="71"/>
        <v>1.1321266567391697</v>
      </c>
      <c r="P60" s="8">
        <f t="shared" si="72"/>
        <v>0.22410333669720486</v>
      </c>
      <c r="Q60" s="9">
        <f t="shared" si="73"/>
        <v>0.17277214865708002</v>
      </c>
      <c r="R60" s="2">
        <f>[1]!Tabela1[[#This Row],[A$%  (total -S)]]</f>
        <v>2.4995458007683574E-2</v>
      </c>
      <c r="S60" s="2">
        <f>[1]!Tabela1[[#This Row],[B$%  (total -S)]]</f>
        <v>0.64892211216948747</v>
      </c>
      <c r="T60" s="2">
        <f>[1]!Tabela1[[#This Row],[D$% (total-S)]]</f>
        <v>0.12325072817030984</v>
      </c>
      <c r="U60" s="2">
        <f>[1]!Tabela1[[#This Row],[F$%  (total -S)]]</f>
        <v>0.13455731790543282</v>
      </c>
      <c r="V60" s="2">
        <f>[1]!Tabela1[[#This Row],[K$%  (total -S)]]</f>
        <v>1.5313306175216949E-2</v>
      </c>
      <c r="W60" s="2">
        <f>[1]!Tabela1[[#This Row],[P$%  (total-S)]]</f>
        <v>5.2961077571869276E-2</v>
      </c>
      <c r="X60" s="2">
        <f>[1]!Tabela1[[#This Row],[S$%  (total -S)]]</f>
        <v>1.4217853942615708E-2</v>
      </c>
      <c r="Y60" s="2">
        <f>[1]!Tabela1[[#This Row],[$%  (Total-S)]]</f>
        <v>1.0142178539426157</v>
      </c>
    </row>
    <row r="61" spans="1:25" x14ac:dyDescent="0.25">
      <c r="A61">
        <v>2023</v>
      </c>
      <c r="B61">
        <v>33</v>
      </c>
      <c r="C61" s="3">
        <v>45.35</v>
      </c>
      <c r="D61">
        <f t="shared" si="66"/>
        <v>232</v>
      </c>
      <c r="E61" s="4">
        <f t="shared" si="67"/>
        <v>1037</v>
      </c>
      <c r="F61" s="1">
        <f>[1]!Tabela1[[#This Row],[Ticket período]]</f>
        <v>10.126496872207328</v>
      </c>
      <c r="G61" s="1">
        <f>[1]!Tabela2[[#This Row],[Ticket Recomendado]]</f>
        <v>0</v>
      </c>
      <c r="H61" s="4">
        <f>[1]!Tabela1[[#This Row],[$ Total]]/[1]!Tabela1[[#This Row],[Ticket período]]</f>
        <v>1097.6400531227214</v>
      </c>
      <c r="I61">
        <v>0</v>
      </c>
      <c r="J61" s="5">
        <f>[1]!Tabela1[[#This Row],[S$ Total]]/[1]!Tabela1[[#This Row],[Ticket período]]</f>
        <v>43.117829503346627</v>
      </c>
      <c r="K61" s="7">
        <f t="shared" si="68"/>
        <v>43.117829503346627</v>
      </c>
      <c r="L61" s="7">
        <f t="shared" si="69"/>
        <v>39.752780188398823</v>
      </c>
      <c r="M61" s="10">
        <f>Tabela1[[#This Row],[Conversões + Equiv. Prod. Line]]-Tabela1[[#This Row],[meta de conversões]]</f>
        <v>3.3650493149478038</v>
      </c>
      <c r="N61" s="8">
        <f t="shared" si="70"/>
        <v>0</v>
      </c>
      <c r="O61" s="11">
        <f t="shared" si="71"/>
        <v>1.0584764253835308</v>
      </c>
      <c r="P61" s="8">
        <f t="shared" si="72"/>
        <v>0.22329651316884958</v>
      </c>
      <c r="Q61" s="9">
        <f t="shared" si="73"/>
        <v>-6.2342155943122132E-2</v>
      </c>
      <c r="R61" s="2">
        <f>[1]!Tabela1[[#This Row],[A$%  (total -S)]]</f>
        <v>2.8027975964772214E-2</v>
      </c>
      <c r="S61" s="2">
        <f>[1]!Tabela1[[#This Row],[B$%  (total -S)]]</f>
        <v>0.65104879774786617</v>
      </c>
      <c r="T61" s="2">
        <f>[1]!Tabela1[[#This Row],[D$% (total-S)]]</f>
        <v>0.13495662749403087</v>
      </c>
      <c r="U61" s="2">
        <f>[1]!Tabela1[[#This Row],[F$%  (total -S)]]</f>
        <v>0.10914263296504501</v>
      </c>
      <c r="V61" s="2">
        <f>[1]!Tabela1[[#This Row],[K$%  (total -S)]]</f>
        <v>2.6673758440147775E-2</v>
      </c>
      <c r="W61" s="2">
        <f>[1]!Tabela1[[#This Row],[P$%  (total-S)]]</f>
        <v>5.0150207388138156E-2</v>
      </c>
      <c r="X61" s="2">
        <f>[1]!Tabela1[[#This Row],[S$%  (total -S)]]</f>
        <v>4.0888497688892543E-2</v>
      </c>
      <c r="Y61" s="2">
        <f>[1]!Tabela1[[#This Row],[$%  (Total-S)]]</f>
        <v>1.0408884976888928</v>
      </c>
    </row>
    <row r="62" spans="1:25" x14ac:dyDescent="0.25">
      <c r="A62">
        <v>2023</v>
      </c>
      <c r="B62">
        <v>34</v>
      </c>
      <c r="C62" s="3">
        <v>45.35</v>
      </c>
      <c r="D62">
        <f t="shared" si="66"/>
        <v>232</v>
      </c>
      <c r="E62" s="4">
        <f t="shared" si="67"/>
        <v>1068</v>
      </c>
      <c r="F62" s="1">
        <f>[1]!Tabela1[[#This Row],[Ticket período]]</f>
        <v>9.8342971086739794</v>
      </c>
      <c r="G62" s="1">
        <f>[1]!Tabela2[[#This Row],[Ticket Recomendado]]</f>
        <v>13.417272727272726</v>
      </c>
      <c r="H62" s="4">
        <f>[1]!Tabela1[[#This Row],[$ Total]]/[1]!Tabela1[[#This Row],[Ticket período]]</f>
        <v>968.17954549602518</v>
      </c>
      <c r="I62">
        <f>[1]!Tabela2[[#This Row],[Recomendações]]</f>
        <v>66</v>
      </c>
      <c r="J62" s="5">
        <f>[1]!Tabela1[[#This Row],[S$ Total]]/[1]!Tabela1[[#This Row],[Ticket período]]</f>
        <v>26.234716843407202</v>
      </c>
      <c r="K62" s="7">
        <f t="shared" si="68"/>
        <v>92.234716843407199</v>
      </c>
      <c r="L62" s="7">
        <f t="shared" si="69"/>
        <v>51.705342177177343</v>
      </c>
      <c r="M62" s="10">
        <f>Tabela1[[#This Row],[Conversões + Equiv. Prod. Line]]-Tabela1[[#This Row],[meta de conversões]]</f>
        <v>40.529374666229856</v>
      </c>
      <c r="N62" s="8">
        <f t="shared" si="70"/>
        <v>1.3643346930649995</v>
      </c>
      <c r="O62" s="11">
        <f t="shared" si="71"/>
        <v>0.90653515495882508</v>
      </c>
      <c r="P62" s="8">
        <f t="shared" si="72"/>
        <v>0.21685329897847805</v>
      </c>
      <c r="Q62" s="9">
        <f t="shared" si="73"/>
        <v>-0.11794440924271</v>
      </c>
      <c r="R62" s="2">
        <f>[1]!Tabela1[[#This Row],[A$%  (total -S)]]</f>
        <v>3.1522020746421617E-2</v>
      </c>
      <c r="S62" s="2">
        <f>[1]!Tabela1[[#This Row],[B$%  (total -S)]]</f>
        <v>0.61743027598338596</v>
      </c>
      <c r="T62" s="2">
        <f>[1]!Tabela1[[#This Row],[D$% (total-S)]]</f>
        <v>0.14587247267936326</v>
      </c>
      <c r="U62" s="2">
        <f>[1]!Tabela1[[#This Row],[F$%  (total -S)]]</f>
        <v>0.12065642987331118</v>
      </c>
      <c r="V62" s="2">
        <f>[1]!Tabela1[[#This Row],[K$%  (total -S)]]</f>
        <v>3.0188050709718743E-2</v>
      </c>
      <c r="W62" s="2">
        <f>[1]!Tabela1[[#This Row],[P$%  (total-S)]]</f>
        <v>5.43307500077993E-2</v>
      </c>
      <c r="X62" s="2">
        <f>[1]!Tabela1[[#This Row],[S$%  (total -S)]]</f>
        <v>2.7851649104474636E-2</v>
      </c>
      <c r="Y62" s="2">
        <f>[1]!Tabela1[[#This Row],[$%  (Total-S)]]</f>
        <v>1.0278516491044747</v>
      </c>
    </row>
    <row r="63" spans="1:25" x14ac:dyDescent="0.25">
      <c r="A63">
        <v>2023</v>
      </c>
      <c r="B63">
        <v>35</v>
      </c>
      <c r="C63" s="3">
        <v>45.35</v>
      </c>
      <c r="D63">
        <f t="shared" si="66"/>
        <v>232</v>
      </c>
      <c r="E63" s="4">
        <f t="shared" si="67"/>
        <v>1047</v>
      </c>
      <c r="F63" s="1">
        <f>[1]!Tabela1[[#This Row],[Ticket período]]</f>
        <v>10.037154195011338</v>
      </c>
      <c r="G63" s="1">
        <f>[1]!Tabela2[[#This Row],[Ticket Recomendado]]</f>
        <v>15.414969104075293</v>
      </c>
      <c r="H63" s="4">
        <f>[1]!Tabela1[[#This Row],[$ Total]]/[1]!Tabela1[[#This Row],[Ticket período]]</f>
        <v>835.86758501362419</v>
      </c>
      <c r="I63">
        <f>[1]!Tabela2[[#This Row],[Recomendações]]</f>
        <v>64</v>
      </c>
      <c r="J63" s="5">
        <f>[1]!Tabela1[[#This Row],[S$ Total]]/[1]!Tabela1[[#This Row],[Ticket período]]</f>
        <v>27.298574344527193</v>
      </c>
      <c r="K63" s="7">
        <f t="shared" si="68"/>
        <v>91.298574344527196</v>
      </c>
      <c r="L63" s="7">
        <f t="shared" si="69"/>
        <v>66.390212690746679</v>
      </c>
      <c r="M63" s="10">
        <f>Tabela1[[#This Row],[Conversões + Equiv. Prod. Line]]-Tabela1[[#This Row],[meta de conversões]]</f>
        <v>24.908361653780517</v>
      </c>
      <c r="N63" s="8">
        <f t="shared" si="70"/>
        <v>1.5357908033072596</v>
      </c>
      <c r="O63" s="11">
        <f t="shared" si="71"/>
        <v>0.79834535340365254</v>
      </c>
      <c r="P63" s="8">
        <f t="shared" si="72"/>
        <v>0.22132644310940106</v>
      </c>
      <c r="Q63" s="9">
        <f t="shared" si="73"/>
        <v>-0.13666056166742699</v>
      </c>
      <c r="R63" s="2">
        <f>[1]!Tabela1[[#This Row],[A$%  (total -S)]]</f>
        <v>3.3458137752373163E-2</v>
      </c>
      <c r="S63" s="2">
        <f>[1]!Tabela1[[#This Row],[B$%  (total -S)]]</f>
        <v>0.64995133069520039</v>
      </c>
      <c r="T63" s="2">
        <f>[1]!Tabela1[[#This Row],[D$% (total-S)]]</f>
        <v>0.12179156788570326</v>
      </c>
      <c r="U63" s="2">
        <f>[1]!Tabela1[[#This Row],[F$%  (total -S)]]</f>
        <v>0.12737628980412666</v>
      </c>
      <c r="V63" s="2">
        <f>[1]!Tabela1[[#This Row],[K$%  (total -S)]]</f>
        <v>1.3672964271863902E-2</v>
      </c>
      <c r="W63" s="2">
        <f>[1]!Tabela1[[#This Row],[P$%  (total-S)]]</f>
        <v>5.3749709590732504E-2</v>
      </c>
      <c r="X63" s="2">
        <f>[1]!Tabela1[[#This Row],[S$%  (total -S)]]</f>
        <v>3.3761588663826496E-2</v>
      </c>
      <c r="Y63" s="2">
        <f>[1]!Tabela1[[#This Row],[$%  (Total-S)]]</f>
        <v>1.0337615886638263</v>
      </c>
    </row>
    <row r="64" spans="1:25" x14ac:dyDescent="0.25">
      <c r="A64">
        <v>2023</v>
      </c>
      <c r="B64">
        <v>36</v>
      </c>
      <c r="C64" s="3">
        <v>48.89</v>
      </c>
      <c r="D64">
        <f>ROUNDUP(1500/C64*7,0)</f>
        <v>215</v>
      </c>
      <c r="E64" s="4">
        <f t="shared" si="67"/>
        <v>911</v>
      </c>
      <c r="F64" s="1">
        <f>[1]!Tabela1[[#This Row],[Ticket período]]</f>
        <v>11.535195140278923</v>
      </c>
      <c r="G64" s="1">
        <f>[1]!Tabela2[[#This Row],[Ticket Recomendado]]</f>
        <v>13.738015647226174</v>
      </c>
      <c r="H64" s="4">
        <f>[1]!Tabela1[[#This Row],[$ Total]]/[1]!Tabela1[[#This Row],[Ticket período]]</f>
        <v>797.08244500415901</v>
      </c>
      <c r="I64">
        <f>[1]!Tabela2[[#This Row],[Recomendações]]</f>
        <v>37</v>
      </c>
      <c r="J64" s="5">
        <f>[1]!Tabela1[[#This Row],[S$ Total]]/[1]!Tabela1[[#This Row],[Ticket período]]</f>
        <v>0</v>
      </c>
      <c r="K64" s="7">
        <f t="shared" si="68"/>
        <v>37</v>
      </c>
      <c r="L64" s="7">
        <f t="shared" si="69"/>
        <v>71.121734169166231</v>
      </c>
      <c r="M64" s="10">
        <f>Tabela1[[#This Row],[Conversões + Equiv. Prod. Line]]-Tabela1[[#This Row],[meta de conversões]]</f>
        <v>-34.121734169166231</v>
      </c>
      <c r="N64" s="8">
        <f t="shared" si="70"/>
        <v>1.1909651705202091</v>
      </c>
      <c r="O64" s="11">
        <f t="shared" si="71"/>
        <v>0.87495328760061364</v>
      </c>
      <c r="P64" s="8">
        <f t="shared" si="72"/>
        <v>0.23594181101000045</v>
      </c>
      <c r="Q64" s="9">
        <f t="shared" si="73"/>
        <v>-4.640105766134358E-2</v>
      </c>
      <c r="R64" s="2">
        <f>[1]!Tabela1[[#This Row],[A$%  (total -S)]]</f>
        <v>1.8260914259098347E-2</v>
      </c>
      <c r="S64" s="2">
        <f>[1]!Tabela1[[#This Row],[B$%  (total -S)]]</f>
        <v>0.63734955589992381</v>
      </c>
      <c r="T64" s="2">
        <f>[1]!Tabela1[[#This Row],[D$% (total-S)]]</f>
        <v>0.14699847554122317</v>
      </c>
      <c r="U64" s="2">
        <f>[1]!Tabela1[[#This Row],[F$%  (total -S)]]</f>
        <v>0.11555134761357763</v>
      </c>
      <c r="V64" s="2">
        <f>[1]!Tabela1[[#This Row],[K$%  (total -S)]]</f>
        <v>3.6386699570767012E-2</v>
      </c>
      <c r="W64" s="2">
        <f>[1]!Tabela1[[#This Row],[P$%  (total-S)]]</f>
        <v>4.5453007115410081E-2</v>
      </c>
      <c r="X64" s="2">
        <f>[1]!Tabela1[[#This Row],[S$%  (total -S)]]</f>
        <v>0</v>
      </c>
      <c r="Y64" s="2">
        <f>[1]!Tabela1[[#This Row],[$%  (Total-S)]]</f>
        <v>1</v>
      </c>
    </row>
    <row r="65" spans="1:25" x14ac:dyDescent="0.25">
      <c r="A65">
        <v>2023</v>
      </c>
      <c r="B65">
        <v>37</v>
      </c>
      <c r="C65" s="3">
        <v>48.89</v>
      </c>
      <c r="D65">
        <f t="shared" ref="D65:D67" si="74">ROUNDUP(1500/C65*7,0)</f>
        <v>215</v>
      </c>
      <c r="E65" s="4">
        <f t="shared" si="67"/>
        <v>915</v>
      </c>
      <c r="F65" s="1">
        <f>[1]!Tabela1[[#This Row],[Ticket período]]</f>
        <v>11.479287543213465</v>
      </c>
      <c r="G65" s="1">
        <f>[1]!Tabela2[[#This Row],[Ticket Recomendado]]</f>
        <v>14.144736842105264</v>
      </c>
      <c r="H65" s="4">
        <f>[1]!Tabela1[[#This Row],[$ Total]]/[1]!Tabela1[[#This Row],[Ticket período]]</f>
        <v>796.03331398728085</v>
      </c>
      <c r="I65">
        <f>[1]!Tabela2[[#This Row],[Recomendações]]</f>
        <v>5</v>
      </c>
      <c r="J65" s="5">
        <f>[1]!Tabela1[[#This Row],[S$ Total]]/[1]!Tabela1[[#This Row],[Ticket período]]</f>
        <v>7.7356717229530609</v>
      </c>
      <c r="K65" s="7">
        <f t="shared" si="68"/>
        <v>12.735671722953061</v>
      </c>
      <c r="L65" s="7">
        <f t="shared" si="69"/>
        <v>71.252028346549864</v>
      </c>
      <c r="M65" s="10">
        <f>Tabela1[[#This Row],[Conversões + Equiv. Prod. Line]]-Tabela1[[#This Row],[meta de conversões]]</f>
        <v>-58.516356623596806</v>
      </c>
      <c r="N65" s="8">
        <f t="shared" si="70"/>
        <v>1.2321964049474141</v>
      </c>
      <c r="O65" s="11">
        <f t="shared" si="71"/>
        <v>0.86998176392052551</v>
      </c>
      <c r="P65" s="8">
        <f t="shared" si="72"/>
        <v>0.23479827251408192</v>
      </c>
      <c r="Q65" s="9">
        <f t="shared" si="73"/>
        <v>-1.3162139292538172E-3</v>
      </c>
      <c r="R65" s="2">
        <f>[1]!Tabela1[[#This Row],[A$%  (total -S)]]</f>
        <v>2.2913893385704435E-2</v>
      </c>
      <c r="S65" s="2">
        <f>[1]!Tabela1[[#This Row],[B$%  (total -S)]]</f>
        <v>0.62647084668298336</v>
      </c>
      <c r="T65" s="2">
        <f>[1]!Tabela1[[#This Row],[D$% (total-S)]]</f>
        <v>0.15338992133160068</v>
      </c>
      <c r="U65" s="2">
        <f>[1]!Tabela1[[#This Row],[F$%  (total -S)]]</f>
        <v>0.12143269412544705</v>
      </c>
      <c r="V65" s="2">
        <f>[1]!Tabela1[[#This Row],[K$%  (total -S)]]</f>
        <v>2.9917736814368091E-2</v>
      </c>
      <c r="W65" s="2">
        <f>[1]!Tabela1[[#This Row],[P$%  (total-S)]]</f>
        <v>4.5874907659896463E-2</v>
      </c>
      <c r="X65" s="2">
        <f>[1]!Tabela1[[#This Row],[S$%  (total -S)]]</f>
        <v>9.8131356840455656E-3</v>
      </c>
      <c r="Y65" s="2">
        <f>[1]!Tabela1[[#This Row],[$%  (Total-S)]]</f>
        <v>1.0098131356840456</v>
      </c>
    </row>
    <row r="66" spans="1:25" x14ac:dyDescent="0.25">
      <c r="A66">
        <v>2023</v>
      </c>
      <c r="B66">
        <v>38</v>
      </c>
      <c r="C66" s="3">
        <v>48.89</v>
      </c>
      <c r="D66">
        <f t="shared" si="74"/>
        <v>215</v>
      </c>
      <c r="E66" s="4">
        <f t="shared" si="67"/>
        <v>906</v>
      </c>
      <c r="F66" s="1">
        <f>[1]!Tabela1[[#This Row],[Ticket período]]</f>
        <v>11.595632666089708</v>
      </c>
      <c r="G66" s="1">
        <f>[1]!Tabela2[[#This Row],[Ticket Recomendado]]</f>
        <v>15.447447612085769</v>
      </c>
      <c r="H66" s="4">
        <f>[1]!Tabela1[[#This Row],[$ Total]]/[1]!Tabela1[[#This Row],[Ticket período]]</f>
        <v>740.23357473743442</v>
      </c>
      <c r="I66">
        <f>[1]!Tabela2[[#This Row],[Recomendações]]</f>
        <v>21</v>
      </c>
      <c r="J66" s="5">
        <f>[1]!Tabela1[[#This Row],[S$ Total]]/[1]!Tabela1[[#This Row],[Ticket período]]</f>
        <v>34.581985437731674</v>
      </c>
      <c r="K66" s="7">
        <f t="shared" si="68"/>
        <v>55.581985437731674</v>
      </c>
      <c r="L66" s="7">
        <f t="shared" si="69"/>
        <v>78.331298280004887</v>
      </c>
      <c r="M66" s="10">
        <f>Tabela1[[#This Row],[Conversões + Equiv. Prod. Line]]-Tabela1[[#This Row],[meta de conversões]]</f>
        <v>-22.749312842273213</v>
      </c>
      <c r="N66" s="8">
        <f t="shared" si="70"/>
        <v>1.3321780757388355</v>
      </c>
      <c r="O66" s="11">
        <f t="shared" si="71"/>
        <v>0.81703485070356996</v>
      </c>
      <c r="P66" s="8">
        <f t="shared" si="72"/>
        <v>0.23717800503353872</v>
      </c>
      <c r="Q66" s="9">
        <f t="shared" si="73"/>
        <v>-7.0097241245280342E-2</v>
      </c>
      <c r="R66" s="2">
        <f>[1]!Tabela1[[#This Row],[A$%  (total -S)]]</f>
        <v>2.3195911675532883E-2</v>
      </c>
      <c r="S66" s="2">
        <f>[1]!Tabela1[[#This Row],[B$%  (total -S)]]</f>
        <v>0.6219411563556958</v>
      </c>
      <c r="T66" s="2">
        <f>[1]!Tabela1[[#This Row],[D$% (total-S)]]</f>
        <v>0.1574286063136297</v>
      </c>
      <c r="U66" s="2">
        <f>[1]!Tabela1[[#This Row],[F$%  (total -S)]]</f>
        <v>0.13055039810592178</v>
      </c>
      <c r="V66" s="2">
        <f>[1]!Tabela1[[#This Row],[K$%  (total -S)]]</f>
        <v>2.3497491451116351E-2</v>
      </c>
      <c r="W66" s="2">
        <f>[1]!Tabela1[[#This Row],[P$%  (total-S)]]</f>
        <v>4.3386436098103498E-2</v>
      </c>
      <c r="X66" s="2">
        <f>[1]!Tabela1[[#This Row],[S$%  (total -S)]]</f>
        <v>4.9007167222639231E-2</v>
      </c>
      <c r="Y66" s="2">
        <f>[1]!Tabela1[[#This Row],[$%  (Total-S)]]</f>
        <v>1.0490071672226393</v>
      </c>
    </row>
    <row r="67" spans="1:25" x14ac:dyDescent="0.25">
      <c r="A67">
        <v>2023</v>
      </c>
      <c r="B67">
        <v>39</v>
      </c>
      <c r="C67" s="3">
        <v>48.89</v>
      </c>
      <c r="D67">
        <f t="shared" si="74"/>
        <v>215</v>
      </c>
      <c r="E67" s="4">
        <f t="shared" si="67"/>
        <v>916</v>
      </c>
      <c r="F67" s="1">
        <f>[1]!Tabela1[[#This Row],[Ticket período]]</f>
        <v>11.464338752116907</v>
      </c>
      <c r="G67" s="1">
        <f>[1]!Tabela2[[#This Row],[Ticket Recomendado]]</f>
        <v>14.698407567049811</v>
      </c>
      <c r="H67" s="4">
        <f>[1]!Tabela1[[#This Row],[$ Total]]/[1]!Tabela1[[#This Row],[Ticket período]]</f>
        <v>743.95027109930606</v>
      </c>
      <c r="I67">
        <f>[1]!Tabela2[[#This Row],[Recomendações]]</f>
        <v>29</v>
      </c>
      <c r="J67" s="5">
        <f>[1]!Tabela1[[#This Row],[S$ Total]]/[1]!Tabela1[[#This Row],[Ticket período]]</f>
        <v>0</v>
      </c>
      <c r="K67" s="7">
        <f t="shared" si="68"/>
        <v>29</v>
      </c>
      <c r="L67" s="7">
        <f t="shared" si="69"/>
        <v>77.851687270419376</v>
      </c>
      <c r="M67" s="10">
        <f>Tabela1[[#This Row],[Conversões + Equiv. Prod. Line]]-Tabela1[[#This Row],[meta de conversões]]</f>
        <v>-48.851687270419376</v>
      </c>
      <c r="N67" s="8">
        <f t="shared" si="70"/>
        <v>1.282098155406977</v>
      </c>
      <c r="O67" s="11">
        <f t="shared" si="71"/>
        <v>0.81217278504291057</v>
      </c>
      <c r="P67" s="8">
        <f t="shared" si="72"/>
        <v>0.23449250873628363</v>
      </c>
      <c r="Q67" s="9">
        <f t="shared" si="73"/>
        <v>5.0209778220205387E-3</v>
      </c>
      <c r="R67" s="2">
        <f>[1]!Tabela1[[#This Row],[A$%  (total -S)]]</f>
        <v>2.0541927710630674E-2</v>
      </c>
      <c r="S67" s="2">
        <f>[1]!Tabela1[[#This Row],[B$%  (total -S)]]</f>
        <v>0.649096805950788</v>
      </c>
      <c r="T67" s="2">
        <f>[1]!Tabela1[[#This Row],[D$% (total-S)]]</f>
        <v>0.12512186095926847</v>
      </c>
      <c r="U67" s="2">
        <f>[1]!Tabela1[[#This Row],[F$%  (total -S)]]</f>
        <v>0.12436379668421703</v>
      </c>
      <c r="V67" s="2">
        <f>[1]!Tabela1[[#This Row],[K$%  (total -S)]]</f>
        <v>2.9507091151854452E-2</v>
      </c>
      <c r="W67" s="2">
        <f>[1]!Tabela1[[#This Row],[P$%  (total-S)]]</f>
        <v>5.1368517543241433E-2</v>
      </c>
      <c r="X67" s="2">
        <f>[1]!Tabela1[[#This Row],[S$%  (total -S)]]</f>
        <v>0</v>
      </c>
      <c r="Y67" s="2">
        <f>[1]!Tabela1[[#This Row],[$%  (Total-S)]]</f>
        <v>1</v>
      </c>
    </row>
    <row r="68" spans="1:25" x14ac:dyDescent="0.25">
      <c r="A68">
        <v>2023</v>
      </c>
      <c r="B68">
        <v>40</v>
      </c>
      <c r="C68" s="3">
        <v>48.89</v>
      </c>
      <c r="D68" s="18">
        <f>ROUNDUP(2000/C68*7,0)</f>
        <v>287</v>
      </c>
      <c r="E68" s="4">
        <f>ROUNDUP(2000*7/F68,0)</f>
        <v>1259</v>
      </c>
      <c r="F68" s="1">
        <f>[1]!Tabela1[[#This Row],[Ticket período]]</f>
        <v>11.126582943518182</v>
      </c>
      <c r="G68" s="1">
        <f>[1]!Tabela2[[#This Row],[Ticket Recomendado]]</f>
        <v>13.777215973401246</v>
      </c>
      <c r="H68" s="4">
        <f>[1]!Tabela1[[#This Row],[$ Total]]/[1]!Tabela1[[#This Row],[Ticket período]]</f>
        <v>941.66355108596952</v>
      </c>
      <c r="I68">
        <f>[1]!Tabela2[[#This Row],[Recomendações]]</f>
        <v>31</v>
      </c>
      <c r="J68" s="5">
        <f>[1]!Tabela1[[#This Row],[S$ Total]]/[1]!Tabela1[[#This Row],[Ticket período]]</f>
        <v>12.762229043798433</v>
      </c>
      <c r="K68" s="7">
        <f>J68+I68</f>
        <v>43.762229043798435</v>
      </c>
      <c r="L68" s="7">
        <f t="shared" si="69"/>
        <v>54.453089346748357</v>
      </c>
      <c r="M68" s="10">
        <f>Tabela1[[#This Row],[Conversões + Equiv. Prod. Line]]-Tabela1[[#This Row],[meta de conversões]]</f>
        <v>-10.690860302949922</v>
      </c>
      <c r="N68" s="8">
        <f>G68/F68</f>
        <v>1.2382252523832753</v>
      </c>
      <c r="O68" s="11">
        <f>H68/E68</f>
        <v>0.74794563231609967</v>
      </c>
      <c r="P68" s="8">
        <f>F68/C68</f>
        <v>0.22758402420777626</v>
      </c>
      <c r="Q68" s="9">
        <f>(H68-H67)/H67</f>
        <v>0.26576141936813907</v>
      </c>
      <c r="R68" s="2">
        <f>[1]!Tabela1[[#This Row],[A$%  (total -S)]]</f>
        <v>4.3695863271272374E-2</v>
      </c>
      <c r="S68" s="2">
        <f>[1]!Tabela1[[#This Row],[B$%  (total -S)]]</f>
        <v>0.66380377103967225</v>
      </c>
      <c r="T68" s="2">
        <f>[1]!Tabela1[[#This Row],[D$% (total-S)]]</f>
        <v>0.14557561572058944</v>
      </c>
      <c r="U68" s="2">
        <f>[1]!Tabela1[[#This Row],[F$%  (total -S)]]</f>
        <v>8.3193544791449817E-2</v>
      </c>
      <c r="V68" s="2">
        <f>[1]!Tabela1[[#This Row],[K$%  (total -S)]]</f>
        <v>1.6526054437247469E-2</v>
      </c>
      <c r="W68" s="2">
        <f>[1]!Tabela1[[#This Row],[P$%  (total-S)]]</f>
        <v>4.7205150739768657E-2</v>
      </c>
      <c r="X68" s="2">
        <f>[1]!Tabela1[[#This Row],[S$%  (total -S)]]</f>
        <v>1.373905789663527E-2</v>
      </c>
      <c r="Y68" s="2">
        <f>[1]!Tabela1[[#This Row],[$%  (Total-S)]]</f>
        <v>1.0137390578966352</v>
      </c>
    </row>
    <row r="69" spans="1:25" x14ac:dyDescent="0.25">
      <c r="A69">
        <v>2023</v>
      </c>
      <c r="B69">
        <v>41</v>
      </c>
      <c r="C69" s="3">
        <v>48.89</v>
      </c>
      <c r="D69" s="18">
        <f t="shared" ref="D69:D72" si="75">ROUNDUP(2000/C69*7,0)</f>
        <v>287</v>
      </c>
      <c r="E69" s="4">
        <f t="shared" ref="E69:E72" si="76">ROUNDUP(2000*7/F69,0)</f>
        <v>1238</v>
      </c>
      <c r="F69" s="1">
        <f>[1]!Tabela1[[#This Row],[Ticket período]]</f>
        <v>11.310968636358051</v>
      </c>
      <c r="G69" s="1">
        <f>[1]!Tabela2[[#This Row],[Ticket Recomendado]]</f>
        <v>13.38032102826511</v>
      </c>
      <c r="H69" s="4">
        <f>[1]!Tabela1[[#This Row],[$ Total]]/[1]!Tabela1[[#This Row],[Ticket período]]</f>
        <v>889.52919698656922</v>
      </c>
      <c r="I69">
        <f>[1]!Tabela2[[#This Row],[Recomendações]]</f>
        <v>48</v>
      </c>
      <c r="J69" s="5">
        <f>[1]!Tabela1[[#This Row],[S$ Total]]/[1]!Tabela1[[#This Row],[Ticket período]]</f>
        <v>26.69974691904363</v>
      </c>
      <c r="K69" s="7">
        <f>J69+I69</f>
        <v>74.699746919043633</v>
      </c>
      <c r="L69" s="7">
        <f t="shared" si="69"/>
        <v>60.146721267502841</v>
      </c>
      <c r="M69" s="10">
        <f>Tabela1[[#This Row],[Conversões + Equiv. Prod. Line]]-Tabela1[[#This Row],[meta de conversões]]</f>
        <v>14.553025651540793</v>
      </c>
      <c r="N69" s="8">
        <f>G69/F69</f>
        <v>1.1829509442060797</v>
      </c>
      <c r="O69" s="11">
        <f>H69/E69</f>
        <v>0.71852116073228534</v>
      </c>
      <c r="P69" s="8">
        <f>F69/C69</f>
        <v>0.23135546402859586</v>
      </c>
      <c r="Q69" s="9">
        <f>(H69-H68)/H68</f>
        <v>-5.5364099034391399E-2</v>
      </c>
      <c r="R69" s="2">
        <f>[1]!Tabela1[[#This Row],[A$%  (total -S)]]</f>
        <v>4.2980964799523888E-2</v>
      </c>
      <c r="S69" s="2">
        <f>[1]!Tabela1[[#This Row],[B$%  (total -S)]]</f>
        <v>0.66770512644948443</v>
      </c>
      <c r="T69" s="2">
        <f>[1]!Tabela1[[#This Row],[D$% (total-S)]]</f>
        <v>0.14704695712913451</v>
      </c>
      <c r="U69" s="2">
        <f>[1]!Tabela1[[#This Row],[F$%  (total -S)]]</f>
        <v>7.6680098974216002E-2</v>
      </c>
      <c r="V69" s="2">
        <f>[1]!Tabela1[[#This Row],[K$%  (total -S)]]</f>
        <v>2.483493640669298E-2</v>
      </c>
      <c r="W69" s="2">
        <f>[1]!Tabela1[[#This Row],[P$%  (total-S)]]</f>
        <v>4.0751916240948191E-2</v>
      </c>
      <c r="X69" s="2">
        <f>[1]!Tabela1[[#This Row],[S$%  (total -S)]]</f>
        <v>3.0944408442426356E-2</v>
      </c>
      <c r="Y69" s="2">
        <f>[1]!Tabela1[[#This Row],[$%  (Total-S)]]</f>
        <v>1.0309444084424264</v>
      </c>
    </row>
    <row r="70" spans="1:25" x14ac:dyDescent="0.25">
      <c r="A70">
        <v>2023</v>
      </c>
      <c r="B70">
        <v>42</v>
      </c>
      <c r="C70" s="3">
        <v>48.89</v>
      </c>
      <c r="D70" s="18">
        <f t="shared" si="75"/>
        <v>287</v>
      </c>
      <c r="E70" s="4">
        <f t="shared" si="76"/>
        <v>1248</v>
      </c>
      <c r="F70" s="1">
        <f>[1]!Tabela1[[#This Row],[Ticket período]]</f>
        <v>11.221234641346275</v>
      </c>
      <c r="G70" s="1">
        <f>[1]!Tabela2[[#This Row],[Ticket Recomendado]]</f>
        <v>13.777215973401246</v>
      </c>
      <c r="H70" s="4">
        <f>[1]!Tabela1[[#This Row],[$ Total]]/[1]!Tabela1[[#This Row],[Ticket período]]</f>
        <v>872.2092219330533</v>
      </c>
      <c r="I70">
        <f>[1]!Tabela2[[#This Row],[Recomendações]]</f>
        <v>31</v>
      </c>
      <c r="J70" s="5">
        <f>[1]!Tabela1[[#This Row],[S$ Total]]/[1]!Tabela1[[#This Row],[Ticket período]]</f>
        <v>2.4952690942607973</v>
      </c>
      <c r="K70" s="7">
        <f>J70+I70</f>
        <v>33.495269094260799</v>
      </c>
      <c r="L70" s="7">
        <f t="shared" si="69"/>
        <v>62.120985012042041</v>
      </c>
      <c r="M70" s="10">
        <f>Tabela1[[#This Row],[Conversões + Equiv. Prod. Line]]-Tabela1[[#This Row],[meta de conversões]]</f>
        <v>-28.625715917781243</v>
      </c>
      <c r="N70" s="8">
        <f>G70/F70</f>
        <v>1.2277807579780111</v>
      </c>
      <c r="O70" s="11">
        <f>H70/E70</f>
        <v>0.69888559449763887</v>
      </c>
      <c r="P70" s="8">
        <f>F70/C70</f>
        <v>0.2295200376630451</v>
      </c>
      <c r="Q70" s="9">
        <f>(H70-H69)/H69</f>
        <v>-1.9470946105187178E-2</v>
      </c>
      <c r="R70" s="2">
        <f>[1]!Tabela1[[#This Row],[A$%  (total -S)]]</f>
        <v>3.4806927981303241E-2</v>
      </c>
      <c r="S70" s="2">
        <f>[1]!Tabela1[[#This Row],[B$%  (total -S)]]</f>
        <v>0.6820376967704822</v>
      </c>
      <c r="T70" s="2">
        <f>[1]!Tabela1[[#This Row],[D$% (total-S)]]</f>
        <v>0.13598454616383338</v>
      </c>
      <c r="U70" s="2">
        <f>[1]!Tabela1[[#This Row],[F$%  (total -S)]]</f>
        <v>8.18063473544203E-2</v>
      </c>
      <c r="V70" s="2">
        <f>[1]!Tabela1[[#This Row],[K$%  (total -S)]]</f>
        <v>2.0793257066145147E-2</v>
      </c>
      <c r="W70" s="2">
        <f>[1]!Tabela1[[#This Row],[P$%  (total-S)]]</f>
        <v>4.4571224663815821E-2</v>
      </c>
      <c r="X70" s="2">
        <f>[1]!Tabela1[[#This Row],[S$%  (total -S)]]</f>
        <v>2.8690687163476065E-3</v>
      </c>
      <c r="Y70" s="2">
        <f>[1]!Tabela1[[#This Row],[$%  (Total-S)]]</f>
        <v>1.0028690687163475</v>
      </c>
    </row>
    <row r="71" spans="1:25" x14ac:dyDescent="0.25">
      <c r="A71">
        <v>2023</v>
      </c>
      <c r="B71">
        <v>43</v>
      </c>
      <c r="C71" s="3">
        <v>48.89</v>
      </c>
      <c r="D71" s="18">
        <f t="shared" si="75"/>
        <v>287</v>
      </c>
      <c r="E71" s="4">
        <f t="shared" si="76"/>
        <v>1241</v>
      </c>
      <c r="F71" s="1">
        <f>[1]!Tabela1[[#This Row],[Ticket período]]</f>
        <v>11.285605659983291</v>
      </c>
      <c r="G71" s="1">
        <f>[1]!Tabela2[[#This Row],[Ticket Recomendado]]</f>
        <v>15.632973927875243</v>
      </c>
      <c r="H71" s="4">
        <f>[1]!Tabela1[[#This Row],[$ Total]]/[1]!Tabela1[[#This Row],[Ticket período]]</f>
        <v>812.75043303267626</v>
      </c>
      <c r="I71">
        <f>[1]!Tabela2[[#This Row],[Recomendações]]</f>
        <v>45</v>
      </c>
      <c r="J71" s="5">
        <f>[1]!Tabela1[[#This Row],[S$ Total]]/[1]!Tabela1[[#This Row],[Ticket período]]</f>
        <v>25.299411365706028</v>
      </c>
      <c r="K71" s="7">
        <f>J71+I71</f>
        <v>70.299411365706021</v>
      </c>
      <c r="L71" s="7">
        <f t="shared" si="69"/>
        <v>69.189905997851099</v>
      </c>
      <c r="M71" s="10">
        <f>Tabela1[[#This Row],[Conversões + Equiv. Prod. Line]]-Tabela1[[#This Row],[meta de conversões]]</f>
        <v>1.109505367854922</v>
      </c>
      <c r="N71" s="8">
        <f>G71/F71</f>
        <v>1.3852135542274819</v>
      </c>
      <c r="O71" s="11">
        <f>H71/E71</f>
        <v>0.65491573975235795</v>
      </c>
      <c r="P71" s="8">
        <f>F71/C71</f>
        <v>0.23083668766584764</v>
      </c>
      <c r="Q71" s="9">
        <f>(H71-H70)/H70</f>
        <v>-6.8170328179516571E-2</v>
      </c>
      <c r="R71" s="2">
        <f>[1]!Tabela1[[#This Row],[A$%  (total -S)]]</f>
        <v>4.5391539967472909E-2</v>
      </c>
      <c r="S71" s="2">
        <f>[1]!Tabela1[[#This Row],[B$%  (total -S)]]</f>
        <v>0.66955110426954911</v>
      </c>
      <c r="T71" s="2">
        <f>[1]!Tabela1[[#This Row],[D$% (total-S)]]</f>
        <v>0.12168077706187171</v>
      </c>
      <c r="U71" s="2">
        <f>[1]!Tabela1[[#This Row],[F$%  (total -S)]]</f>
        <v>9.0480326584686077E-2</v>
      </c>
      <c r="V71" s="2">
        <f>[1]!Tabela1[[#This Row],[K$%  (total -S)]]</f>
        <v>2.4116162315183744E-2</v>
      </c>
      <c r="W71" s="2">
        <f>[1]!Tabela1[[#This Row],[P$%  (total-S)]]</f>
        <v>4.8780089801236291E-2</v>
      </c>
      <c r="X71" s="2">
        <f>[1]!Tabela1[[#This Row],[S$%  (total -S)]]</f>
        <v>3.212823486107011E-2</v>
      </c>
      <c r="Y71" s="2">
        <f>[1]!Tabela1[[#This Row],[$%  (Total-S)]]</f>
        <v>1.0321282348610701</v>
      </c>
    </row>
    <row r="72" spans="1:25" x14ac:dyDescent="0.25">
      <c r="A72">
        <v>2023</v>
      </c>
      <c r="B72">
        <v>44</v>
      </c>
      <c r="C72" s="3">
        <v>48.89</v>
      </c>
      <c r="D72" s="18">
        <f t="shared" si="75"/>
        <v>287</v>
      </c>
      <c r="E72" s="4">
        <f t="shared" si="76"/>
        <v>1260</v>
      </c>
      <c r="F72" s="1">
        <f>[1]!Tabela1[[#This Row],[Ticket período]]</f>
        <v>11.114407898658484</v>
      </c>
      <c r="G72" s="1">
        <f>[1]!Tabela2[[#This Row],[Ticket Recomendado]]</f>
        <v>15.176211322772104</v>
      </c>
      <c r="H72" s="4">
        <f>[1]!Tabela1[[#This Row],[$ Total]]/[1]!Tabela1[[#This Row],[Ticket período]]</f>
        <v>887.6431084102345</v>
      </c>
      <c r="I72">
        <f>[1]!Tabela2[[#This Row],[Recomendações]]</f>
        <v>67</v>
      </c>
      <c r="J72" s="5">
        <v>0</v>
      </c>
      <c r="K72" s="7">
        <f>J72+I72</f>
        <v>67</v>
      </c>
      <c r="L72" s="7">
        <f t="shared" si="69"/>
        <v>60.359757965858449</v>
      </c>
      <c r="M72" s="10">
        <f>Tabela1[[#This Row],[Conversões + Equiv. Prod. Line]]-Tabela1[[#This Row],[meta de conversões]]</f>
        <v>6.6402420341415507</v>
      </c>
      <c r="N72" s="8">
        <f>G72/F72</f>
        <v>1.365453874029932</v>
      </c>
      <c r="O72" s="11">
        <f>H72/E72</f>
        <v>0.70447865746844007</v>
      </c>
      <c r="P72" s="8">
        <f>F72/C72</f>
        <v>0.22733499485904038</v>
      </c>
      <c r="Q72" s="9">
        <f>(H72-H71)/H71</f>
        <v>9.2147198369499014E-2</v>
      </c>
      <c r="R72" s="2">
        <f>[1]!Tabela1[[#This Row],[A$%  (total -S)]]</f>
        <v>5.2487705940236877E-2</v>
      </c>
      <c r="S72" s="2">
        <f>[1]!Tabela1[[#This Row],[B$%  (total -S)]]</f>
        <v>0.63732735026582166</v>
      </c>
      <c r="T72" s="2">
        <f>[1]!Tabela1[[#This Row],[D$% (total-S)]]</f>
        <v>0.16406389486698106</v>
      </c>
      <c r="U72" s="2">
        <f>[1]!Tabela1[[#This Row],[F$%  (total -S)]]</f>
        <v>8.4709304716629338E-2</v>
      </c>
      <c r="V72" s="2">
        <f>[1]!Tabela1[[#This Row],[K$%  (total -S)]]</f>
        <v>1.4458898629817427E-2</v>
      </c>
      <c r="W72" s="2">
        <f>[1]!Tabela1[[#This Row],[P$%  (total-S)]]</f>
        <v>4.6952845580513436E-2</v>
      </c>
      <c r="X72" s="2">
        <f>[1]!Tabela1[[#This Row],[S$%  (total -S)]]</f>
        <v>1.9847776700660999E-2</v>
      </c>
      <c r="Y72" s="2">
        <f>[1]!Tabela1[[#This Row],[$%  (Total-S)]]</f>
        <v>1.0198477767006608</v>
      </c>
    </row>
  </sheetData>
  <phoneticPr fontId="2" type="noConversion"/>
  <conditionalFormatting sqref="M2:M72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N2:N72">
    <cfRule type="iconSet" priority="66">
      <iconSet iconSet="3Arrows">
        <cfvo type="percent" val="0"/>
        <cfvo type="num" val="0.89500000000000002"/>
        <cfvo type="num" val="0.995"/>
      </iconSet>
    </cfRule>
  </conditionalFormatting>
  <conditionalFormatting sqref="O2:O72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72">
    <cfRule type="iconSet" priority="68">
      <iconSet iconSet="5Quarters">
        <cfvo type="percent" val="0"/>
        <cfvo type="num" val="0.245"/>
        <cfvo type="num" val="0.5"/>
        <cfvo type="num" val="0.75"/>
        <cfvo type="num" val="1"/>
      </iconSet>
    </cfRule>
  </conditionalFormatting>
  <conditionalFormatting sqref="Q2:Q72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{65C00FAE-984F-4A1D-9C54-EBA59E32F421}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C00FAE-984F-4A1D-9C54-EBA59E32F421}">
            <x14:dataBar minLength="0" maxLength="100" border="1" negativeBarBorderColorSameAsPositive="0" axisPosition="middle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Q2:Q72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F72D-D930-4673-969D-9B8362FB2D8D}">
  <dimension ref="A1:B16"/>
  <sheetViews>
    <sheetView workbookViewId="0">
      <selection activeCell="C11" sqref="C11"/>
    </sheetView>
  </sheetViews>
  <sheetFormatPr defaultRowHeight="15" x14ac:dyDescent="0.25"/>
  <cols>
    <col min="1" max="1" width="24.140625" bestFit="1" customWidth="1"/>
  </cols>
  <sheetData>
    <row r="1" spans="1:2" x14ac:dyDescent="0.25">
      <c r="A1" s="17" t="s">
        <v>66</v>
      </c>
      <c r="B1" s="17"/>
    </row>
    <row r="3" spans="1:2" x14ac:dyDescent="0.25">
      <c r="A3" t="s">
        <v>24</v>
      </c>
      <c r="B3">
        <v>7.0568261580929686E-2</v>
      </c>
    </row>
    <row r="4" spans="1:2" x14ac:dyDescent="0.25">
      <c r="A4" t="s">
        <v>25</v>
      </c>
      <c r="B4">
        <v>5.9654612566935354E-3</v>
      </c>
    </row>
    <row r="5" spans="1:2" x14ac:dyDescent="0.25">
      <c r="A5" t="s">
        <v>26</v>
      </c>
      <c r="B5">
        <v>7.0685719062960811E-2</v>
      </c>
    </row>
    <row r="6" spans="1:2" x14ac:dyDescent="0.25">
      <c r="A6" t="s">
        <v>27</v>
      </c>
      <c r="B6" t="e">
        <v>#N/A</v>
      </c>
    </row>
    <row r="7" spans="1:2" x14ac:dyDescent="0.25">
      <c r="A7" t="s">
        <v>28</v>
      </c>
      <c r="B7">
        <v>4.0459726744444709E-2</v>
      </c>
    </row>
    <row r="8" spans="1:2" x14ac:dyDescent="0.25">
      <c r="A8" t="s">
        <v>29</v>
      </c>
      <c r="B8">
        <v>1.6369894882351343E-3</v>
      </c>
    </row>
    <row r="9" spans="1:2" x14ac:dyDescent="0.25">
      <c r="A9" t="s">
        <v>30</v>
      </c>
      <c r="B9">
        <v>4.4367887051815931</v>
      </c>
    </row>
    <row r="10" spans="1:2" x14ac:dyDescent="0.25">
      <c r="A10" t="s">
        <v>31</v>
      </c>
      <c r="B10">
        <v>1.4134313474815658</v>
      </c>
    </row>
    <row r="11" spans="1:2" x14ac:dyDescent="0.25">
      <c r="A11" t="s">
        <v>32</v>
      </c>
      <c r="B11">
        <v>0.21541526146547929</v>
      </c>
    </row>
    <row r="12" spans="1:2" x14ac:dyDescent="0.25">
      <c r="A12" t="s">
        <v>33</v>
      </c>
      <c r="B12">
        <v>1.9214875353949785E-2</v>
      </c>
    </row>
    <row r="13" spans="1:2" x14ac:dyDescent="0.25">
      <c r="A13" t="s">
        <v>34</v>
      </c>
      <c r="B13">
        <v>0.23463013681942907</v>
      </c>
    </row>
    <row r="14" spans="1:2" x14ac:dyDescent="0.25">
      <c r="A14" t="s">
        <v>35</v>
      </c>
      <c r="B14">
        <v>3.2461400327227654</v>
      </c>
    </row>
    <row r="15" spans="1:2" x14ac:dyDescent="0.25">
      <c r="A15" t="s">
        <v>36</v>
      </c>
      <c r="B15">
        <v>46</v>
      </c>
    </row>
    <row r="16" spans="1:2" ht="15.75" thickBot="1" x14ac:dyDescent="0.3">
      <c r="A16" s="15" t="s">
        <v>67</v>
      </c>
      <c r="B16" s="15">
        <v>1.2015055733343839E-2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B00E-BDFE-4AF7-AF1F-99B4D1B932AF}">
  <dimension ref="A1:I70"/>
  <sheetViews>
    <sheetView workbookViewId="0">
      <selection activeCell="F17" sqref="F17"/>
    </sheetView>
  </sheetViews>
  <sheetFormatPr defaultRowHeight="15" x14ac:dyDescent="0.25"/>
  <cols>
    <col min="1" max="1" width="27" bestFit="1" customWidth="1"/>
    <col min="2" max="2" width="18" bestFit="1" customWidth="1"/>
    <col min="3" max="3" width="12.7109375" bestFit="1" customWidth="1"/>
    <col min="4" max="4" width="16.28515625" bestFit="1" customWidth="1"/>
    <col min="5" max="5" width="12" bestFit="1" customWidth="1"/>
    <col min="6" max="6" width="30.28515625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37</v>
      </c>
    </row>
    <row r="2" spans="1:9" ht="15.75" thickBot="1" x14ac:dyDescent="0.3"/>
    <row r="3" spans="1:9" x14ac:dyDescent="0.25">
      <c r="A3" s="17" t="s">
        <v>38</v>
      </c>
      <c r="B3" s="17"/>
    </row>
    <row r="4" spans="1:9" x14ac:dyDescent="0.25">
      <c r="A4" t="s">
        <v>39</v>
      </c>
      <c r="B4">
        <v>0.79668472802169177</v>
      </c>
    </row>
    <row r="5" spans="1:9" x14ac:dyDescent="0.25">
      <c r="A5" t="s">
        <v>40</v>
      </c>
      <c r="B5">
        <v>0.63470655586299696</v>
      </c>
    </row>
    <row r="6" spans="1:9" x14ac:dyDescent="0.25">
      <c r="A6" t="s">
        <v>41</v>
      </c>
      <c r="B6">
        <v>0.62640443213261054</v>
      </c>
    </row>
    <row r="7" spans="1:9" x14ac:dyDescent="0.25">
      <c r="A7" t="s">
        <v>25</v>
      </c>
      <c r="B7">
        <v>2.472998215628458E-2</v>
      </c>
    </row>
    <row r="8" spans="1:9" ht="15.75" thickBot="1" x14ac:dyDescent="0.3">
      <c r="A8" s="15" t="s">
        <v>42</v>
      </c>
      <c r="B8" s="15">
        <v>46</v>
      </c>
    </row>
    <row r="10" spans="1:9" ht="15.75" thickBot="1" x14ac:dyDescent="0.3">
      <c r="A10" t="s">
        <v>43</v>
      </c>
    </row>
    <row r="11" spans="1:9" x14ac:dyDescent="0.25">
      <c r="A11" s="16"/>
      <c r="B11" s="16" t="s">
        <v>48</v>
      </c>
      <c r="C11" s="16" t="s">
        <v>49</v>
      </c>
      <c r="D11" s="16" t="s">
        <v>50</v>
      </c>
      <c r="E11" s="16" t="s">
        <v>51</v>
      </c>
      <c r="F11" s="16" t="s">
        <v>52</v>
      </c>
    </row>
    <row r="12" spans="1:9" x14ac:dyDescent="0.25">
      <c r="A12" t="s">
        <v>44</v>
      </c>
      <c r="B12">
        <v>1</v>
      </c>
      <c r="C12">
        <v>4.6755358202774468E-2</v>
      </c>
      <c r="D12">
        <v>4.6755358202774468E-2</v>
      </c>
      <c r="E12">
        <v>76.45110774968586</v>
      </c>
      <c r="F12">
        <v>3.5424237328808716E-11</v>
      </c>
    </row>
    <row r="13" spans="1:9" x14ac:dyDescent="0.25">
      <c r="A13" t="s">
        <v>45</v>
      </c>
      <c r="B13">
        <v>44</v>
      </c>
      <c r="C13">
        <v>2.6909168767806767E-2</v>
      </c>
      <c r="D13">
        <v>6.1157201745015374E-4</v>
      </c>
    </row>
    <row r="14" spans="1:9" ht="15.75" thickBot="1" x14ac:dyDescent="0.3">
      <c r="A14" s="15" t="s">
        <v>46</v>
      </c>
      <c r="B14" s="15">
        <v>45</v>
      </c>
      <c r="C14" s="15">
        <v>7.3664526970581234E-2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53</v>
      </c>
      <c r="C16" s="16" t="s">
        <v>25</v>
      </c>
      <c r="D16" s="16" t="s">
        <v>54</v>
      </c>
      <c r="E16" s="16" t="s">
        <v>55</v>
      </c>
      <c r="F16" s="16" t="s">
        <v>56</v>
      </c>
      <c r="G16" s="16" t="s">
        <v>57</v>
      </c>
      <c r="H16" s="16" t="s">
        <v>58</v>
      </c>
      <c r="I16" s="16" t="s">
        <v>59</v>
      </c>
    </row>
    <row r="17" spans="1:9" x14ac:dyDescent="0.25">
      <c r="A17" t="s">
        <v>47</v>
      </c>
      <c r="B17">
        <v>0.23514664311740166</v>
      </c>
      <c r="C17">
        <v>1.9172569142370019E-2</v>
      </c>
      <c r="D17">
        <v>12.26474351826664</v>
      </c>
      <c r="E17">
        <v>8.5942229729077304E-16</v>
      </c>
      <c r="F17">
        <v>0.19650686894908803</v>
      </c>
      <c r="G17">
        <v>0.27378641728571529</v>
      </c>
      <c r="H17">
        <v>0.19650686894908803</v>
      </c>
      <c r="I17">
        <v>0.27378641728571529</v>
      </c>
    </row>
    <row r="18" spans="1:9" ht="15.75" thickBot="1" x14ac:dyDescent="0.3">
      <c r="A18" s="15" t="s">
        <v>19</v>
      </c>
      <c r="B18" s="15">
        <v>-1.8340448255210241E-4</v>
      </c>
      <c r="C18" s="15">
        <v>2.0975776876001678E-5</v>
      </c>
      <c r="D18" s="15">
        <v>-8.7436324116288109</v>
      </c>
      <c r="E18" s="15">
        <v>3.5424237328808587E-11</v>
      </c>
      <c r="F18" s="15">
        <v>-2.2567838311676351E-4</v>
      </c>
      <c r="G18" s="15">
        <v>-1.4113058198744131E-4</v>
      </c>
      <c r="H18" s="15">
        <v>-2.2567838311676351E-4</v>
      </c>
      <c r="I18" s="15">
        <v>-1.4113058198744131E-4</v>
      </c>
    </row>
    <row r="22" spans="1:9" x14ac:dyDescent="0.25">
      <c r="A22" t="s">
        <v>60</v>
      </c>
      <c r="F22" t="s">
        <v>64</v>
      </c>
    </row>
    <row r="23" spans="1:9" ht="15.75" thickBot="1" x14ac:dyDescent="0.3"/>
    <row r="24" spans="1:9" x14ac:dyDescent="0.25">
      <c r="A24" s="16" t="s">
        <v>61</v>
      </c>
      <c r="B24" s="16" t="s">
        <v>68</v>
      </c>
      <c r="C24" s="16" t="s">
        <v>62</v>
      </c>
      <c r="D24" s="16" t="s">
        <v>63</v>
      </c>
      <c r="F24" s="16" t="s">
        <v>65</v>
      </c>
      <c r="G24" s="16" t="s">
        <v>66</v>
      </c>
    </row>
    <row r="25" spans="1:9" x14ac:dyDescent="0.25">
      <c r="A25">
        <v>1</v>
      </c>
      <c r="B25">
        <v>0.1624508798682319</v>
      </c>
      <c r="C25">
        <v>7.2179256951197174E-2</v>
      </c>
      <c r="D25">
        <v>2.9516749022499473</v>
      </c>
      <c r="F25">
        <v>1.0869565217391304</v>
      </c>
      <c r="G25">
        <v>1.9214875353949785E-2</v>
      </c>
    </row>
    <row r="26" spans="1:9" x14ac:dyDescent="0.25">
      <c r="A26">
        <v>2</v>
      </c>
      <c r="B26">
        <v>5.4228296973271778E-2</v>
      </c>
      <c r="C26">
        <v>-1.5706110110985889E-2</v>
      </c>
      <c r="D26">
        <v>-0.64228052469307473</v>
      </c>
      <c r="F26">
        <v>3.2608695652173911</v>
      </c>
      <c r="G26">
        <v>1.9293551665185388E-2</v>
      </c>
    </row>
    <row r="27" spans="1:9" x14ac:dyDescent="0.25">
      <c r="A27">
        <v>3</v>
      </c>
      <c r="B27">
        <v>7.7900196696157858E-2</v>
      </c>
      <c r="C27">
        <v>1.6574199545036319E-2</v>
      </c>
      <c r="D27">
        <v>0.67777988979636872</v>
      </c>
      <c r="F27">
        <v>5.4347826086956523</v>
      </c>
      <c r="G27">
        <v>2.1402378806555832E-2</v>
      </c>
    </row>
    <row r="28" spans="1:9" x14ac:dyDescent="0.25">
      <c r="A28">
        <v>4</v>
      </c>
      <c r="B28">
        <v>7.353658520990855E-2</v>
      </c>
      <c r="C28">
        <v>2.8600643397098155E-2</v>
      </c>
      <c r="D28">
        <v>1.1695853472209388</v>
      </c>
      <c r="F28">
        <v>7.6086956521739122</v>
      </c>
      <c r="G28">
        <v>2.1873591432871254E-2</v>
      </c>
    </row>
    <row r="29" spans="1:9" x14ac:dyDescent="0.25">
      <c r="A29">
        <v>5</v>
      </c>
      <c r="B29">
        <v>4.9351145936324586E-2</v>
      </c>
      <c r="C29">
        <v>4.3439161802379264E-2</v>
      </c>
      <c r="D29">
        <v>1.77638686075073</v>
      </c>
      <c r="F29">
        <v>9.7826086956521738</v>
      </c>
      <c r="G29">
        <v>2.4451688592768837E-2</v>
      </c>
    </row>
    <row r="30" spans="1:9" x14ac:dyDescent="0.25">
      <c r="A30">
        <v>6</v>
      </c>
      <c r="B30">
        <v>8.5540242602806016E-2</v>
      </c>
      <c r="C30">
        <v>-3.5277795549930185E-2</v>
      </c>
      <c r="D30">
        <v>-1.4426386212570552</v>
      </c>
      <c r="F30">
        <v>11.956521739130435</v>
      </c>
      <c r="G30">
        <v>2.8968352462320372E-2</v>
      </c>
    </row>
    <row r="31" spans="1:9" x14ac:dyDescent="0.25">
      <c r="A31">
        <v>7</v>
      </c>
      <c r="B31">
        <v>9.7036703107164862E-2</v>
      </c>
      <c r="C31">
        <v>-1.3375220089171913E-2</v>
      </c>
      <c r="D31">
        <v>-0.54696187127516871</v>
      </c>
      <c r="F31">
        <v>14.130434782608695</v>
      </c>
      <c r="G31">
        <v>2.9123905736681291E-2</v>
      </c>
    </row>
    <row r="32" spans="1:9" x14ac:dyDescent="0.25">
      <c r="A32">
        <v>8</v>
      </c>
      <c r="B32">
        <v>0.10981036418053405</v>
      </c>
      <c r="C32">
        <v>-4.4528184183621339E-3</v>
      </c>
      <c r="D32">
        <v>-0.18209209854629602</v>
      </c>
      <c r="F32">
        <v>16.304347826086953</v>
      </c>
      <c r="G32">
        <v>3.0039901760827534E-2</v>
      </c>
    </row>
    <row r="33" spans="1:7" x14ac:dyDescent="0.25">
      <c r="A33">
        <v>9</v>
      </c>
      <c r="B33">
        <v>0.11026637776667164</v>
      </c>
      <c r="C33">
        <v>-8.9300356268357806E-3</v>
      </c>
      <c r="D33">
        <v>-0.36518195322724034</v>
      </c>
      <c r="F33">
        <v>18.478260869565215</v>
      </c>
      <c r="G33">
        <v>3.0396480060029658E-2</v>
      </c>
    </row>
    <row r="34" spans="1:7" x14ac:dyDescent="0.25">
      <c r="A34">
        <v>10</v>
      </c>
      <c r="B34">
        <v>8.2196556282773114E-2</v>
      </c>
      <c r="C34">
        <v>2.092718706321485E-2</v>
      </c>
      <c r="D34">
        <v>0.8557895361952258</v>
      </c>
      <c r="F34">
        <v>20.652173913043477</v>
      </c>
      <c r="G34">
        <v>3.4492773937565911E-2</v>
      </c>
    </row>
    <row r="35" spans="1:7" x14ac:dyDescent="0.25">
      <c r="A35">
        <v>11</v>
      </c>
      <c r="B35">
        <v>8.0160846424736532E-2</v>
      </c>
      <c r="C35">
        <v>6.2246644543845764E-3</v>
      </c>
      <c r="D35">
        <v>0.25454939024042661</v>
      </c>
      <c r="F35">
        <v>22.826086956521738</v>
      </c>
      <c r="G35">
        <v>3.6880605292335375E-2</v>
      </c>
    </row>
    <row r="36" spans="1:7" x14ac:dyDescent="0.25">
      <c r="A36">
        <v>12</v>
      </c>
      <c r="B36">
        <v>0.11578260899590219</v>
      </c>
      <c r="C36">
        <v>-3.7420406520102353E-2</v>
      </c>
      <c r="D36">
        <v>-1.5302578527797441</v>
      </c>
      <c r="F36">
        <v>24.999999999999996</v>
      </c>
      <c r="G36">
        <v>3.8038822925710994E-2</v>
      </c>
    </row>
    <row r="37" spans="1:7" x14ac:dyDescent="0.25">
      <c r="A37">
        <v>13</v>
      </c>
      <c r="B37">
        <v>0.10841452201389315</v>
      </c>
      <c r="C37">
        <v>1.2415051548876621E-4</v>
      </c>
      <c r="D37">
        <v>5.0769705334782695E-3</v>
      </c>
      <c r="F37">
        <v>27.173913043478258</v>
      </c>
      <c r="G37">
        <v>3.8280116662410074E-2</v>
      </c>
    </row>
    <row r="38" spans="1:7" x14ac:dyDescent="0.25">
      <c r="A38">
        <v>14</v>
      </c>
      <c r="B38">
        <v>0.10121521295476532</v>
      </c>
      <c r="C38">
        <v>1.518301409319589E-2</v>
      </c>
      <c r="D38">
        <v>0.62088920740337772</v>
      </c>
      <c r="F38">
        <v>29.34782608695652</v>
      </c>
      <c r="G38">
        <v>3.8522186862285888E-2</v>
      </c>
    </row>
    <row r="39" spans="1:7" x14ac:dyDescent="0.25">
      <c r="A39">
        <v>15</v>
      </c>
      <c r="B39">
        <v>8.6330015269057175E-2</v>
      </c>
      <c r="C39">
        <v>1.5960785644248451E-2</v>
      </c>
      <c r="D39">
        <v>0.65269514256946115</v>
      </c>
      <c r="F39">
        <v>31.521739130434778</v>
      </c>
      <c r="G39">
        <v>4.0772823859477184E-2</v>
      </c>
    </row>
    <row r="40" spans="1:7" x14ac:dyDescent="0.25">
      <c r="A40">
        <v>16</v>
      </c>
      <c r="B40">
        <v>8.3419946867183264E-2</v>
      </c>
      <c r="C40">
        <v>6.0299129417562131E-3</v>
      </c>
      <c r="D40">
        <v>0.24658528564471122</v>
      </c>
      <c r="F40">
        <v>33.695652173913047</v>
      </c>
      <c r="G40">
        <v>4.4943328134318304E-2</v>
      </c>
    </row>
    <row r="41" spans="1:7" x14ac:dyDescent="0.25">
      <c r="A41">
        <v>17</v>
      </c>
      <c r="B41">
        <v>7.067282217461246E-2</v>
      </c>
      <c r="C41">
        <v>6.2023878726449905E-2</v>
      </c>
      <c r="D41">
        <v>2.5363841900012813</v>
      </c>
      <c r="F41">
        <v>35.869565217391305</v>
      </c>
      <c r="G41">
        <v>4.8146899121257733E-2</v>
      </c>
    </row>
    <row r="42" spans="1:7" x14ac:dyDescent="0.25">
      <c r="A42">
        <v>18</v>
      </c>
      <c r="B42">
        <v>9.7195938443893098E-2</v>
      </c>
      <c r="C42">
        <v>-4.1314353735250886E-3</v>
      </c>
      <c r="D42">
        <v>-0.16894956553164375</v>
      </c>
      <c r="F42">
        <v>38.043478260869563</v>
      </c>
      <c r="G42">
        <v>5.026244705287583E-2</v>
      </c>
    </row>
    <row r="43" spans="1:7" x14ac:dyDescent="0.25">
      <c r="A43">
        <v>19</v>
      </c>
      <c r="B43">
        <v>0.10767559021315237</v>
      </c>
      <c r="C43">
        <v>-3.2858344450907601E-2</v>
      </c>
      <c r="D43">
        <v>-1.343698380142706</v>
      </c>
      <c r="F43">
        <v>40.217391304347828</v>
      </c>
      <c r="G43">
        <v>5.4034847987806937E-2</v>
      </c>
    </row>
    <row r="44" spans="1:7" x14ac:dyDescent="0.25">
      <c r="A44">
        <v>20</v>
      </c>
      <c r="B44">
        <v>0.10944997970874704</v>
      </c>
      <c r="C44">
        <v>-2.7740165427307908E-2</v>
      </c>
      <c r="D44">
        <v>-1.1343972428451048</v>
      </c>
      <c r="F44">
        <v>42.391304347826086</v>
      </c>
      <c r="G44">
        <v>5.4232283794637112E-2</v>
      </c>
    </row>
    <row r="45" spans="1:7" x14ac:dyDescent="0.25">
      <c r="A45">
        <v>21</v>
      </c>
      <c r="B45">
        <v>0.11158003598533439</v>
      </c>
      <c r="C45">
        <v>-1.7450892804371926E-3</v>
      </c>
      <c r="D45">
        <v>-7.1363109691397947E-2</v>
      </c>
      <c r="F45">
        <v>44.565217391304351</v>
      </c>
      <c r="G45">
        <v>5.4712666443967696E-2</v>
      </c>
    </row>
    <row r="46" spans="1:7" x14ac:dyDescent="0.25">
      <c r="A46">
        <v>22</v>
      </c>
      <c r="B46">
        <v>0.10448874384989681</v>
      </c>
      <c r="C46">
        <v>-1.0440849310948228E-2</v>
      </c>
      <c r="D46">
        <v>-0.42696467338444094</v>
      </c>
      <c r="F46">
        <v>46.739130434782609</v>
      </c>
      <c r="G46">
        <v>6.8655731660971955E-2</v>
      </c>
    </row>
    <row r="47" spans="1:7" x14ac:dyDescent="0.25">
      <c r="A47">
        <v>23</v>
      </c>
      <c r="B47">
        <v>9.6587873153881204E-2</v>
      </c>
      <c r="C47">
        <v>1.4599434141302381E-2</v>
      </c>
      <c r="D47">
        <v>0.59702447991491148</v>
      </c>
      <c r="F47">
        <v>48.913043478260867</v>
      </c>
      <c r="G47">
        <v>6.9808663946635929E-2</v>
      </c>
    </row>
    <row r="48" spans="1:7" x14ac:dyDescent="0.25">
      <c r="A48">
        <v>24</v>
      </c>
      <c r="B48">
        <v>8.0315212941161479E-2</v>
      </c>
      <c r="C48">
        <v>1.4182521678951648E-3</v>
      </c>
      <c r="D48">
        <v>5.7997539817681701E-2</v>
      </c>
      <c r="F48">
        <v>51.086956521739133</v>
      </c>
      <c r="G48">
        <v>7.1562774179285707E-2</v>
      </c>
    </row>
    <row r="49" spans="1:7" x14ac:dyDescent="0.25">
      <c r="A49">
        <v>25</v>
      </c>
      <c r="B49">
        <v>6.418753587417389E-2</v>
      </c>
      <c r="C49">
        <v>-9.4748694302061939E-3</v>
      </c>
      <c r="D49">
        <v>-0.38746220840350482</v>
      </c>
      <c r="F49">
        <v>53.260869565217391</v>
      </c>
      <c r="G49">
        <v>7.4817245762244772E-2</v>
      </c>
    </row>
    <row r="50" spans="1:7" x14ac:dyDescent="0.25">
      <c r="A50">
        <v>26</v>
      </c>
      <c r="B50">
        <v>4.3501999847857908E-2</v>
      </c>
      <c r="C50">
        <v>-5.2218831854478343E-3</v>
      </c>
      <c r="D50">
        <v>-0.2135419813394426</v>
      </c>
      <c r="F50">
        <v>55.434782608695649</v>
      </c>
      <c r="G50">
        <v>7.8362202475799836E-2</v>
      </c>
    </row>
    <row r="51" spans="1:7" x14ac:dyDescent="0.25">
      <c r="A51">
        <v>27</v>
      </c>
      <c r="B51">
        <v>5.2301738810489662E-2</v>
      </c>
      <c r="C51">
        <v>-4.1548396892319289E-3</v>
      </c>
      <c r="D51">
        <v>-0.16990665395557869</v>
      </c>
      <c r="F51">
        <v>57.608695652173914</v>
      </c>
      <c r="G51">
        <v>8.1709814281439128E-2</v>
      </c>
    </row>
    <row r="52" spans="1:7" x14ac:dyDescent="0.25">
      <c r="A52">
        <v>28</v>
      </c>
      <c r="B52">
        <v>8.2766417130644948E-2</v>
      </c>
      <c r="C52">
        <v>-1.2957753184009019E-2</v>
      </c>
      <c r="D52">
        <v>-0.52989011633423855</v>
      </c>
      <c r="F52">
        <v>59.782608695652172</v>
      </c>
      <c r="G52">
        <v>8.1733465109056644E-2</v>
      </c>
    </row>
    <row r="53" spans="1:7" x14ac:dyDescent="0.25">
      <c r="A53">
        <v>29</v>
      </c>
      <c r="B53">
        <v>2.6216986793598934E-2</v>
      </c>
      <c r="C53">
        <v>2.751365668721438E-3</v>
      </c>
      <c r="D53">
        <v>0.11251344685867555</v>
      </c>
      <c r="F53">
        <v>61.95652173913043</v>
      </c>
      <c r="G53">
        <v>8.3661483017992949E-2</v>
      </c>
    </row>
    <row r="54" spans="1:7" x14ac:dyDescent="0.25">
      <c r="A54">
        <v>30</v>
      </c>
      <c r="B54">
        <v>4.2066936846255509E-2</v>
      </c>
      <c r="C54">
        <v>-1.1670456786225851E-2</v>
      </c>
      <c r="D54">
        <v>-0.47724783890455491</v>
      </c>
      <c r="F54">
        <v>64.130434782608688</v>
      </c>
      <c r="G54">
        <v>8.6385510879121108E-2</v>
      </c>
    </row>
    <row r="55" spans="1:7" x14ac:dyDescent="0.25">
      <c r="A55">
        <v>31</v>
      </c>
      <c r="B55">
        <v>6.1094269561113246E-2</v>
      </c>
      <c r="C55">
        <v>-2.4213664268777871E-2</v>
      </c>
      <c r="D55">
        <v>-0.99018565904580902</v>
      </c>
      <c r="F55">
        <v>66.304347826086953</v>
      </c>
      <c r="G55">
        <v>8.9449859808939478E-2</v>
      </c>
    </row>
    <row r="56" spans="1:7" x14ac:dyDescent="0.25">
      <c r="A56">
        <v>32</v>
      </c>
      <c r="B56">
        <v>4.805876985020141E-2</v>
      </c>
      <c r="C56">
        <v>2.3504004329084296E-2</v>
      </c>
      <c r="D56">
        <v>0.96116505781487616</v>
      </c>
      <c r="F56">
        <v>68.478260869565204</v>
      </c>
      <c r="G56">
        <v>9.2790307738703851E-2</v>
      </c>
    </row>
    <row r="57" spans="1:7" x14ac:dyDescent="0.25">
      <c r="A57">
        <v>33</v>
      </c>
      <c r="B57">
        <v>3.8283685523400418E-2</v>
      </c>
      <c r="C57">
        <v>1.5751162464406519E-2</v>
      </c>
      <c r="D57">
        <v>0.64412288088370273</v>
      </c>
      <c r="F57">
        <v>70.65217391304347</v>
      </c>
      <c r="G57">
        <v>9.306450307036801E-2</v>
      </c>
    </row>
    <row r="58" spans="1:7" x14ac:dyDescent="0.25">
      <c r="A58">
        <v>34</v>
      </c>
      <c r="B58">
        <v>5.2522442843601219E-2</v>
      </c>
      <c r="C58">
        <v>-2.3398537106919928E-2</v>
      </c>
      <c r="D58">
        <v>-0.95685211576168938</v>
      </c>
      <c r="F58">
        <v>72.826086956521735</v>
      </c>
      <c r="G58">
        <v>9.4047894538948587E-2</v>
      </c>
    </row>
    <row r="59" spans="1:7" x14ac:dyDescent="0.25">
      <c r="A59">
        <v>35</v>
      </c>
      <c r="B59">
        <v>7.6200530639630198E-2</v>
      </c>
      <c r="C59">
        <v>-2.1968246844993086E-2</v>
      </c>
      <c r="D59">
        <v>-0.89836229406795221</v>
      </c>
      <c r="F59">
        <v>74.999999999999986</v>
      </c>
      <c r="G59">
        <v>9.4474396241194178E-2</v>
      </c>
    </row>
    <row r="60" spans="1:7" x14ac:dyDescent="0.25">
      <c r="A60">
        <v>36</v>
      </c>
      <c r="B60">
        <v>2.9451578556029256E-2</v>
      </c>
      <c r="C60">
        <v>3.9204153104942699E-2</v>
      </c>
      <c r="D60">
        <v>1.6032018016209906</v>
      </c>
      <c r="F60">
        <v>77.173913043478251</v>
      </c>
      <c r="G60">
        <v>0.10133634213983586</v>
      </c>
    </row>
    <row r="61" spans="1:7" x14ac:dyDescent="0.25">
      <c r="A61">
        <v>37</v>
      </c>
      <c r="B61">
        <v>2.7821806459275816E-2</v>
      </c>
      <c r="C61">
        <v>1.0217016466435178E-2</v>
      </c>
      <c r="D61">
        <v>0.41781132632387069</v>
      </c>
      <c r="F61">
        <v>79.347826086956516</v>
      </c>
      <c r="G61">
        <v>0.10213722860700671</v>
      </c>
    </row>
    <row r="62" spans="1:7" x14ac:dyDescent="0.25">
      <c r="A62">
        <v>38</v>
      </c>
      <c r="B62">
        <v>6.3759635897509631E-2</v>
      </c>
      <c r="C62">
        <v>-4.2357257090953795E-2</v>
      </c>
      <c r="D62">
        <v>-1.7321438036976531</v>
      </c>
      <c r="F62">
        <v>81.521739130434767</v>
      </c>
      <c r="G62">
        <v>0.10229080091330563</v>
      </c>
    </row>
    <row r="63" spans="1:7" x14ac:dyDescent="0.25">
      <c r="A63">
        <v>39</v>
      </c>
      <c r="B63">
        <v>5.5130135686819265E-2</v>
      </c>
      <c r="C63">
        <v>-3.0678447094050428E-2</v>
      </c>
      <c r="D63">
        <v>-1.2545543713304956</v>
      </c>
      <c r="F63">
        <v>83.695652173913032</v>
      </c>
      <c r="G63">
        <v>0.10312374334598796</v>
      </c>
    </row>
    <row r="64" spans="1:7" x14ac:dyDescent="0.25">
      <c r="A64">
        <v>40</v>
      </c>
      <c r="B64">
        <v>3.3912767338061284E-2</v>
      </c>
      <c r="C64">
        <v>-1.203917590519003E-2</v>
      </c>
      <c r="D64">
        <v>-0.49232611783671598</v>
      </c>
      <c r="F64">
        <v>85.869565217391298</v>
      </c>
      <c r="G64">
        <v>0.10535754576217192</v>
      </c>
    </row>
    <row r="65" spans="1:7" x14ac:dyDescent="0.25">
      <c r="A65">
        <v>41</v>
      </c>
      <c r="B65">
        <v>7.0026674701805236E-3</v>
      </c>
      <c r="C65">
        <v>1.2290884195004865E-2</v>
      </c>
      <c r="D65">
        <v>0.50261939423102753</v>
      </c>
      <c r="F65">
        <v>88.043478260869563</v>
      </c>
      <c r="G65">
        <v>0.10853867252938192</v>
      </c>
    </row>
    <row r="66" spans="1:7" x14ac:dyDescent="0.25">
      <c r="A66">
        <v>42</v>
      </c>
      <c r="B66">
        <v>2.3731051456212654E-2</v>
      </c>
      <c r="C66">
        <v>1.704177240326453E-2</v>
      </c>
      <c r="D66">
        <v>0.69690066117724658</v>
      </c>
      <c r="F66">
        <v>90.217391304347814</v>
      </c>
      <c r="G66">
        <v>0.1098349467048972</v>
      </c>
    </row>
    <row r="67" spans="1:7" x14ac:dyDescent="0.25">
      <c r="A67">
        <v>43</v>
      </c>
      <c r="B67">
        <v>3.3669688485288674E-2</v>
      </c>
      <c r="C67">
        <v>-3.6297867244611398E-3</v>
      </c>
      <c r="D67">
        <v>-0.14843530991675424</v>
      </c>
      <c r="F67">
        <v>92.391304347826079</v>
      </c>
      <c r="G67">
        <v>0.11118730729518359</v>
      </c>
    </row>
    <row r="68" spans="1:7" x14ac:dyDescent="0.25">
      <c r="A68">
        <v>44</v>
      </c>
      <c r="B68">
        <v>3.3093588480656855E-2</v>
      </c>
      <c r="C68">
        <v>1.3991854569090564E-3</v>
      </c>
      <c r="D68">
        <v>5.7217831981063186E-2</v>
      </c>
      <c r="F68">
        <v>94.565217391304344</v>
      </c>
      <c r="G68">
        <v>0.11639822704796121</v>
      </c>
    </row>
    <row r="69" spans="1:7" x14ac:dyDescent="0.25">
      <c r="A69">
        <v>45</v>
      </c>
      <c r="B69">
        <v>4.4248207219505481E-2</v>
      </c>
      <c r="C69">
        <v>-2.5033331865555696E-2</v>
      </c>
      <c r="D69">
        <v>-1.0237048773890023</v>
      </c>
      <c r="F69">
        <v>96.739130434782595</v>
      </c>
      <c r="G69">
        <v>0.13269670090106236</v>
      </c>
    </row>
    <row r="70" spans="1:7" ht="15.75" thickBot="1" x14ac:dyDescent="0.3">
      <c r="A70" s="15">
        <v>46</v>
      </c>
      <c r="B70" s="15">
        <v>5.1510894332198964E-2</v>
      </c>
      <c r="C70" s="15">
        <v>-6.5675661978806602E-3</v>
      </c>
      <c r="D70" s="15">
        <v>-0.2685719018728126</v>
      </c>
      <c r="F70" s="15">
        <v>98.91304347826086</v>
      </c>
      <c r="G70" s="15">
        <v>0.23463013681942907</v>
      </c>
    </row>
  </sheetData>
  <sortState xmlns:xlrd2="http://schemas.microsoft.com/office/spreadsheetml/2017/richdata2" ref="G25:G70">
    <sortCondition ref="G25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D03E-2021-4F22-ABE8-B48CA79CE84A}">
  <dimension ref="A1:C47"/>
  <sheetViews>
    <sheetView workbookViewId="0">
      <selection activeCell="A2" sqref="A2:A47"/>
    </sheetView>
  </sheetViews>
  <sheetFormatPr defaultRowHeight="15" x14ac:dyDescent="0.25"/>
  <cols>
    <col min="1" max="1" width="44.140625" bestFit="1" customWidth="1"/>
    <col min="2" max="2" width="18.5703125" bestFit="1" customWidth="1"/>
    <col min="3" max="3" width="18.5703125" customWidth="1"/>
  </cols>
  <sheetData>
    <row r="1" spans="1:3" x14ac:dyDescent="0.25">
      <c r="A1" s="12" t="s">
        <v>19</v>
      </c>
      <c r="B1" t="s">
        <v>3</v>
      </c>
      <c r="C1" t="s">
        <v>66</v>
      </c>
    </row>
    <row r="2" spans="1:3" x14ac:dyDescent="0.25">
      <c r="A2" s="13">
        <v>396.36851966536864</v>
      </c>
      <c r="B2">
        <v>93</v>
      </c>
      <c r="C2" s="2">
        <f>B2/A2</f>
        <v>0.23463013681942907</v>
      </c>
    </row>
    <row r="3" spans="1:3" x14ac:dyDescent="0.25">
      <c r="A3" s="14">
        <v>986.44451665860322</v>
      </c>
      <c r="B3">
        <v>38</v>
      </c>
      <c r="C3" s="2">
        <f t="shared" ref="C3:C47" si="0">B3/A3</f>
        <v>3.8522186862285888E-2</v>
      </c>
    </row>
    <row r="4" spans="1:3" x14ac:dyDescent="0.25">
      <c r="A4" s="13">
        <v>857.37515372107919</v>
      </c>
      <c r="B4">
        <v>81</v>
      </c>
      <c r="C4" s="2">
        <f t="shared" si="0"/>
        <v>9.4474396241194178E-2</v>
      </c>
    </row>
    <row r="5" spans="1:3" x14ac:dyDescent="0.25">
      <c r="A5" s="14">
        <v>881.16743745116571</v>
      </c>
      <c r="B5">
        <v>90</v>
      </c>
      <c r="C5" s="2">
        <f t="shared" si="0"/>
        <v>0.10213722860700671</v>
      </c>
    </row>
    <row r="6" spans="1:3" x14ac:dyDescent="0.25">
      <c r="A6" s="13">
        <v>1013.036838553253</v>
      </c>
      <c r="B6">
        <v>94</v>
      </c>
      <c r="C6" s="2">
        <f t="shared" si="0"/>
        <v>9.2790307738703851E-2</v>
      </c>
    </row>
    <row r="7" spans="1:3" x14ac:dyDescent="0.25">
      <c r="A7" s="14">
        <v>815.71834250067877</v>
      </c>
      <c r="B7">
        <v>41</v>
      </c>
      <c r="C7" s="2">
        <f t="shared" si="0"/>
        <v>5.026244705287583E-2</v>
      </c>
    </row>
    <row r="8" spans="1:3" x14ac:dyDescent="0.25">
      <c r="A8" s="13">
        <v>753.03470279687349</v>
      </c>
      <c r="B8">
        <v>63</v>
      </c>
      <c r="C8" s="2">
        <f t="shared" si="0"/>
        <v>8.3661483017992949E-2</v>
      </c>
    </row>
    <row r="9" spans="1:3" x14ac:dyDescent="0.25">
      <c r="A9" s="14">
        <v>683.38721711047322</v>
      </c>
      <c r="B9">
        <v>72</v>
      </c>
      <c r="C9" s="2">
        <f t="shared" si="0"/>
        <v>0.10535754576217192</v>
      </c>
    </row>
    <row r="10" spans="1:3" x14ac:dyDescent="0.25">
      <c r="A10" s="13">
        <v>680.90083520861299</v>
      </c>
      <c r="B10">
        <v>69</v>
      </c>
      <c r="C10" s="2">
        <f t="shared" si="0"/>
        <v>0.10133634213983586</v>
      </c>
    </row>
    <row r="11" spans="1:3" x14ac:dyDescent="0.25">
      <c r="A11" s="14">
        <v>833.9495562284186</v>
      </c>
      <c r="B11">
        <v>86</v>
      </c>
      <c r="C11" s="2">
        <f t="shared" si="0"/>
        <v>0.10312374334598796</v>
      </c>
    </row>
    <row r="12" spans="1:3" x14ac:dyDescent="0.25">
      <c r="A12" s="13">
        <v>845.04912058862044</v>
      </c>
      <c r="B12">
        <v>73</v>
      </c>
      <c r="C12" s="2">
        <f t="shared" si="0"/>
        <v>8.6385510879121108E-2</v>
      </c>
    </row>
    <row r="13" spans="1:3" x14ac:dyDescent="0.25">
      <c r="A13" s="14">
        <v>650.82397365936777</v>
      </c>
      <c r="B13">
        <v>51</v>
      </c>
      <c r="C13" s="2">
        <f t="shared" si="0"/>
        <v>7.8362202475799836E-2</v>
      </c>
    </row>
    <row r="14" spans="1:3" x14ac:dyDescent="0.25">
      <c r="A14" s="13">
        <v>690.99794803273608</v>
      </c>
      <c r="B14">
        <v>75</v>
      </c>
      <c r="C14" s="2">
        <f t="shared" si="0"/>
        <v>0.10853867252938192</v>
      </c>
    </row>
    <row r="15" spans="1:3" x14ac:dyDescent="0.25">
      <c r="A15" s="14">
        <v>730.2516726906523</v>
      </c>
      <c r="B15">
        <v>85</v>
      </c>
      <c r="C15" s="2">
        <f t="shared" si="0"/>
        <v>0.11639822704796121</v>
      </c>
    </row>
    <row r="16" spans="1:3" x14ac:dyDescent="0.25">
      <c r="A16" s="13">
        <v>811.412162764713</v>
      </c>
      <c r="B16">
        <v>83</v>
      </c>
      <c r="C16" s="2">
        <f t="shared" si="0"/>
        <v>0.10229080091330563</v>
      </c>
    </row>
    <row r="17" spans="1:3" x14ac:dyDescent="0.25">
      <c r="A17" s="14">
        <v>827.27910538999583</v>
      </c>
      <c r="B17">
        <v>74</v>
      </c>
      <c r="C17" s="2">
        <f t="shared" si="0"/>
        <v>8.9449859808939478E-2</v>
      </c>
    </row>
    <row r="18" spans="1:3" x14ac:dyDescent="0.25">
      <c r="A18" s="13">
        <v>896.78190333251371</v>
      </c>
      <c r="B18">
        <v>119</v>
      </c>
      <c r="C18" s="2">
        <f t="shared" si="0"/>
        <v>0.13269670090106236</v>
      </c>
    </row>
    <row r="19" spans="1:3" x14ac:dyDescent="0.25">
      <c r="A19" s="14">
        <v>752.16648335909065</v>
      </c>
      <c r="B19">
        <v>70</v>
      </c>
      <c r="C19" s="2">
        <f t="shared" si="0"/>
        <v>9.306450307036801E-2</v>
      </c>
    </row>
    <row r="20" spans="1:3" x14ac:dyDescent="0.25">
      <c r="A20" s="13">
        <v>695.02692153686439</v>
      </c>
      <c r="B20">
        <v>52</v>
      </c>
      <c r="C20" s="2">
        <f t="shared" si="0"/>
        <v>7.4817245762244772E-2</v>
      </c>
    </row>
    <row r="21" spans="1:3" x14ac:dyDescent="0.25">
      <c r="A21" s="14">
        <v>685.35218801397684</v>
      </c>
      <c r="B21">
        <v>56</v>
      </c>
      <c r="C21" s="2">
        <f t="shared" si="0"/>
        <v>8.1709814281439128E-2</v>
      </c>
    </row>
    <row r="22" spans="1:3" x14ac:dyDescent="0.25">
      <c r="A22" s="13">
        <v>673.73820646375907</v>
      </c>
      <c r="B22">
        <v>74</v>
      </c>
      <c r="C22" s="2">
        <f t="shared" si="0"/>
        <v>0.1098349467048972</v>
      </c>
    </row>
    <row r="23" spans="1:3" x14ac:dyDescent="0.25">
      <c r="A23" s="14">
        <v>712.40297646698423</v>
      </c>
      <c r="B23">
        <v>67</v>
      </c>
      <c r="C23" s="2">
        <f t="shared" si="0"/>
        <v>9.4047894538948587E-2</v>
      </c>
    </row>
    <row r="24" spans="1:3" x14ac:dyDescent="0.25">
      <c r="A24" s="13">
        <v>755.48191644747851</v>
      </c>
      <c r="B24">
        <v>84</v>
      </c>
      <c r="C24" s="2">
        <f t="shared" si="0"/>
        <v>0.11118730729518359</v>
      </c>
    </row>
    <row r="25" spans="1:3" x14ac:dyDescent="0.25">
      <c r="A25" s="14">
        <v>844.20744804999481</v>
      </c>
      <c r="B25">
        <v>69</v>
      </c>
      <c r="C25" s="2">
        <f t="shared" si="0"/>
        <v>8.1733465109056644E-2</v>
      </c>
    </row>
    <row r="26" spans="1:3" x14ac:dyDescent="0.25">
      <c r="A26" s="13">
        <v>932.14246928049272</v>
      </c>
      <c r="B26">
        <v>51</v>
      </c>
      <c r="C26" s="2">
        <f t="shared" si="0"/>
        <v>5.4712666443967696E-2</v>
      </c>
    </row>
    <row r="27" spans="1:3" x14ac:dyDescent="0.25">
      <c r="A27" s="14">
        <v>1044.9288948818382</v>
      </c>
      <c r="B27">
        <v>40</v>
      </c>
      <c r="C27" s="2">
        <f t="shared" si="0"/>
        <v>3.8280116662410074E-2</v>
      </c>
    </row>
    <row r="28" spans="1:3" x14ac:dyDescent="0.25">
      <c r="A28" s="13">
        <v>996.94893910223027</v>
      </c>
      <c r="B28">
        <v>48</v>
      </c>
      <c r="C28" s="2">
        <f t="shared" si="0"/>
        <v>4.8146899121257733E-2</v>
      </c>
    </row>
    <row r="29" spans="1:3" x14ac:dyDescent="0.25">
      <c r="A29" s="14">
        <v>830.84243016507423</v>
      </c>
      <c r="B29">
        <v>58</v>
      </c>
      <c r="C29" s="2">
        <f t="shared" si="0"/>
        <v>6.9808663946635929E-2</v>
      </c>
    </row>
    <row r="30" spans="1:3" x14ac:dyDescent="0.25">
      <c r="A30" s="13">
        <v>1139.1742089207062</v>
      </c>
      <c r="B30">
        <v>33</v>
      </c>
      <c r="C30" s="2">
        <f t="shared" si="0"/>
        <v>2.8968352462320372E-2</v>
      </c>
    </row>
    <row r="31" spans="1:3" x14ac:dyDescent="0.25">
      <c r="A31" s="14">
        <v>1052.7534746392862</v>
      </c>
      <c r="B31">
        <v>32</v>
      </c>
      <c r="C31" s="2">
        <f t="shared" si="0"/>
        <v>3.0396480060029658E-2</v>
      </c>
    </row>
    <row r="32" spans="1:3" x14ac:dyDescent="0.25">
      <c r="A32" s="13">
        <v>949.00828558998171</v>
      </c>
      <c r="B32">
        <v>35</v>
      </c>
      <c r="C32" s="2">
        <f t="shared" si="0"/>
        <v>3.6880605292335375E-2</v>
      </c>
    </row>
    <row r="33" spans="1:3" x14ac:dyDescent="0.25">
      <c r="A33" s="14">
        <v>1020.0834279721132</v>
      </c>
      <c r="B33">
        <v>73</v>
      </c>
      <c r="C33" s="2">
        <f t="shared" si="0"/>
        <v>7.1562774179285707E-2</v>
      </c>
    </row>
    <row r="34" spans="1:3" x14ac:dyDescent="0.25">
      <c r="A34" s="13">
        <v>1073.3813855289795</v>
      </c>
      <c r="B34">
        <v>58</v>
      </c>
      <c r="C34" s="2">
        <f t="shared" si="0"/>
        <v>5.4034847987806937E-2</v>
      </c>
    </row>
    <row r="35" spans="1:3" x14ac:dyDescent="0.25">
      <c r="A35" s="14">
        <v>995.74556593468049</v>
      </c>
      <c r="B35">
        <v>29</v>
      </c>
      <c r="C35" s="2">
        <f t="shared" si="0"/>
        <v>2.9123905736681291E-2</v>
      </c>
    </row>
    <row r="36" spans="1:3" x14ac:dyDescent="0.25">
      <c r="A36" s="13">
        <v>866.64246296497856</v>
      </c>
      <c r="B36">
        <v>47</v>
      </c>
      <c r="C36" s="2">
        <f t="shared" si="0"/>
        <v>5.4232283794637112E-2</v>
      </c>
    </row>
    <row r="37" spans="1:3" x14ac:dyDescent="0.25">
      <c r="A37" s="14">
        <v>1121.5378255705259</v>
      </c>
      <c r="B37">
        <v>77</v>
      </c>
      <c r="C37" s="2">
        <f t="shared" si="0"/>
        <v>6.8655731660971955E-2</v>
      </c>
    </row>
    <row r="38" spans="1:3" x14ac:dyDescent="0.25">
      <c r="A38" s="13">
        <v>1130.4240429305103</v>
      </c>
      <c r="B38">
        <v>43</v>
      </c>
      <c r="C38" s="2">
        <f t="shared" si="0"/>
        <v>3.8038822925710994E-2</v>
      </c>
    </row>
    <row r="39" spans="1:3" x14ac:dyDescent="0.25">
      <c r="A39" s="14">
        <v>934.47556371041037</v>
      </c>
      <c r="B39">
        <v>20</v>
      </c>
      <c r="C39" s="2">
        <f t="shared" si="0"/>
        <v>2.1402378806555832E-2</v>
      </c>
    </row>
    <row r="40" spans="1:3" x14ac:dyDescent="0.25">
      <c r="A40" s="13">
        <v>981.52730470719246</v>
      </c>
      <c r="B40">
        <v>24</v>
      </c>
      <c r="C40" s="2">
        <f t="shared" si="0"/>
        <v>2.4451688592768837E-2</v>
      </c>
    </row>
    <row r="41" spans="1:3" x14ac:dyDescent="0.25">
      <c r="A41" s="14">
        <v>1097.2135085202888</v>
      </c>
      <c r="B41">
        <v>24</v>
      </c>
      <c r="C41" s="2">
        <f t="shared" si="0"/>
        <v>2.1873591432871254E-2</v>
      </c>
    </row>
    <row r="42" spans="1:3" x14ac:dyDescent="0.25">
      <c r="A42" s="13">
        <v>1243.9389292593157</v>
      </c>
      <c r="B42">
        <v>24</v>
      </c>
      <c r="C42" s="2">
        <f t="shared" si="0"/>
        <v>1.9293551665185388E-2</v>
      </c>
    </row>
    <row r="43" spans="1:3" x14ac:dyDescent="0.25">
      <c r="A43" s="14">
        <v>1152.7285959389192</v>
      </c>
      <c r="B43">
        <v>47</v>
      </c>
      <c r="C43" s="2">
        <f t="shared" si="0"/>
        <v>4.0772823859477184E-2</v>
      </c>
    </row>
    <row r="44" spans="1:3" x14ac:dyDescent="0.25">
      <c r="A44" s="13">
        <v>1098.5388788132616</v>
      </c>
      <c r="B44">
        <v>33</v>
      </c>
      <c r="C44" s="2">
        <f t="shared" si="0"/>
        <v>3.0039901760827534E-2</v>
      </c>
    </row>
    <row r="45" spans="1:3" x14ac:dyDescent="0.25">
      <c r="A45" s="14">
        <v>1101.6800234386017</v>
      </c>
      <c r="B45">
        <v>38</v>
      </c>
      <c r="C45" s="2">
        <f t="shared" si="0"/>
        <v>3.4492773937565911E-2</v>
      </c>
    </row>
    <row r="46" spans="1:3" x14ac:dyDescent="0.25">
      <c r="A46" s="13">
        <v>1040.8602518407088</v>
      </c>
      <c r="B46">
        <v>20</v>
      </c>
      <c r="C46" s="2">
        <f t="shared" si="0"/>
        <v>1.9214875353949785E-2</v>
      </c>
    </row>
    <row r="47" spans="1:3" x14ac:dyDescent="0.25">
      <c r="A47" s="14">
        <v>1001.260962817714</v>
      </c>
      <c r="B47">
        <v>45</v>
      </c>
      <c r="C47" s="2">
        <f t="shared" si="0"/>
        <v>4.4943328134318304E-2</v>
      </c>
    </row>
  </sheetData>
  <autoFilter ref="A1:C47" xr:uid="{06D2D03E-2021-4F22-ABE8-B48CA79CE84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linhadotempo</vt:lpstr>
      <vt:lpstr>Planilha15</vt:lpstr>
      <vt:lpstr>Planilha16</vt:lpstr>
      <vt:lpstr>dadoscrus</vt:lpstr>
      <vt:lpstr>Gráfico4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Bezerra de Melo Silva</dc:creator>
  <cp:lastModifiedBy>Gabriel Bezerra de Melo Silva</cp:lastModifiedBy>
  <dcterms:created xsi:type="dcterms:W3CDTF">2022-07-08T16:36:35Z</dcterms:created>
  <dcterms:modified xsi:type="dcterms:W3CDTF">2023-11-11T00:16:42Z</dcterms:modified>
</cp:coreProperties>
</file>