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.myersbailey\Downloads\DA\"/>
    </mc:Choice>
  </mc:AlternateContent>
  <xr:revisionPtr revIDLastSave="0" documentId="13_ncr:1_{1092C46B-B7AE-41C3-A678-2EED8C6224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servationist" sheetId="1" r:id="rId1"/>
    <sheet name="Deliberative" sheetId="10" r:id="rId2"/>
    <sheet name="Productivist" sheetId="11" r:id="rId3"/>
    <sheet name="Traditionalist" sheetId="12" r:id="rId4"/>
    <sheet name="Alternative Values" sheetId="7" r:id="rId5"/>
    <sheet name="General Assumptions" sheetId="4" r:id="rId6"/>
    <sheet name="PGC Assumptions" sheetId="2" r:id="rId7"/>
    <sheet name="Cereal Rye Assumptions" sheetId="5" r:id="rId8"/>
    <sheet name="Conversion Factors" sheetId="9" r:id="rId9"/>
    <sheet name="VF-Max Yield" sheetId="3" r:id="rId10"/>
    <sheet name="VF-Crop Insurance" sheetId="6" r:id="rId11"/>
    <sheet name="VF - Cost" sheetId="8" r:id="rId12"/>
    <sheet name="VF-Field Passes" sheetId="13" r:id="rId13"/>
    <sheet name="VF-Conflict" sheetId="14" r:id="rId14"/>
    <sheet name="VF-N Losses" sheetId="17" r:id="rId15"/>
    <sheet name="VF-P Losses" sheetId="15" r:id="rId16"/>
    <sheet name="VF- Soil Erosion" sheetId="16" r:id="rId17"/>
    <sheet name="VF- Soil Health" sheetId="18" r:id="rId18"/>
    <sheet name="VF-Ops Emissions" sheetId="19" r:id="rId19"/>
    <sheet name="VF- N2O Emissions" sheetId="20" r:id="rId20"/>
    <sheet name="VF- Soil Carbon" sheetId="21" r:id="rId21"/>
    <sheet name="Constructed Scales" sheetId="3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8" l="1"/>
  <c r="D36" i="8" l="1"/>
  <c r="B26" i="5"/>
  <c r="B12" i="5"/>
  <c r="G91" i="5"/>
  <c r="A35" i="5"/>
  <c r="D30" i="8"/>
  <c r="B27" i="2" l="1"/>
  <c r="B17" i="2" l="1"/>
  <c r="C27" i="8"/>
  <c r="C28" i="8" s="1"/>
  <c r="B39" i="8"/>
  <c r="C37" i="8"/>
  <c r="B37" i="8"/>
  <c r="E35" i="8"/>
  <c r="D35" i="8"/>
  <c r="C35" i="8"/>
  <c r="B35" i="8"/>
  <c r="C33" i="8"/>
  <c r="D33" i="8"/>
  <c r="E33" i="8"/>
  <c r="B33" i="8"/>
  <c r="B28" i="8"/>
  <c r="B26" i="8"/>
  <c r="B24" i="8"/>
  <c r="B22" i="8"/>
  <c r="C7" i="18"/>
  <c r="C8" i="18"/>
  <c r="C9" i="18"/>
  <c r="C6" i="18"/>
  <c r="C7" i="21"/>
  <c r="C8" i="21"/>
  <c r="C9" i="21"/>
  <c r="C6" i="21"/>
  <c r="B17" i="5"/>
  <c r="B18" i="5"/>
  <c r="B25" i="5"/>
  <c r="B21" i="5"/>
  <c r="B22" i="5"/>
  <c r="B20" i="5"/>
  <c r="E30" i="8"/>
  <c r="E31" i="8" s="1"/>
  <c r="B30" i="8"/>
  <c r="B31" i="8" s="1"/>
  <c r="C30" i="8"/>
  <c r="C31" i="8" s="1"/>
  <c r="E19" i="8"/>
  <c r="E20" i="8" s="1"/>
  <c r="B24" i="2"/>
  <c r="B25" i="2"/>
  <c r="B23" i="2"/>
  <c r="B22" i="2"/>
  <c r="B21" i="2"/>
  <c r="B11" i="4"/>
  <c r="B9" i="4"/>
  <c r="B10" i="4"/>
  <c r="C7" i="20" l="1"/>
  <c r="C8" i="20"/>
  <c r="C9" i="20"/>
  <c r="C6" i="20"/>
  <c r="B21" i="3" l="1"/>
  <c r="B22" i="3" s="1"/>
  <c r="B13" i="14"/>
  <c r="C38" i="8"/>
  <c r="C39" i="8" s="1"/>
  <c r="B14" i="19" l="1"/>
  <c r="B13" i="19"/>
  <c r="B6" i="19" s="1"/>
  <c r="B12" i="19"/>
  <c r="B6" i="16"/>
  <c r="B5" i="16"/>
  <c r="B7" i="16" s="1"/>
  <c r="B6" i="15"/>
  <c r="B5" i="15"/>
  <c r="B7" i="15" s="1"/>
  <c r="B6" i="17"/>
  <c r="B5" i="17"/>
  <c r="B7" i="17" s="1"/>
  <c r="B14" i="14"/>
  <c r="B6" i="14" s="1"/>
  <c r="B12" i="14"/>
  <c r="B12" i="13"/>
  <c r="B14" i="13"/>
  <c r="B13" i="13"/>
  <c r="B5" i="14" l="1"/>
  <c r="B7" i="14" s="1"/>
  <c r="B8" i="14" s="1"/>
  <c r="C14" i="14" s="1"/>
  <c r="E13" i="7" s="1"/>
  <c r="B6" i="13"/>
  <c r="E24" i="7"/>
  <c r="E23" i="7"/>
  <c r="B5" i="19"/>
  <c r="B7" i="19" s="1"/>
  <c r="B8" i="19" s="1"/>
  <c r="C12" i="19" s="1"/>
  <c r="C22" i="7" s="1"/>
  <c r="E20" i="7"/>
  <c r="B8" i="16"/>
  <c r="C14" i="16" s="1"/>
  <c r="E19" i="7" s="1"/>
  <c r="B8" i="15"/>
  <c r="C14" i="15" s="1"/>
  <c r="E17" i="7" s="1"/>
  <c r="B8" i="17"/>
  <c r="C12" i="17" s="1"/>
  <c r="C16" i="7" s="1"/>
  <c r="B5" i="13"/>
  <c r="B7" i="13" l="1"/>
  <c r="B8" i="13" s="1"/>
  <c r="C11" i="13" s="1"/>
  <c r="B11" i="7" s="1"/>
  <c r="C14" i="17"/>
  <c r="E16" i="7" s="1"/>
  <c r="C13" i="17"/>
  <c r="D16" i="7" s="1"/>
  <c r="B24" i="7"/>
  <c r="D24" i="7"/>
  <c r="C24" i="7"/>
  <c r="C23" i="7"/>
  <c r="B23" i="7"/>
  <c r="D23" i="7"/>
  <c r="C13" i="19"/>
  <c r="D22" i="7" s="1"/>
  <c r="C14" i="19"/>
  <c r="E22" i="7" s="1"/>
  <c r="C11" i="19"/>
  <c r="B22" i="7" s="1"/>
  <c r="B20" i="7"/>
  <c r="C20" i="7"/>
  <c r="D20" i="7"/>
  <c r="C13" i="16"/>
  <c r="D19" i="7" s="1"/>
  <c r="C11" i="16"/>
  <c r="B19" i="7" s="1"/>
  <c r="C12" i="16"/>
  <c r="C19" i="7" s="1"/>
  <c r="C13" i="15"/>
  <c r="D17" i="7" s="1"/>
  <c r="C11" i="15"/>
  <c r="B17" i="7" s="1"/>
  <c r="C12" i="15"/>
  <c r="C17" i="7" s="1"/>
  <c r="C11" i="17"/>
  <c r="B16" i="7" s="1"/>
  <c r="C12" i="14"/>
  <c r="C13" i="7" s="1"/>
  <c r="C11" i="14"/>
  <c r="B13" i="7" s="1"/>
  <c r="C13" i="14"/>
  <c r="D13" i="7" s="1"/>
  <c r="C12" i="13" l="1"/>
  <c r="C11" i="7" s="1"/>
  <c r="C14" i="13"/>
  <c r="E11" i="7" s="1"/>
  <c r="C13" i="13"/>
  <c r="D11" i="7" s="1"/>
  <c r="B23" i="12" l="1"/>
  <c r="C20" i="12"/>
  <c r="B19" i="12"/>
  <c r="B16" i="12"/>
  <c r="D13" i="12"/>
  <c r="E15" i="12" s="1"/>
  <c r="C11" i="12"/>
  <c r="E12" i="12" s="1"/>
  <c r="E10" i="12"/>
  <c r="C6" i="12"/>
  <c r="E7" i="12" s="1"/>
  <c r="B5" i="12"/>
  <c r="E5" i="12" s="1"/>
  <c r="E4" i="12"/>
  <c r="B23" i="11"/>
  <c r="C20" i="11"/>
  <c r="B19" i="11"/>
  <c r="B16" i="11"/>
  <c r="D13" i="11"/>
  <c r="E15" i="11" s="1"/>
  <c r="C11" i="11"/>
  <c r="E12" i="11" s="1"/>
  <c r="E10" i="11"/>
  <c r="C6" i="11"/>
  <c r="E7" i="11" s="1"/>
  <c r="B5" i="11"/>
  <c r="E5" i="11" s="1"/>
  <c r="E4" i="11"/>
  <c r="B23" i="10"/>
  <c r="C20" i="10"/>
  <c r="E22" i="10" s="1"/>
  <c r="B19" i="10"/>
  <c r="B16" i="10"/>
  <c r="D13" i="10"/>
  <c r="E15" i="10" s="1"/>
  <c r="C11" i="10"/>
  <c r="E12" i="10" s="1"/>
  <c r="E10" i="10"/>
  <c r="C6" i="10"/>
  <c r="E7" i="10" s="1"/>
  <c r="B5" i="10"/>
  <c r="E5" i="10" s="1"/>
  <c r="E4" i="10"/>
  <c r="E36" i="10" l="1"/>
  <c r="B36" i="10"/>
  <c r="D36" i="10"/>
  <c r="C36" i="10"/>
  <c r="E46" i="10"/>
  <c r="C46" i="10"/>
  <c r="B46" i="10"/>
  <c r="D46" i="10"/>
  <c r="E23" i="10"/>
  <c r="C39" i="11"/>
  <c r="D39" i="11"/>
  <c r="B39" i="11"/>
  <c r="E39" i="11"/>
  <c r="B34" i="10"/>
  <c r="E34" i="10"/>
  <c r="D34" i="10"/>
  <c r="C34" i="10"/>
  <c r="C39" i="10"/>
  <c r="E39" i="10"/>
  <c r="D39" i="10"/>
  <c r="B39" i="10"/>
  <c r="B34" i="11"/>
  <c r="D34" i="11"/>
  <c r="C34" i="11"/>
  <c r="E34" i="11"/>
  <c r="B29" i="11"/>
  <c r="E36" i="11"/>
  <c r="B36" i="11"/>
  <c r="D36" i="11"/>
  <c r="C36" i="11"/>
  <c r="E39" i="12"/>
  <c r="C39" i="12"/>
  <c r="B39" i="12"/>
  <c r="D39" i="12"/>
  <c r="E34" i="12"/>
  <c r="C34" i="12"/>
  <c r="B34" i="12"/>
  <c r="D34" i="12"/>
  <c r="E36" i="12"/>
  <c r="C36" i="12"/>
  <c r="D36" i="12"/>
  <c r="B36" i="12"/>
  <c r="E16" i="12"/>
  <c r="E19" i="12"/>
  <c r="E22" i="12"/>
  <c r="E23" i="12"/>
  <c r="E18" i="12"/>
  <c r="E21" i="12"/>
  <c r="E19" i="11"/>
  <c r="E16" i="11"/>
  <c r="E22" i="11"/>
  <c r="E18" i="11"/>
  <c r="E23" i="11"/>
  <c r="E21" i="11"/>
  <c r="E16" i="10"/>
  <c r="E19" i="10"/>
  <c r="E18" i="10"/>
  <c r="E21" i="10"/>
  <c r="C34" i="8"/>
  <c r="C36" i="8"/>
  <c r="C32" i="8"/>
  <c r="C23" i="8"/>
  <c r="C24" i="8" s="1"/>
  <c r="C21" i="8"/>
  <c r="C22" i="8" s="1"/>
  <c r="C18" i="8"/>
  <c r="C19" i="8" s="1"/>
  <c r="C20" i="8" s="1"/>
  <c r="E27" i="8"/>
  <c r="E28" i="8" s="1"/>
  <c r="D27" i="8"/>
  <c r="D28" i="8" s="1"/>
  <c r="D31" i="8"/>
  <c r="E23" i="8"/>
  <c r="E24" i="8" s="1"/>
  <c r="D23" i="8"/>
  <c r="D24" i="8" s="1"/>
  <c r="E21" i="8"/>
  <c r="E22" i="8" s="1"/>
  <c r="D21" i="8"/>
  <c r="D22" i="8" s="1"/>
  <c r="B11" i="8"/>
  <c r="C8" i="6"/>
  <c r="E6" i="7" s="1"/>
  <c r="E29" i="10" s="1"/>
  <c r="C7" i="6"/>
  <c r="D6" i="7" s="1"/>
  <c r="D29" i="12" s="1"/>
  <c r="C6" i="6"/>
  <c r="C6" i="7" s="1"/>
  <c r="C29" i="11" s="1"/>
  <c r="C5" i="6"/>
  <c r="B6" i="7" s="1"/>
  <c r="B29" i="10" s="1"/>
  <c r="B23" i="1"/>
  <c r="C20" i="1"/>
  <c r="B19" i="1"/>
  <c r="B16" i="1"/>
  <c r="D13" i="1"/>
  <c r="C11" i="1"/>
  <c r="E12" i="1" s="1"/>
  <c r="E10" i="1"/>
  <c r="C6" i="1"/>
  <c r="E7" i="1" s="1"/>
  <c r="B5" i="1"/>
  <c r="E5" i="1" s="1"/>
  <c r="E4" i="1"/>
  <c r="B20" i="3"/>
  <c r="C52" i="11" l="1"/>
  <c r="D52" i="10"/>
  <c r="E52" i="10"/>
  <c r="B52" i="10"/>
  <c r="D52" i="11"/>
  <c r="B52" i="11"/>
  <c r="B29" i="1"/>
  <c r="E29" i="1"/>
  <c r="C29" i="1"/>
  <c r="D29" i="1"/>
  <c r="E42" i="11"/>
  <c r="B42" i="11"/>
  <c r="C42" i="11"/>
  <c r="D42" i="11"/>
  <c r="D29" i="11"/>
  <c r="B34" i="1"/>
  <c r="D34" i="1"/>
  <c r="C34" i="1"/>
  <c r="E34" i="1"/>
  <c r="E46" i="11"/>
  <c r="B46" i="11"/>
  <c r="D46" i="11"/>
  <c r="C46" i="11"/>
  <c r="E29" i="11"/>
  <c r="C45" i="10"/>
  <c r="D45" i="10"/>
  <c r="B45" i="10"/>
  <c r="E45" i="10"/>
  <c r="E40" i="11"/>
  <c r="B40" i="11"/>
  <c r="D40" i="11"/>
  <c r="C40" i="11"/>
  <c r="E29" i="12"/>
  <c r="C29" i="10"/>
  <c r="E47" i="11"/>
  <c r="D47" i="11"/>
  <c r="C47" i="11"/>
  <c r="B47" i="11"/>
  <c r="E42" i="10"/>
  <c r="D42" i="10"/>
  <c r="C42" i="10"/>
  <c r="B42" i="10"/>
  <c r="E43" i="11"/>
  <c r="C43" i="11"/>
  <c r="D43" i="11"/>
  <c r="B43" i="11"/>
  <c r="E43" i="10"/>
  <c r="D43" i="10"/>
  <c r="B43" i="10"/>
  <c r="C43" i="10"/>
  <c r="C29" i="12"/>
  <c r="E40" i="10"/>
  <c r="D40" i="10"/>
  <c r="C40" i="10"/>
  <c r="B40" i="10"/>
  <c r="B29" i="12"/>
  <c r="D29" i="10"/>
  <c r="E36" i="1"/>
  <c r="B36" i="1"/>
  <c r="D36" i="1"/>
  <c r="C36" i="1"/>
  <c r="C45" i="11"/>
  <c r="E45" i="11"/>
  <c r="B45" i="11"/>
  <c r="D45" i="11"/>
  <c r="E52" i="11"/>
  <c r="C52" i="10"/>
  <c r="E47" i="10"/>
  <c r="D47" i="10"/>
  <c r="B47" i="10"/>
  <c r="C47" i="10"/>
  <c r="E25" i="8"/>
  <c r="E26" i="8" s="1"/>
  <c r="C25" i="8"/>
  <c r="E52" i="12"/>
  <c r="C47" i="12"/>
  <c r="B47" i="12"/>
  <c r="D47" i="12"/>
  <c r="E47" i="12"/>
  <c r="D52" i="12"/>
  <c r="B46" i="12"/>
  <c r="C46" i="12"/>
  <c r="E46" i="12"/>
  <c r="D46" i="12"/>
  <c r="B43" i="12"/>
  <c r="E43" i="12"/>
  <c r="C43" i="12"/>
  <c r="D43" i="12"/>
  <c r="B52" i="12"/>
  <c r="E45" i="12"/>
  <c r="B45" i="12"/>
  <c r="C45" i="12"/>
  <c r="D45" i="12"/>
  <c r="C52" i="12"/>
  <c r="D40" i="12"/>
  <c r="C40" i="12"/>
  <c r="E40" i="12"/>
  <c r="B40" i="12"/>
  <c r="D42" i="12"/>
  <c r="E42" i="12"/>
  <c r="B42" i="12"/>
  <c r="C42" i="12"/>
  <c r="E23" i="1"/>
  <c r="E15" i="1"/>
  <c r="D25" i="8"/>
  <c r="D26" i="8" s="1"/>
  <c r="B19" i="8"/>
  <c r="B20" i="8" s="1"/>
  <c r="E18" i="1"/>
  <c r="E19" i="1"/>
  <c r="E16" i="1"/>
  <c r="E22" i="1"/>
  <c r="E21" i="1"/>
  <c r="B13" i="3"/>
  <c r="C53" i="10" l="1"/>
  <c r="D53" i="11"/>
  <c r="D53" i="10"/>
  <c r="B53" i="11"/>
  <c r="E53" i="11"/>
  <c r="C53" i="11"/>
  <c r="B53" i="10"/>
  <c r="C42" i="8"/>
  <c r="C43" i="8" s="1"/>
  <c r="B12" i="8" s="1"/>
  <c r="C26" i="8"/>
  <c r="E53" i="10"/>
  <c r="E47" i="1"/>
  <c r="C47" i="1"/>
  <c r="B47" i="1"/>
  <c r="D47" i="1"/>
  <c r="E40" i="1"/>
  <c r="B40" i="1"/>
  <c r="D40" i="1"/>
  <c r="C40" i="1"/>
  <c r="E52" i="1"/>
  <c r="E46" i="1"/>
  <c r="C46" i="1"/>
  <c r="D46" i="1"/>
  <c r="B46" i="1"/>
  <c r="C39" i="1"/>
  <c r="D39" i="1"/>
  <c r="E39" i="1"/>
  <c r="B39" i="1"/>
  <c r="E43" i="1"/>
  <c r="C43" i="1"/>
  <c r="B43" i="1"/>
  <c r="D43" i="1"/>
  <c r="D52" i="1"/>
  <c r="B52" i="1"/>
  <c r="C45" i="1"/>
  <c r="E45" i="1"/>
  <c r="D45" i="1"/>
  <c r="B45" i="1"/>
  <c r="C52" i="1"/>
  <c r="E42" i="1"/>
  <c r="B42" i="1"/>
  <c r="D42" i="1"/>
  <c r="C42" i="1"/>
  <c r="B53" i="12"/>
  <c r="C40" i="8"/>
  <c r="C41" i="8" s="1"/>
  <c r="E53" i="12"/>
  <c r="D53" i="12"/>
  <c r="C53" i="12"/>
  <c r="B40" i="8"/>
  <c r="B41" i="8" s="1"/>
  <c r="E40" i="8"/>
  <c r="E41" i="8" s="1"/>
  <c r="C53" i="1" l="1"/>
  <c r="D53" i="1"/>
  <c r="B53" i="1"/>
  <c r="E53" i="1"/>
  <c r="D18" i="8"/>
  <c r="D19" i="8" s="1"/>
  <c r="B23" i="3"/>
  <c r="B24" i="3" s="1"/>
  <c r="B14" i="3" s="1"/>
  <c r="B6" i="3" s="1"/>
  <c r="D40" i="8" l="1"/>
  <c r="D41" i="8" s="1"/>
  <c r="D20" i="8"/>
  <c r="B5" i="3"/>
  <c r="B8" i="3" l="1"/>
  <c r="B9" i="3" l="1"/>
  <c r="C12" i="3" s="1"/>
  <c r="B5" i="7" s="1"/>
  <c r="B28" i="1" l="1"/>
  <c r="B28" i="11"/>
  <c r="B28" i="10"/>
  <c r="C14" i="3"/>
  <c r="D5" i="7" s="1"/>
  <c r="B28" i="12"/>
  <c r="C15" i="3"/>
  <c r="E5" i="7" s="1"/>
  <c r="C13" i="3"/>
  <c r="C5" i="7" s="1"/>
  <c r="E28" i="1" l="1"/>
  <c r="E28" i="10"/>
  <c r="E28" i="11"/>
  <c r="E28" i="12"/>
  <c r="D28" i="10"/>
  <c r="D28" i="1"/>
  <c r="D28" i="12"/>
  <c r="D28" i="11"/>
  <c r="C28" i="10"/>
  <c r="C28" i="1"/>
  <c r="C28" i="11"/>
  <c r="C28" i="12"/>
  <c r="B26" i="2" l="1"/>
  <c r="E36" i="8"/>
  <c r="E38" i="8" s="1"/>
  <c r="D37" i="8"/>
  <c r="E37" i="8" l="1"/>
  <c r="D38" i="8"/>
  <c r="D42" i="8" s="1"/>
  <c r="D43" i="8" s="1"/>
  <c r="E39" i="8"/>
  <c r="E42" i="8"/>
  <c r="E43" i="8" s="1"/>
  <c r="B14" i="8" s="1"/>
  <c r="D46" i="8" l="1"/>
  <c r="D39" i="8"/>
  <c r="B13" i="8"/>
  <c r="B5" i="8" l="1"/>
  <c r="B6" i="8"/>
  <c r="B7" i="8" l="1"/>
  <c r="B8" i="8" s="1"/>
  <c r="C11" i="8" s="1"/>
  <c r="B8" i="7" s="1"/>
  <c r="C12" i="8" l="1"/>
  <c r="C8" i="7" s="1"/>
  <c r="C31" i="12" s="1"/>
  <c r="B31" i="1"/>
  <c r="B48" i="1" s="1"/>
  <c r="B31" i="12"/>
  <c r="B51" i="12" s="1"/>
  <c r="B31" i="11"/>
  <c r="B51" i="11" s="1"/>
  <c r="B31" i="10"/>
  <c r="B48" i="10" s="1"/>
  <c r="C14" i="8"/>
  <c r="E8" i="7" s="1"/>
  <c r="C13" i="8"/>
  <c r="D8" i="7" s="1"/>
  <c r="B51" i="1" l="1"/>
  <c r="C31" i="11"/>
  <c r="C51" i="11" s="1"/>
  <c r="C31" i="10"/>
  <c r="C48" i="10" s="1"/>
  <c r="C31" i="1"/>
  <c r="C51" i="1" s="1"/>
  <c r="B48" i="12"/>
  <c r="B48" i="11"/>
  <c r="B51" i="10"/>
  <c r="D31" i="10"/>
  <c r="D31" i="1"/>
  <c r="D31" i="12"/>
  <c r="D31" i="11"/>
  <c r="E31" i="12"/>
  <c r="E31" i="11"/>
  <c r="E31" i="10"/>
  <c r="E31" i="1"/>
  <c r="C48" i="12"/>
  <c r="C51" i="12"/>
  <c r="C48" i="11" l="1"/>
  <c r="C51" i="10"/>
  <c r="C48" i="1"/>
  <c r="E48" i="10"/>
  <c r="E51" i="10"/>
  <c r="D48" i="11"/>
  <c r="D51" i="11"/>
  <c r="E51" i="1"/>
  <c r="E48" i="1"/>
  <c r="E51" i="12"/>
  <c r="E48" i="12"/>
  <c r="D51" i="12"/>
  <c r="D48" i="12"/>
  <c r="D51" i="1"/>
  <c r="D48" i="1"/>
  <c r="E51" i="11"/>
  <c r="E48" i="11"/>
  <c r="D48" i="10"/>
  <c r="D5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0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While acknowledging the range of possible outcomes and the lack of PGC-specific water quality data, in this decision, we assume both PGC alternatives lead to a 41% reduction in N losses and the CR-ACC alternative leads to a 31% reduction, in line with the Iowa Nutrient Reduction Strategy.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For this example decision, we will use the average soil erosion reduction per Christianson et al. (2021) of  73% for the cereal rye alternative </t>
        </r>
      </text>
    </comment>
    <comment ref="A13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 study comparing conventional corn grain production to a kura clover PGC system showed a 93% reduction in sediment loss in runoff plots (Baker et al., 2022)</t>
        </r>
      </text>
    </comment>
  </commentList>
</comments>
</file>

<file path=xl/sharedStrings.xml><?xml version="1.0" encoding="utf-8"?>
<sst xmlns="http://schemas.openxmlformats.org/spreadsheetml/2006/main" count="629" uniqueCount="175">
  <si>
    <t>Attribute: Yield</t>
  </si>
  <si>
    <t>Min or Max?</t>
  </si>
  <si>
    <t>Maximize</t>
  </si>
  <si>
    <t>Value</t>
  </si>
  <si>
    <t>Slope</t>
  </si>
  <si>
    <t>Intercept</t>
  </si>
  <si>
    <t>Alternative</t>
  </si>
  <si>
    <r>
      <t>Yield Change (Mg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</si>
  <si>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Conventional Corn</t>
  </si>
  <si>
    <t>CR-ACC</t>
  </si>
  <si>
    <t>KBG-PGC</t>
  </si>
  <si>
    <t>RHB-PGC</t>
  </si>
  <si>
    <t>Work</t>
  </si>
  <si>
    <t>Max Yield</t>
  </si>
  <si>
    <t>Length of Study</t>
  </si>
  <si>
    <t>years</t>
  </si>
  <si>
    <t>Cereal Rye Loss</t>
  </si>
  <si>
    <t>annually</t>
  </si>
  <si>
    <t>KGB Loss</t>
  </si>
  <si>
    <t>Length of study</t>
  </si>
  <si>
    <t>KGB Yield Loss</t>
  </si>
  <si>
    <t>Baseline Yield</t>
  </si>
  <si>
    <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</si>
  <si>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Addditional Operations</t>
  </si>
  <si>
    <t>KGB Conflicting Operations</t>
  </si>
  <si>
    <t>total</t>
  </si>
  <si>
    <t>RHB Conflicting Operations</t>
  </si>
  <si>
    <r>
      <t>Mg ha</t>
    </r>
    <r>
      <rPr>
        <vertAlign val="superscript"/>
        <sz val="11"/>
        <color theme="1"/>
        <rFont val="Calibri"/>
        <family val="2"/>
        <scheme val="minor"/>
      </rPr>
      <t>-1</t>
    </r>
  </si>
  <si>
    <t>Local Weight</t>
  </si>
  <si>
    <t>Category Weight</t>
  </si>
  <si>
    <t>Objective Weight</t>
  </si>
  <si>
    <t>Global Weight of Attribute (Don’t edit this column)</t>
  </si>
  <si>
    <t>Maximize Profit</t>
  </si>
  <si>
    <t>Maximize Cash Crop Income</t>
  </si>
  <si>
    <t>Maximize Yield</t>
  </si>
  <si>
    <t>Maximize Crop Insurance Coverage</t>
  </si>
  <si>
    <t>Minimzie Additional Costs</t>
  </si>
  <si>
    <t>Maximize Ease of Management</t>
  </si>
  <si>
    <t>Minimize Operator Commitments</t>
  </si>
  <si>
    <t>Minimize Passes through Field</t>
  </si>
  <si>
    <t>Minimize Conflict with Cash Crop Management</t>
  </si>
  <si>
    <t>Minimize conflicting operations</t>
  </si>
  <si>
    <t>Minimize NPS Pollution</t>
  </si>
  <si>
    <t>Minimize Nitrogen Losses</t>
  </si>
  <si>
    <t>Minimize Phosphorus Losses</t>
  </si>
  <si>
    <t>Minimize Soil Degradation</t>
  </si>
  <si>
    <t>Minimize Soil Erosion</t>
  </si>
  <si>
    <t>Maximize Soil Health</t>
  </si>
  <si>
    <t>Minimize GHG Emissions</t>
  </si>
  <si>
    <t>Minimize Field Operations Emissions</t>
  </si>
  <si>
    <t>Minimize Soil Emissions</t>
  </si>
  <si>
    <t>Maximize Soil Carbon Sequestration</t>
  </si>
  <si>
    <t>Maximize Natural Resource Conservation</t>
  </si>
  <si>
    <t>Attribute: Maximize crop insurance coverage</t>
  </si>
  <si>
    <t>Federal Available?</t>
  </si>
  <si>
    <t>Yes</t>
  </si>
  <si>
    <t>No</t>
  </si>
  <si>
    <t>KGB Seeding Rate</t>
  </si>
  <si>
    <t>RHB Seeding Rate</t>
  </si>
  <si>
    <t>KGB Cost</t>
  </si>
  <si>
    <t>RHB Cost</t>
  </si>
  <si>
    <t>KGB Herbicide Cost</t>
  </si>
  <si>
    <t>PFI Incentive</t>
  </si>
  <si>
    <t>Cover Planting Operation</t>
  </si>
  <si>
    <r>
      <t>lb 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</si>
  <si>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lb</t>
    </r>
    <r>
      <rPr>
        <vertAlign val="superscript"/>
        <sz val="11"/>
        <color theme="1"/>
        <rFont val="Calibri"/>
        <family val="2"/>
        <scheme val="minor"/>
      </rPr>
      <t>-1</t>
    </r>
  </si>
  <si>
    <t>Assumption</t>
  </si>
  <si>
    <t>Unit</t>
  </si>
  <si>
    <t>Note</t>
  </si>
  <si>
    <t>Planting</t>
  </si>
  <si>
    <t>Total</t>
  </si>
  <si>
    <t>Planting + suppression</t>
  </si>
  <si>
    <t>Attribute: Additional Cost</t>
  </si>
  <si>
    <t>Minimize</t>
  </si>
  <si>
    <t>Max Value</t>
  </si>
  <si>
    <t>Cereal Rye-Annual Cover Crop</t>
  </si>
  <si>
    <t>KBG PGC</t>
  </si>
  <si>
    <t>RHB PGC</t>
  </si>
  <si>
    <t>Yield Penalty (Annual %)</t>
  </si>
  <si>
    <t>Baseline Corn Value</t>
  </si>
  <si>
    <t>EQIP Incentive ($ ac-1)</t>
  </si>
  <si>
    <t>CSP Incentive ($ ac-1)</t>
  </si>
  <si>
    <t>PFI Incentive ($ ac-1)</t>
  </si>
  <si>
    <t>Cover Suppression Herbicide</t>
  </si>
  <si>
    <r>
      <t>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</si>
  <si>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Additional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</si>
  <si>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 Year Yield Penalty Value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</si>
  <si>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Cover Seeding Rate (lb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</si>
  <si>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Cover Seed Cost ($ lb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</si>
  <si>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Five-Year Cover Crop Seed Cost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</si>
  <si>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CC Planting Operation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</si>
  <si>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Incentive Cost 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</si>
  <si>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ac/ha</t>
  </si>
  <si>
    <t>Acre to ha</t>
  </si>
  <si>
    <t>Corn bushel</t>
  </si>
  <si>
    <t>lbs/bushel</t>
  </si>
  <si>
    <t>lb to kg</t>
  </si>
  <si>
    <t>kg/lb</t>
  </si>
  <si>
    <t>kg to Mg</t>
  </si>
  <si>
    <t>kg/Mg</t>
  </si>
  <si>
    <t>Cereal Rye Seeding Rate</t>
  </si>
  <si>
    <t>Cereal Rye Cost</t>
  </si>
  <si>
    <t>Cereal Rye Yield Loss</t>
  </si>
  <si>
    <r>
      <t>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</si>
  <si>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lbs 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</si>
  <si>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Five-Year Cover Suppression Cost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</si>
  <si>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EQIP Incentive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</si>
  <si>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CSP Incentive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</si>
  <si>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PFI Incentive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</si>
  <si>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Net 5-Year Additional Cost ($ ac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</si>
  <si>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Net 5-Year Additional Cost ($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</si>
  <si>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Attribute: Additional Field Passes</t>
  </si>
  <si>
    <t>Field Passes</t>
  </si>
  <si>
    <t>Number of Additional Passes</t>
  </si>
  <si>
    <t>Additional Passes</t>
  </si>
  <si>
    <t>Attribute: Conflicting cover crop and cash crop management operations</t>
  </si>
  <si>
    <t>Number of Conflicting Ops</t>
  </si>
  <si>
    <t>Number of conflicting operations</t>
  </si>
  <si>
    <t>Alternative Values</t>
  </si>
  <si>
    <t>Minimize Environmental Harm</t>
  </si>
  <si>
    <t>Yield Change</t>
  </si>
  <si>
    <t xml:space="preserve">Total Effectiveness </t>
  </si>
  <si>
    <t>Conflicting Operations</t>
  </si>
  <si>
    <t>Attribute: N Loss</t>
  </si>
  <si>
    <t>N Loss</t>
  </si>
  <si>
    <r>
      <t>N Loss  (Mg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</si>
  <si>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Attribute: P Loss</t>
  </si>
  <si>
    <t>P Loss</t>
  </si>
  <si>
    <t xml:space="preserve">P Loss </t>
  </si>
  <si>
    <t>Attribute: Soil Erosion</t>
  </si>
  <si>
    <t>Soil Erosion</t>
  </si>
  <si>
    <t xml:space="preserve">Soil Loss  </t>
  </si>
  <si>
    <t>Soil Health Rating</t>
  </si>
  <si>
    <t>Attribute: Soil Quality</t>
  </si>
  <si>
    <t>Attribute: Field Operations Emissions</t>
  </si>
  <si>
    <t>Emissions</t>
  </si>
  <si>
    <t>Extra Field Operations Emissions</t>
  </si>
  <si>
    <t>Attribute: Soil Emissions</t>
  </si>
  <si>
    <t>Attribute: Soil Carbon Sequestration</t>
  </si>
  <si>
    <t>Soil Carbon Sequestration Ranking</t>
  </si>
  <si>
    <t>Total Incentive value</t>
  </si>
  <si>
    <t>Low</t>
  </si>
  <si>
    <t>High</t>
  </si>
  <si>
    <t>Medium</t>
  </si>
  <si>
    <t>High-Medium-Low (Low is better)</t>
  </si>
  <si>
    <t>Ranking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</si>
  <si>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 Emissions</t>
    </r>
  </si>
  <si>
    <t>Name</t>
  </si>
  <si>
    <r>
      <t>bu ac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</si>
  <si>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bu</t>
    </r>
    <r>
      <rPr>
        <vertAlign val="superscript"/>
        <sz val="11"/>
        <color theme="1"/>
        <rFont val="Calibri"/>
        <family val="2"/>
        <scheme val="minor"/>
      </rPr>
      <t>-1</t>
    </r>
  </si>
  <si>
    <t>Customary Units</t>
  </si>
  <si>
    <t>SI Units</t>
  </si>
  <si>
    <r>
      <rPr>
        <sz val="11"/>
        <color theme="1"/>
        <rFont val="Calibri"/>
        <family val="2"/>
        <scheme val="minor"/>
      </rPr>
      <t>Mg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</si>
  <si>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</si>
  <si>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rPr>
        <sz val="11"/>
        <color theme="1"/>
        <rFont val="Calibri"/>
        <family val="2"/>
        <scheme val="minor"/>
      </rPr>
      <t>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</si>
  <si>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</si>
  <si>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kg</t>
    </r>
    <r>
      <rPr>
        <vertAlign val="superscript"/>
        <sz val="11"/>
        <color theme="1"/>
        <rFont val="Calibri"/>
        <family val="2"/>
        <scheme val="minor"/>
      </rPr>
      <t>-1</t>
    </r>
  </si>
  <si>
    <t>Conversion</t>
  </si>
  <si>
    <t>Units</t>
  </si>
  <si>
    <t>High-Medium-Low (High is better)</t>
  </si>
  <si>
    <r>
      <t>Five Year Yield Penalty Value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</si>
  <si>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Cover Seeding Rate (kg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</si>
  <si>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Cover Seed Cost ($ kg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</si>
  <si>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Five-Year Cover Crop Seed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</si>
  <si>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CC Planting Operation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</si>
  <si>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Five-Year Cover Suppression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</si>
  <si>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EQIP Incentive ($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</si>
  <si>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CSP Incentive ($ ha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</si>
  <si>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PFI Incentive ($ ha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)</t>
    </r>
  </si>
  <si>
    <r>
      <t>Five-Year Incentive Cost  ($ha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</si>
  <si>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5-yr cost ($ ac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), pre-incentive</t>
    </r>
  </si>
  <si>
    <r>
      <t>5-yr cost ($ ha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), pre-incentive</t>
    </r>
  </si>
  <si>
    <r>
      <rPr>
        <sz val="11"/>
        <color theme="1"/>
        <rFont val="Calibri"/>
        <family val="2"/>
        <scheme val="minor"/>
      </rPr>
      <t>ha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</si>
  <si>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Calibri"/>
        <family val="2"/>
        <scheme val="minor"/>
      </rPr>
      <t>ha</t>
    </r>
    <r>
      <rPr>
        <vertAlign val="superscript"/>
        <sz val="11"/>
        <color theme="1"/>
        <rFont val="Calibri"/>
        <family val="2"/>
        <scheme val="minor"/>
      </rPr>
      <t>-1</t>
    </r>
  </si>
  <si>
    <t>divided the 10 per acre across 5 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</si>
</sst>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%"/>
    <numFmt numFmtId="166" formatCode="&quot;$&quot;#,##0.00"/>
    <numFmt numFmtId="167" formatCode="&quot;$&quot;#,##0"/>
    <numFmt numFmtId="168" formatCode="0.000"/>
    <numFmt numFmtId="169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8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2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left" indent="2"/>
    </xf>
    <xf numFmtId="10" fontId="0" fillId="5" borderId="0" xfId="2" applyNumberFormat="1" applyFont="1" applyFill="1" applyBorder="1" applyAlignment="1">
      <alignment horizontal="center"/>
    </xf>
    <xf numFmtId="10" fontId="0" fillId="4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left" indent="1"/>
    </xf>
    <xf numFmtId="10" fontId="0" fillId="6" borderId="0" xfId="2" applyNumberFormat="1" applyFont="1" applyFill="1" applyAlignment="1">
      <alignment horizontal="center"/>
    </xf>
    <xf numFmtId="0" fontId="0" fillId="7" borderId="0" xfId="0" applyFill="1" applyAlignment="1">
      <alignment horizontal="left" indent="1"/>
    </xf>
    <xf numFmtId="10" fontId="0" fillId="7" borderId="0" xfId="2" applyNumberFormat="1" applyFont="1" applyFill="1" applyAlignment="1">
      <alignment horizontal="center"/>
    </xf>
    <xf numFmtId="0" fontId="4" fillId="8" borderId="0" xfId="0" applyFont="1" applyFill="1" applyAlignment="1">
      <alignment horizontal="left" indent="2"/>
    </xf>
    <xf numFmtId="10" fontId="0" fillId="8" borderId="0" xfId="2" applyNumberFormat="1" applyFont="1" applyFill="1" applyAlignment="1">
      <alignment horizontal="center"/>
    </xf>
    <xf numFmtId="0" fontId="2" fillId="9" borderId="0" xfId="0" applyFont="1" applyFill="1"/>
    <xf numFmtId="10" fontId="0" fillId="9" borderId="0" xfId="2" applyNumberFormat="1" applyFont="1" applyFill="1" applyAlignment="1">
      <alignment horizontal="center"/>
    </xf>
    <xf numFmtId="0" fontId="0" fillId="10" borderId="0" xfId="0" applyFill="1" applyAlignment="1">
      <alignment horizontal="left" indent="1"/>
    </xf>
    <xf numFmtId="10" fontId="2" fillId="10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left" indent="2"/>
    </xf>
    <xf numFmtId="10" fontId="0" fillId="2" borderId="0" xfId="2" applyNumberFormat="1" applyFont="1" applyFill="1" applyAlignment="1">
      <alignment horizontal="center"/>
    </xf>
    <xf numFmtId="9" fontId="0" fillId="3" borderId="0" xfId="2" applyFont="1" applyFill="1" applyBorder="1" applyAlignment="1">
      <alignment horizontal="center"/>
    </xf>
    <xf numFmtId="9" fontId="0" fillId="4" borderId="0" xfId="2" applyFont="1" applyFill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9" fontId="0" fillId="4" borderId="0" xfId="2" applyFont="1" applyFill="1" applyAlignment="1">
      <alignment horizontal="center"/>
    </xf>
    <xf numFmtId="9" fontId="0" fillId="5" borderId="0" xfId="2" applyFont="1" applyFill="1" applyAlignment="1">
      <alignment horizontal="center"/>
    </xf>
    <xf numFmtId="9" fontId="0" fillId="6" borderId="0" xfId="2" applyFont="1" applyFill="1" applyAlignment="1">
      <alignment horizontal="center"/>
    </xf>
    <xf numFmtId="9" fontId="0" fillId="7" borderId="0" xfId="2" applyFont="1" applyFill="1" applyAlignment="1">
      <alignment horizontal="center"/>
    </xf>
    <xf numFmtId="9" fontId="0" fillId="8" borderId="0" xfId="2" applyFont="1" applyFill="1" applyAlignment="1">
      <alignment horizontal="center"/>
    </xf>
    <xf numFmtId="9" fontId="0" fillId="9" borderId="0" xfId="2" applyFont="1" applyFill="1" applyAlignment="1">
      <alignment horizontal="center"/>
    </xf>
    <xf numFmtId="9" fontId="0" fillId="3" borderId="0" xfId="2" applyFont="1" applyFill="1" applyAlignment="1">
      <alignment horizontal="center"/>
    </xf>
    <xf numFmtId="9" fontId="2" fillId="10" borderId="0" xfId="2" applyFont="1" applyFill="1" applyAlignment="1">
      <alignment horizontal="center"/>
    </xf>
    <xf numFmtId="9" fontId="0" fillId="10" borderId="0" xfId="2" applyFont="1" applyFill="1" applyAlignment="1">
      <alignment horizontal="center"/>
    </xf>
    <xf numFmtId="9" fontId="0" fillId="2" borderId="0" xfId="2" applyFont="1" applyFill="1" applyAlignment="1">
      <alignment horizontal="center"/>
    </xf>
    <xf numFmtId="166" fontId="0" fillId="0" borderId="0" xfId="0" applyNumberForma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7" fontId="8" fillId="0" borderId="0" xfId="0" applyNumberFormat="1" applyFont="1" applyAlignment="1">
      <alignment horizontal="center"/>
    </xf>
    <xf numFmtId="0" fontId="10" fillId="11" borderId="0" xfId="0" applyFont="1" applyFill="1" applyAlignment="1">
      <alignment horizontal="left"/>
    </xf>
    <xf numFmtId="0" fontId="10" fillId="11" borderId="0" xfId="0" applyFont="1" applyFill="1"/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3" borderId="0" xfId="0" applyFont="1" applyFill="1"/>
    <xf numFmtId="0" fontId="8" fillId="3" borderId="0" xfId="0" applyFont="1" applyFill="1" applyAlignment="1">
      <alignment horizontal="center" vertical="center" wrapText="1"/>
    </xf>
    <xf numFmtId="166" fontId="8" fillId="3" borderId="0" xfId="0" applyNumberFormat="1" applyFont="1" applyFill="1" applyAlignment="1">
      <alignment horizontal="center" vertical="center" wrapText="1"/>
    </xf>
    <xf numFmtId="166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left"/>
    </xf>
    <xf numFmtId="168" fontId="2" fillId="1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2" fontId="0" fillId="9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2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13" borderId="1" xfId="0" applyFont="1" applyFill="1" applyBorder="1"/>
    <xf numFmtId="0" fontId="4" fillId="13" borderId="2" xfId="0" applyFont="1" applyFill="1" applyBorder="1"/>
    <xf numFmtId="0" fontId="4" fillId="13" borderId="3" xfId="0" applyFont="1" applyFill="1" applyBorder="1"/>
    <xf numFmtId="0" fontId="2" fillId="0" borderId="4" xfId="0" applyFont="1" applyBorder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/>
    <xf numFmtId="0" fontId="4" fillId="13" borderId="0" xfId="0" applyFont="1" applyFill="1" applyAlignment="1">
      <alignment horizontal="center"/>
    </xf>
    <xf numFmtId="169" fontId="0" fillId="0" borderId="0" xfId="0" applyNumberFormat="1"/>
    <xf numFmtId="0" fontId="5" fillId="0" borderId="0" xfId="0" applyFont="1"/>
    <xf numFmtId="8" fontId="8" fillId="0" borderId="0" xfId="0" applyNumberFormat="1" applyFont="1" applyAlignment="1">
      <alignment horizontal="center" vertical="center" wrapText="1"/>
    </xf>
    <xf numFmtId="9" fontId="8" fillId="0" borderId="0" xfId="2" applyFont="1" applyFill="1" applyAlignment="1">
      <alignment horizontal="center" vertical="center" wrapText="1"/>
    </xf>
    <xf numFmtId="165" fontId="8" fillId="0" borderId="0" xfId="2" applyNumberFormat="1" applyFont="1" applyFill="1" applyAlignment="1">
      <alignment horizontal="center" vertical="center" wrapText="1"/>
    </xf>
    <xf numFmtId="6" fontId="8" fillId="0" borderId="0" xfId="0" applyNumberFormat="1" applyFont="1" applyAlignment="1">
      <alignment horizontal="center" vertical="center" wrapText="1"/>
    </xf>
    <xf numFmtId="0" fontId="6" fillId="13" borderId="0" xfId="0" applyFont="1" applyFill="1"/>
    <xf numFmtId="166" fontId="6" fillId="13" borderId="0" xfId="1" applyNumberFormat="1" applyFont="1" applyFill="1" applyAlignment="1">
      <alignment horizontal="center" vertical="center" wrapText="1"/>
    </xf>
    <xf numFmtId="166" fontId="6" fillId="13" borderId="0" xfId="0" applyNumberFormat="1" applyFont="1" applyFill="1" applyAlignment="1">
      <alignment horizontal="center" vertical="center" wrapText="1"/>
    </xf>
    <xf numFmtId="166" fontId="6" fillId="13" borderId="0" xfId="0" applyNumberFormat="1" applyFont="1" applyFill="1"/>
    <xf numFmtId="0" fontId="4" fillId="1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0" fontId="6" fillId="13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169" fontId="8" fillId="0" borderId="0" xfId="0" applyNumberFormat="1" applyFont="1" applyAlignment="1">
      <alignment horizontal="center" vertical="center" wrapText="1"/>
    </xf>
    <xf numFmtId="166" fontId="6" fillId="13" borderId="0" xfId="0" applyNumberFormat="1" applyFont="1" applyFill="1" applyAlignment="1">
      <alignment horizontal="left" indent="1"/>
    </xf>
    <xf numFmtId="166" fontId="6" fillId="1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 indent="1"/>
    </xf>
    <xf numFmtId="0" fontId="0" fillId="14" borderId="0" xfId="0" applyFill="1"/>
    <xf numFmtId="168" fontId="0" fillId="0" borderId="0" xfId="0" applyNumberFormat="1"/>
    <xf numFmtId="2" fontId="0" fillId="0" borderId="0" xfId="0" applyNumberFormat="1" applyAlignment="1">
      <alignment horizontal="center" vertical="center" wrapText="1"/>
    </xf>
    <xf numFmtId="166" fontId="0" fillId="0" borderId="0" xfId="2" applyNumberFormat="1" applyFont="1" applyFill="1"/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14" borderId="0" xfId="2" applyNumberFormat="1" applyFont="1" applyFill="1"/>
    <xf numFmtId="168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E53"/>
  <sheetViews>
    <sheetView tabSelected="1" topLeftCell="A33" zoomScale="90" zoomScaleNormal="90" workbookViewId="0">
      <selection activeCell="F56" sqref="F56"/>
    </sheetView>
  </sheetViews>
  <sheetFormatPr defaultRowHeight="14.5" x14ac:dyDescent="0.35"/>
  <cols>
    <col min="1" max="1" width="44.7265625" bestFit="1" customWidth="1"/>
    <col min="2" max="2" width="23" bestFit="1" customWidth="1"/>
    <col min="3" max="3" width="20.6328125" bestFit="1" customWidth="1"/>
    <col min="4" max="4" width="21.08984375" bestFit="1" customWidth="1"/>
    <col min="5" max="5" width="24.26953125" bestFit="1" customWidth="1"/>
    <col min="6" max="6" width="16.08984375" customWidth="1"/>
  </cols>
  <sheetData>
    <row r="1" spans="1:5" ht="29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0.25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6.25E-2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6.25E-2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0.125</v>
      </c>
    </row>
    <row r="8" spans="1:5" x14ac:dyDescent="0.35">
      <c r="A8" s="21" t="s">
        <v>37</v>
      </c>
      <c r="B8" s="38"/>
      <c r="C8" s="38"/>
      <c r="D8" s="38">
        <v>0.25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0.125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0.125</v>
      </c>
    </row>
    <row r="13" spans="1:5" x14ac:dyDescent="0.35">
      <c r="A13" s="27" t="s">
        <v>52</v>
      </c>
      <c r="B13" s="41"/>
      <c r="C13" s="41"/>
      <c r="D13" s="41">
        <f>1-D2-D8</f>
        <v>0.5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8.3333333333333329E-2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8.3333333333333329E-2</v>
      </c>
    </row>
    <row r="17" spans="1:5" x14ac:dyDescent="0.35">
      <c r="A17" s="29" t="s">
        <v>45</v>
      </c>
      <c r="B17" s="43"/>
      <c r="C17" s="44">
        <v>0.33333333333333331</v>
      </c>
      <c r="D17" s="44"/>
      <c r="E17" s="30"/>
    </row>
    <row r="18" spans="1:5" x14ac:dyDescent="0.35">
      <c r="A18" s="31" t="s">
        <v>46</v>
      </c>
      <c r="B18" s="45">
        <v>0.5</v>
      </c>
      <c r="C18" s="45"/>
      <c r="D18" s="45"/>
      <c r="E18" s="32">
        <f>B18*$C$17*$D$13</f>
        <v>8.3333333333333329E-2</v>
      </c>
    </row>
    <row r="19" spans="1:5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8.3333333333333329E-2</v>
      </c>
    </row>
    <row r="20" spans="1:5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5" x14ac:dyDescent="0.35">
      <c r="A21" s="31" t="s">
        <v>49</v>
      </c>
      <c r="B21" s="45">
        <v>0.33333333333333331</v>
      </c>
      <c r="C21" s="45"/>
      <c r="D21" s="45"/>
      <c r="E21" s="32">
        <f>B21*$C$20*$D$13</f>
        <v>5.5555555555555566E-2</v>
      </c>
    </row>
    <row r="22" spans="1:5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5.5555555555555566E-2</v>
      </c>
    </row>
    <row r="23" spans="1:5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5.5555555555555587E-2</v>
      </c>
    </row>
    <row r="25" spans="1:5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5" x14ac:dyDescent="0.35">
      <c r="A26" s="82" t="s">
        <v>32</v>
      </c>
      <c r="B26" s="68"/>
      <c r="C26" s="68"/>
      <c r="D26" s="68"/>
      <c r="E26" s="68"/>
    </row>
    <row r="27" spans="1:5" x14ac:dyDescent="0.35">
      <c r="A27" s="16" t="s">
        <v>33</v>
      </c>
      <c r="B27" s="17"/>
      <c r="C27" s="17"/>
      <c r="D27" s="17"/>
      <c r="E27" s="17"/>
    </row>
    <row r="28" spans="1:5" x14ac:dyDescent="0.35">
      <c r="A28" s="18" t="s">
        <v>34</v>
      </c>
      <c r="B28" s="69">
        <f>$E$4*'Alternative Values'!B5</f>
        <v>6.25E-2</v>
      </c>
      <c r="C28" s="69">
        <f>$E$4*'Alternative Values'!C5</f>
        <v>0</v>
      </c>
      <c r="D28" s="69">
        <f>$E$4*'Alternative Values'!D5</f>
        <v>3.4090909090909088E-2</v>
      </c>
      <c r="E28" s="69">
        <f>$E$4*'Alternative Values'!E5</f>
        <v>6.25E-2</v>
      </c>
    </row>
    <row r="29" spans="1:5" x14ac:dyDescent="0.35">
      <c r="A29" s="18" t="s">
        <v>35</v>
      </c>
      <c r="B29" s="69">
        <f>$E$5*'Alternative Values'!B6</f>
        <v>6.25E-2</v>
      </c>
      <c r="C29" s="69">
        <f>$E$5*'Alternative Values'!C6</f>
        <v>6.25E-2</v>
      </c>
      <c r="D29" s="69">
        <f>$E$5*'Alternative Values'!D6</f>
        <v>0</v>
      </c>
      <c r="E29" s="69">
        <f>$E$5*'Alternative Values'!E6</f>
        <v>0</v>
      </c>
    </row>
    <row r="30" spans="1:5" x14ac:dyDescent="0.35">
      <c r="A30" s="16" t="s">
        <v>36</v>
      </c>
      <c r="B30" s="17"/>
      <c r="C30" s="17"/>
      <c r="D30" s="17"/>
      <c r="E30" s="17"/>
    </row>
    <row r="31" spans="1:5" x14ac:dyDescent="0.35">
      <c r="A31" s="18" t="s">
        <v>36</v>
      </c>
      <c r="B31" s="70">
        <f>$E$7*'Alternative Values'!B8</f>
        <v>0.125</v>
      </c>
      <c r="C31" s="96">
        <f>$E$7*'Alternative Values'!C8</f>
        <v>0</v>
      </c>
      <c r="D31" s="70">
        <f>$E$7*'Alternative Values'!D8</f>
        <v>3.5310734463276955E-2</v>
      </c>
      <c r="E31" s="70">
        <f>$E$7*'Alternative Values'!E8</f>
        <v>7.9533225719666423E-2</v>
      </c>
    </row>
    <row r="32" spans="1:5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0.125</v>
      </c>
      <c r="C34" s="73">
        <f>$E$10*'Alternative Values'!C11</f>
        <v>0</v>
      </c>
      <c r="D34" s="73">
        <f>$E$10*'Alternative Values'!D11</f>
        <v>0.1</v>
      </c>
      <c r="E34" s="73">
        <f>$E$10*'Alternative Values'!E11</f>
        <v>0.1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0.125</v>
      </c>
      <c r="C36" s="73">
        <f>$E$12*'Alternative Values'!C13</f>
        <v>0</v>
      </c>
      <c r="D36" s="73">
        <f>$E$12*'Alternative Values'!D13</f>
        <v>4.9999999999999989E-2</v>
      </c>
      <c r="E36" s="73">
        <f>$E$12*'Alternative Values'!E13</f>
        <v>0.1125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6.3008130081300809E-2</v>
      </c>
      <c r="D39" s="78">
        <f>$E$15*'Alternative Values'!D16</f>
        <v>8.3333333333333315E-2</v>
      </c>
      <c r="E39" s="78">
        <f>$E$15*'Alternative Values'!E16</f>
        <v>8.3333333333333315E-2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8.3333333333333329E-2</v>
      </c>
      <c r="D40" s="78">
        <f>$E$16*'Alternative Values'!D17</f>
        <v>8.3333333333333329E-2</v>
      </c>
      <c r="E40" s="78">
        <f>$E$16*'Alternative Values'!E17</f>
        <v>8.3333333333333329E-2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6.5412186379928308E-2</v>
      </c>
      <c r="D42" s="78">
        <f>$E$18*'Alternative Values'!D19</f>
        <v>8.3333333333333329E-2</v>
      </c>
      <c r="E42" s="78">
        <f>$E$18*'Alternative Values'!E19</f>
        <v>8.3333333333333329E-2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8.3333333333333329E-2</v>
      </c>
      <c r="D43" s="78">
        <f>$E$19*'Alternative Values'!D20</f>
        <v>4.1666666666666664E-2</v>
      </c>
      <c r="E43" s="78">
        <f>$E$19*'Alternative Values'!E20</f>
        <v>4.1666666666666664E-2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5.5555555555555566E-2</v>
      </c>
      <c r="C45" s="78">
        <f>$E$21*'Alternative Values'!C22</f>
        <v>0</v>
      </c>
      <c r="D45" s="78">
        <f>$E$21*'Alternative Values'!D22</f>
        <v>4.4444444444444453E-2</v>
      </c>
      <c r="E45" s="78">
        <f>$E$21*'Alternative Values'!E22</f>
        <v>4.4444444444444453E-2</v>
      </c>
    </row>
    <row r="46" spans="1:5" x14ac:dyDescent="0.35">
      <c r="A46" s="31" t="s">
        <v>50</v>
      </c>
      <c r="B46" s="78">
        <f>$E$22*'Alternative Values'!B23</f>
        <v>2.7777777777777783E-2</v>
      </c>
      <c r="C46" s="78">
        <f>$E$22*'Alternative Values'!C23</f>
        <v>0</v>
      </c>
      <c r="D46" s="78">
        <f>$E$22*'Alternative Values'!D23</f>
        <v>5.5555555555555566E-2</v>
      </c>
      <c r="E46" s="78">
        <f>$E$22*'Alternative Values'!E23</f>
        <v>5.5555555555555566E-2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5.5555555555555587E-2</v>
      </c>
      <c r="D47" s="78">
        <f>$E$23*'Alternative Values'!D24</f>
        <v>2.7777777777777794E-2</v>
      </c>
      <c r="E47" s="78">
        <f>$E$23*'Alternative Values'!E24</f>
        <v>2.7777777777777794E-2</v>
      </c>
    </row>
    <row r="48" spans="1:5" x14ac:dyDescent="0.35">
      <c r="A48" s="80" t="s">
        <v>121</v>
      </c>
      <c r="B48" s="81">
        <f>SUM(B28:B47)</f>
        <v>0.58333333333333337</v>
      </c>
      <c r="C48" s="81">
        <f t="shared" ref="C48:E48" si="1">SUM(C28:C47)</f>
        <v>0.4131425386834513</v>
      </c>
      <c r="D48" s="81">
        <f t="shared" si="1"/>
        <v>0.63884608799863052</v>
      </c>
      <c r="E48" s="81">
        <f t="shared" si="1"/>
        <v>0.7739776701641109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0.25</v>
      </c>
      <c r="C51" s="87">
        <f t="shared" ref="C51:E51" si="2">SUM(C28:C31)</f>
        <v>6.25E-2</v>
      </c>
      <c r="D51" s="87">
        <f t="shared" si="2"/>
        <v>6.9401643554186043E-2</v>
      </c>
      <c r="E51" s="87">
        <f t="shared" si="2"/>
        <v>0.14203322571966642</v>
      </c>
    </row>
    <row r="52" spans="1:5" x14ac:dyDescent="0.35">
      <c r="A52" s="84" t="s">
        <v>37</v>
      </c>
      <c r="B52" s="88">
        <f>SUM(B34:B36)</f>
        <v>0.25</v>
      </c>
      <c r="C52" s="88">
        <f t="shared" ref="C52:E52" si="3">SUM(C34:C36)</f>
        <v>0</v>
      </c>
      <c r="D52" s="88">
        <f t="shared" si="3"/>
        <v>0.15</v>
      </c>
      <c r="E52" s="88">
        <f t="shared" si="3"/>
        <v>0.21250000000000002</v>
      </c>
    </row>
    <row r="53" spans="1:5" x14ac:dyDescent="0.35">
      <c r="A53" s="83" t="s">
        <v>52</v>
      </c>
      <c r="B53" s="86">
        <f>SUM(B39:B47)</f>
        <v>8.3333333333333343E-2</v>
      </c>
      <c r="C53" s="86">
        <f t="shared" ref="C53:E53" si="4">SUM(C39:C47)</f>
        <v>0.35064253868345135</v>
      </c>
      <c r="D53" s="86">
        <f t="shared" si="4"/>
        <v>0.41944444444444445</v>
      </c>
      <c r="E53" s="86">
        <f t="shared" si="4"/>
        <v>0.41944444444444445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C24"/>
  <sheetViews>
    <sheetView workbookViewId="0">
      <selection activeCell="B8" sqref="B8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0</v>
      </c>
    </row>
    <row r="2" spans="1:3" x14ac:dyDescent="0.35">
      <c r="A2" s="1" t="s">
        <v>1</v>
      </c>
      <c r="B2" t="s">
        <v>2</v>
      </c>
    </row>
    <row r="4" spans="1:3" x14ac:dyDescent="0.35">
      <c r="A4" s="2" t="s">
        <v>3</v>
      </c>
      <c r="B4" s="2" t="s">
        <v>120</v>
      </c>
    </row>
    <row r="5" spans="1:3" x14ac:dyDescent="0.35">
      <c r="A5" s="3">
        <v>1</v>
      </c>
      <c r="B5" s="3">
        <f>IF(B2="Minimize",MIN(B12:B15),MAX(B12:B15))</f>
        <v>0</v>
      </c>
    </row>
    <row r="6" spans="1:3" x14ac:dyDescent="0.35">
      <c r="A6" s="3">
        <v>0</v>
      </c>
      <c r="B6" s="3">
        <f>IF(B2="Minimize",MAX(B12:B15),MIN(B12:B15))</f>
        <v>-3.4512499999999999</v>
      </c>
    </row>
    <row r="7" spans="1:3" x14ac:dyDescent="0.35">
      <c r="A7" s="3"/>
      <c r="B7" s="3"/>
    </row>
    <row r="8" spans="1:3" x14ac:dyDescent="0.35">
      <c r="A8" s="10" t="s">
        <v>4</v>
      </c>
      <c r="B8" s="138">
        <f>(A5-A6)/(B5-B6)</f>
        <v>0.28975009054690332</v>
      </c>
    </row>
    <row r="9" spans="1:3" x14ac:dyDescent="0.35">
      <c r="A9" s="10" t="s">
        <v>5</v>
      </c>
      <c r="B9" s="11">
        <f>A5-(B8*B5)</f>
        <v>1</v>
      </c>
    </row>
    <row r="11" spans="1:3" ht="16.5" x14ac:dyDescent="0.35">
      <c r="A11" s="1" t="s">
        <v>6</v>
      </c>
      <c r="B11" s="2" t="s">
        <v>7</v>
      </c>
      <c r="C11" s="2" t="s">
        <v>3</v>
      </c>
    </row>
    <row r="12" spans="1:3" x14ac:dyDescent="0.35">
      <c r="A12" s="5" t="s">
        <v>8</v>
      </c>
      <c r="B12" s="3">
        <v>0</v>
      </c>
      <c r="C12" s="3">
        <f>B12*$B$8+$B$9</f>
        <v>1</v>
      </c>
    </row>
    <row r="13" spans="1:3" x14ac:dyDescent="0.35">
      <c r="A13" s="5" t="s">
        <v>9</v>
      </c>
      <c r="B13" s="4">
        <f>B22</f>
        <v>-3.4512499999999999</v>
      </c>
      <c r="C13" s="3">
        <f t="shared" ref="C13:C15" si="0">B13*$B$8+$B$9</f>
        <v>0</v>
      </c>
    </row>
    <row r="14" spans="1:3" x14ac:dyDescent="0.35">
      <c r="A14" s="5" t="s">
        <v>10</v>
      </c>
      <c r="B14" s="4">
        <f>B24</f>
        <v>-1.5687500000000001</v>
      </c>
      <c r="C14" s="95">
        <f t="shared" si="0"/>
        <v>0.54545454545454541</v>
      </c>
    </row>
    <row r="15" spans="1:3" x14ac:dyDescent="0.35">
      <c r="A15" s="5" t="s">
        <v>11</v>
      </c>
      <c r="B15" s="3">
        <v>0</v>
      </c>
      <c r="C15" s="3">
        <f t="shared" si="0"/>
        <v>1</v>
      </c>
    </row>
    <row r="18" spans="1:3" x14ac:dyDescent="0.35">
      <c r="A18" s="6" t="s">
        <v>12</v>
      </c>
      <c r="B18" s="7"/>
      <c r="C18" s="7"/>
    </row>
    <row r="19" spans="1:3" ht="16.5" x14ac:dyDescent="0.35">
      <c r="A19" s="5" t="s">
        <v>13</v>
      </c>
      <c r="B19">
        <v>12.55</v>
      </c>
      <c r="C19" t="s">
        <v>27</v>
      </c>
    </row>
    <row r="20" spans="1:3" x14ac:dyDescent="0.35">
      <c r="A20" s="5" t="s">
        <v>14</v>
      </c>
      <c r="B20">
        <f>'General Assumptions'!B3</f>
        <v>5</v>
      </c>
      <c r="C20" t="s">
        <v>15</v>
      </c>
    </row>
    <row r="21" spans="1:3" x14ac:dyDescent="0.35">
      <c r="A21" t="s">
        <v>16</v>
      </c>
      <c r="B21" s="9">
        <f>-'Cereal Rye Assumptions'!B5</f>
        <v>-5.5E-2</v>
      </c>
      <c r="C21" t="s">
        <v>17</v>
      </c>
    </row>
    <row r="22" spans="1:3" ht="16.5" x14ac:dyDescent="0.35">
      <c r="A22" t="s">
        <v>16</v>
      </c>
      <c r="B22" s="8">
        <f>(B21*B19)*B20</f>
        <v>-3.4512499999999999</v>
      </c>
      <c r="C22" t="s">
        <v>22</v>
      </c>
    </row>
    <row r="23" spans="1:3" ht="16.5" x14ac:dyDescent="0.35">
      <c r="A23" t="s">
        <v>18</v>
      </c>
      <c r="B23" s="9">
        <f>-'PGC Assumptions'!B3</f>
        <v>-2.5000000000000001E-2</v>
      </c>
      <c r="C23" t="s">
        <v>22</v>
      </c>
    </row>
    <row r="24" spans="1:3" ht="16.5" x14ac:dyDescent="0.35">
      <c r="A24" t="s">
        <v>18</v>
      </c>
      <c r="B24" s="8">
        <f>(B23*B19)*B20</f>
        <v>-1.5687500000000001</v>
      </c>
      <c r="C24" t="s">
        <v>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C8"/>
  <sheetViews>
    <sheetView workbookViewId="0">
      <selection activeCell="B17" sqref="B17"/>
    </sheetView>
  </sheetViews>
  <sheetFormatPr defaultRowHeight="14.5" x14ac:dyDescent="0.35"/>
  <cols>
    <col min="1" max="1" width="31.08984375" customWidth="1"/>
    <col min="2" max="2" width="21.36328125" bestFit="1" customWidth="1"/>
  </cols>
  <sheetData>
    <row r="1" spans="1:3" x14ac:dyDescent="0.35">
      <c r="A1" s="1" t="s">
        <v>53</v>
      </c>
    </row>
    <row r="4" spans="1:3" x14ac:dyDescent="0.35">
      <c r="A4" s="1" t="s">
        <v>6</v>
      </c>
      <c r="B4" s="2" t="s">
        <v>54</v>
      </c>
      <c r="C4" s="2" t="s">
        <v>3</v>
      </c>
    </row>
    <row r="5" spans="1:3" x14ac:dyDescent="0.35">
      <c r="A5" s="5" t="s">
        <v>8</v>
      </c>
      <c r="B5" s="3" t="s">
        <v>55</v>
      </c>
      <c r="C5" s="3">
        <f>IF(B5="Yes",1,0)</f>
        <v>1</v>
      </c>
    </row>
    <row r="6" spans="1:3" x14ac:dyDescent="0.35">
      <c r="A6" s="5" t="s">
        <v>9</v>
      </c>
      <c r="B6" s="3" t="s">
        <v>55</v>
      </c>
      <c r="C6" s="3">
        <f t="shared" ref="C6:C8" si="0">IF(B6="Yes",1,0)</f>
        <v>1</v>
      </c>
    </row>
    <row r="7" spans="1:3" x14ac:dyDescent="0.35">
      <c r="A7" s="5" t="s">
        <v>10</v>
      </c>
      <c r="B7" s="3" t="s">
        <v>56</v>
      </c>
      <c r="C7" s="3">
        <f t="shared" si="0"/>
        <v>0</v>
      </c>
    </row>
    <row r="8" spans="1:3" x14ac:dyDescent="0.35">
      <c r="A8" s="5" t="s">
        <v>11</v>
      </c>
      <c r="B8" s="3" t="s">
        <v>56</v>
      </c>
      <c r="C8" s="3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L80"/>
  <sheetViews>
    <sheetView topLeftCell="A28" zoomScale="90" zoomScaleNormal="90" workbookViewId="0">
      <selection activeCell="E47" sqref="E47"/>
    </sheetView>
  </sheetViews>
  <sheetFormatPr defaultColWidth="9.08984375" defaultRowHeight="14.5" x14ac:dyDescent="0.35"/>
  <cols>
    <col min="1" max="1" width="38.81640625" style="48" bestFit="1" customWidth="1"/>
    <col min="2" max="5" width="28.81640625" style="48" customWidth="1"/>
    <col min="6" max="6" width="35.08984375" style="48" bestFit="1" customWidth="1"/>
    <col min="7" max="7" width="13.81640625" style="48" bestFit="1" customWidth="1"/>
    <col min="8" max="8" width="19.36328125" style="48" customWidth="1"/>
    <col min="9" max="9" width="18.08984375" style="48" bestFit="1" customWidth="1"/>
    <col min="10" max="10" width="26" style="48" bestFit="1" customWidth="1"/>
    <col min="11" max="16384" width="9.08984375" style="48"/>
  </cols>
  <sheetData>
    <row r="1" spans="1:3" ht="18.5" x14ac:dyDescent="0.45">
      <c r="A1" s="47" t="s">
        <v>72</v>
      </c>
    </row>
    <row r="2" spans="1:3" x14ac:dyDescent="0.35">
      <c r="A2" s="49" t="s">
        <v>1</v>
      </c>
      <c r="B2" s="48" t="s">
        <v>73</v>
      </c>
    </row>
    <row r="4" spans="1:3" ht="16.5" x14ac:dyDescent="0.35">
      <c r="A4" s="50" t="s">
        <v>74</v>
      </c>
      <c r="B4" s="50" t="s">
        <v>84</v>
      </c>
    </row>
    <row r="5" spans="1:3" x14ac:dyDescent="0.35">
      <c r="A5" s="51">
        <v>1</v>
      </c>
      <c r="B5" s="52">
        <f>IF(B2="Minimize",MIN(B11:B14),MAX(B11:B14))</f>
        <v>0</v>
      </c>
    </row>
    <row r="6" spans="1:3" x14ac:dyDescent="0.35">
      <c r="A6" s="51">
        <v>0</v>
      </c>
      <c r="B6" s="52">
        <f>IF(B2="Minimize",MAX(B11:B14),MIN(B11:B14))</f>
        <v>918.48989092778152</v>
      </c>
    </row>
    <row r="7" spans="1:3" x14ac:dyDescent="0.35">
      <c r="A7" s="51" t="s">
        <v>4</v>
      </c>
      <c r="B7" s="53">
        <f>(A5-A6)/(B5-B6)</f>
        <v>-1.0887436104385251E-3</v>
      </c>
    </row>
    <row r="8" spans="1:3" x14ac:dyDescent="0.35">
      <c r="A8" s="51" t="s">
        <v>5</v>
      </c>
      <c r="B8" s="54">
        <f>A5-(B7*B5)</f>
        <v>1</v>
      </c>
    </row>
    <row r="10" spans="1:3" ht="16.5" x14ac:dyDescent="0.35">
      <c r="A10" s="49" t="s">
        <v>6</v>
      </c>
      <c r="B10" s="50" t="s">
        <v>85</v>
      </c>
      <c r="C10" s="50" t="s">
        <v>3</v>
      </c>
    </row>
    <row r="11" spans="1:3" x14ac:dyDescent="0.35">
      <c r="A11" s="55" t="s">
        <v>8</v>
      </c>
      <c r="B11" s="51">
        <f>B43</f>
        <v>0</v>
      </c>
      <c r="C11" s="54">
        <f>B11*$B$7+$B$8</f>
        <v>1</v>
      </c>
    </row>
    <row r="12" spans="1:3" x14ac:dyDescent="0.35">
      <c r="A12" s="55" t="s">
        <v>9</v>
      </c>
      <c r="B12" s="56">
        <f>C43</f>
        <v>918.48989092778152</v>
      </c>
      <c r="C12" s="54">
        <f t="shared" ref="C12:C14" si="0">B12*$B$7+$B$8</f>
        <v>0</v>
      </c>
    </row>
    <row r="13" spans="1:3" x14ac:dyDescent="0.35">
      <c r="A13" s="55" t="s">
        <v>10</v>
      </c>
      <c r="B13" s="56">
        <f>D43</f>
        <v>659.02946976174064</v>
      </c>
      <c r="C13" s="54">
        <f t="shared" si="0"/>
        <v>0.28248587570621564</v>
      </c>
    </row>
    <row r="14" spans="1:3" x14ac:dyDescent="0.35">
      <c r="A14" s="55" t="s">
        <v>11</v>
      </c>
      <c r="B14" s="56">
        <f>E43</f>
        <v>334.08618039665316</v>
      </c>
      <c r="C14" s="54">
        <f t="shared" si="0"/>
        <v>0.63626580575733138</v>
      </c>
    </row>
    <row r="16" spans="1:3" s="58" customFormat="1" ht="23.5" x14ac:dyDescent="0.55000000000000004">
      <c r="A16" s="57" t="s">
        <v>12</v>
      </c>
    </row>
    <row r="17" spans="1:6" ht="15.75" customHeight="1" x14ac:dyDescent="0.35">
      <c r="A17" s="49"/>
      <c r="B17" s="60" t="s">
        <v>8</v>
      </c>
      <c r="C17" s="60" t="s">
        <v>75</v>
      </c>
      <c r="D17" s="60" t="s">
        <v>76</v>
      </c>
      <c r="E17" s="60" t="s">
        <v>77</v>
      </c>
      <c r="F17" s="59"/>
    </row>
    <row r="18" spans="1:6" x14ac:dyDescent="0.35">
      <c r="A18" s="48" t="s">
        <v>78</v>
      </c>
      <c r="B18" s="114">
        <v>0</v>
      </c>
      <c r="C18" s="115">
        <f>'Cereal Rye Assumptions'!B5</f>
        <v>5.5E-2</v>
      </c>
      <c r="D18" s="115">
        <f>'PGC Assumptions'!B3</f>
        <v>2.5000000000000001E-2</v>
      </c>
      <c r="E18" s="114">
        <v>0</v>
      </c>
      <c r="F18" s="59"/>
    </row>
    <row r="19" spans="1:6" ht="16.5" x14ac:dyDescent="0.35">
      <c r="A19" s="117" t="s">
        <v>86</v>
      </c>
      <c r="B19" s="118">
        <f>$I$18*(($I$21*$I$19)-(($I$21*(1-B18))*$I$19))</f>
        <v>0</v>
      </c>
      <c r="C19" s="118">
        <f>(('General Assumptions'!$B$5*'General Assumptions'!$B$4)-(1-C18)*('General Assumptions'!$B$5*'General Assumptions'!$B$4))*'General Assumptions'!$B$3</f>
        <v>377.30000000000018</v>
      </c>
      <c r="D19" s="118">
        <f>(('General Assumptions'!$B$5*'General Assumptions'!$B$4)-(1-D18)*('General Assumptions'!$B$5*'General Assumptions'!$B$4))*'General Assumptions'!$B$3</f>
        <v>171.49999999999977</v>
      </c>
      <c r="E19" s="118">
        <f>(('General Assumptions'!$B$5*'General Assumptions'!$B$4)-(1-E18)*('General Assumptions'!$B$5*'General Assumptions'!$B$4))*'General Assumptions'!$B$3</f>
        <v>0</v>
      </c>
      <c r="F19" s="60"/>
    </row>
    <row r="20" spans="1:6" ht="16.5" x14ac:dyDescent="0.35">
      <c r="A20" s="125" t="s">
        <v>160</v>
      </c>
      <c r="B20" s="118">
        <f>B19*'Conversion Factors'!$B$2</f>
        <v>0</v>
      </c>
      <c r="C20" s="118">
        <f>C19*'Conversion Factors'!$B$2</f>
        <v>932.32716500000049</v>
      </c>
      <c r="D20" s="118">
        <f>D19*'Conversion Factors'!$B$2</f>
        <v>423.78507499999944</v>
      </c>
      <c r="E20" s="118">
        <f>E19*'Conversion Factors'!$B$2</f>
        <v>0</v>
      </c>
      <c r="F20" s="60"/>
    </row>
    <row r="21" spans="1:6" ht="16.5" x14ac:dyDescent="0.35">
      <c r="A21" s="48" t="s">
        <v>87</v>
      </c>
      <c r="B21" s="59">
        <v>0</v>
      </c>
      <c r="C21" s="59">
        <f>'Cereal Rye Assumptions'!B3</f>
        <v>60</v>
      </c>
      <c r="D21" s="59">
        <f>'PGC Assumptions'!B7</f>
        <v>20</v>
      </c>
      <c r="E21" s="59">
        <f>'PGC Assumptions'!B8</f>
        <v>50</v>
      </c>
      <c r="F21" s="59"/>
    </row>
    <row r="22" spans="1:6" ht="16.5" x14ac:dyDescent="0.35">
      <c r="A22" s="126" t="s">
        <v>161</v>
      </c>
      <c r="B22" s="127">
        <f>B21*'Conversion Factors'!$B$4*'Conversion Factors'!$B$2</f>
        <v>0</v>
      </c>
      <c r="C22" s="127">
        <f>C21*'Conversion Factors'!$B$4*'Conversion Factors'!$B$2</f>
        <v>67.250910695999991</v>
      </c>
      <c r="D22" s="127">
        <f>D21*'Conversion Factors'!$B$4*'Conversion Factors'!$B$2</f>
        <v>22.416970232000001</v>
      </c>
      <c r="E22" s="127">
        <f>E21*'Conversion Factors'!$B$4*'Conversion Factors'!$B$2</f>
        <v>56.04242558</v>
      </c>
      <c r="F22" s="59"/>
    </row>
    <row r="23" spans="1:6" ht="16.5" x14ac:dyDescent="0.35">
      <c r="A23" s="48" t="s">
        <v>88</v>
      </c>
      <c r="B23" s="59">
        <v>0</v>
      </c>
      <c r="C23" s="61">
        <f>'Cereal Rye Assumptions'!B4</f>
        <v>0.5</v>
      </c>
      <c r="D23" s="113">
        <f>'PGC Assumptions'!B9</f>
        <v>2.75</v>
      </c>
      <c r="E23" s="61">
        <f>'PGC Assumptions'!B10</f>
        <v>2.5</v>
      </c>
      <c r="F23" s="59"/>
    </row>
    <row r="24" spans="1:6" ht="16.5" x14ac:dyDescent="0.35">
      <c r="A24" s="126" t="s">
        <v>162</v>
      </c>
      <c r="B24" s="61">
        <f>B23/'Conversion Factors'!$B$4</f>
        <v>0</v>
      </c>
      <c r="C24" s="61">
        <f>C23/'Conversion Factors'!$B$4</f>
        <v>1.1023122100918887</v>
      </c>
      <c r="D24" s="61">
        <f>D23/'Conversion Factors'!$B$4</f>
        <v>6.0627171555053883</v>
      </c>
      <c r="E24" s="61">
        <f>E23/'Conversion Factors'!$B$4</f>
        <v>5.5115610504594441</v>
      </c>
      <c r="F24" s="59"/>
    </row>
    <row r="25" spans="1:6" ht="16.5" x14ac:dyDescent="0.35">
      <c r="A25" s="117" t="s">
        <v>89</v>
      </c>
      <c r="B25" s="119">
        <v>0</v>
      </c>
      <c r="C25" s="119">
        <f>C23*C21*5</f>
        <v>150</v>
      </c>
      <c r="D25" s="119">
        <f>D23*D21</f>
        <v>55</v>
      </c>
      <c r="E25" s="119">
        <f>E23*E21</f>
        <v>125</v>
      </c>
      <c r="F25" s="60"/>
    </row>
    <row r="26" spans="1:6" ht="16.5" x14ac:dyDescent="0.35">
      <c r="A26" s="125" t="s">
        <v>163</v>
      </c>
      <c r="B26" s="119">
        <f>B25*'Conversion Factors'!$B$2</f>
        <v>0</v>
      </c>
      <c r="C26" s="119">
        <f>C25*'Conversion Factors'!$B$2</f>
        <v>370.65749999999997</v>
      </c>
      <c r="D26" s="119">
        <f>D25*'Conversion Factors'!$B$2</f>
        <v>135.90774999999999</v>
      </c>
      <c r="E26" s="119">
        <f>E25*'Conversion Factors'!$B$2</f>
        <v>308.88125000000002</v>
      </c>
      <c r="F26" s="60"/>
    </row>
    <row r="27" spans="1:6" ht="16.5" x14ac:dyDescent="0.35">
      <c r="A27" s="117" t="s">
        <v>90</v>
      </c>
      <c r="B27" s="119">
        <v>0</v>
      </c>
      <c r="C27" s="119">
        <f>'General Assumptions'!B3*'Cereal Rye Assumptions'!B11</f>
        <v>101</v>
      </c>
      <c r="D27" s="119">
        <f>'PGC Assumptions'!B13</f>
        <v>20.2</v>
      </c>
      <c r="E27" s="119">
        <f>'PGC Assumptions'!B13</f>
        <v>20.2</v>
      </c>
      <c r="F27" s="60"/>
    </row>
    <row r="28" spans="1:6" ht="16.5" x14ac:dyDescent="0.35">
      <c r="A28" s="125" t="s">
        <v>164</v>
      </c>
      <c r="B28" s="119">
        <f>B27*'Conversion Factors'!$B$2</f>
        <v>0</v>
      </c>
      <c r="C28" s="119">
        <f>C27*'Conversion Factors'!$B$2</f>
        <v>249.57605000000001</v>
      </c>
      <c r="D28" s="119">
        <f>D27*'Conversion Factors'!$B$2</f>
        <v>49.915209999999995</v>
      </c>
      <c r="E28" s="119">
        <f>E27*'Conversion Factors'!$B$2</f>
        <v>49.915209999999995</v>
      </c>
      <c r="F28" s="60"/>
    </row>
    <row r="29" spans="1:6" x14ac:dyDescent="0.35">
      <c r="A29" s="48" t="s">
        <v>83</v>
      </c>
      <c r="B29" s="59">
        <v>0</v>
      </c>
      <c r="C29" s="116">
        <v>0</v>
      </c>
      <c r="D29" s="113">
        <f>'PGC Assumptions'!B11*'General Assumptions'!B3</f>
        <v>30</v>
      </c>
      <c r="E29" s="113">
        <v>0</v>
      </c>
      <c r="F29" s="59"/>
    </row>
    <row r="30" spans="1:6" ht="16.5" x14ac:dyDescent="0.35">
      <c r="A30" s="120" t="s">
        <v>105</v>
      </c>
      <c r="B30" s="119">
        <f>B29*'General Assumptions'!$B$3</f>
        <v>0</v>
      </c>
      <c r="C30" s="119">
        <f>C29*'General Assumptions'!$B$3</f>
        <v>0</v>
      </c>
      <c r="D30" s="119">
        <f>D29</f>
        <v>30</v>
      </c>
      <c r="E30" s="119">
        <f>E29*'General Assumptions'!$B$3</f>
        <v>0</v>
      </c>
      <c r="F30" s="60"/>
    </row>
    <row r="31" spans="1:6" ht="16.5" x14ac:dyDescent="0.35">
      <c r="A31" s="128" t="s">
        <v>165</v>
      </c>
      <c r="B31" s="119">
        <f>B30*'Conversion Factors'!$B$2</f>
        <v>0</v>
      </c>
      <c r="C31" s="119">
        <f>C30*'Conversion Factors'!$B$2</f>
        <v>0</v>
      </c>
      <c r="D31" s="119">
        <f>D30*'Conversion Factors'!$B$2</f>
        <v>74.131500000000003</v>
      </c>
      <c r="E31" s="119">
        <f>E30*'Conversion Factors'!$B$2</f>
        <v>0</v>
      </c>
      <c r="F31" s="60"/>
    </row>
    <row r="32" spans="1:6" ht="16.5" x14ac:dyDescent="0.35">
      <c r="A32" s="48" t="s">
        <v>106</v>
      </c>
      <c r="B32" s="61">
        <v>0</v>
      </c>
      <c r="C32" s="61">
        <f>'Cereal Rye Assumptions'!B6</f>
        <v>-34.68</v>
      </c>
      <c r="D32" s="61">
        <v>0</v>
      </c>
      <c r="E32" s="61">
        <v>0</v>
      </c>
      <c r="F32" s="59"/>
    </row>
    <row r="33" spans="1:6" ht="16.5" x14ac:dyDescent="0.35">
      <c r="A33" s="126" t="s">
        <v>166</v>
      </c>
      <c r="B33" s="61">
        <f>B32*'Conversion Factors'!$B$2</f>
        <v>0</v>
      </c>
      <c r="C33" s="61">
        <f>C32*'Conversion Factors'!$B$2</f>
        <v>-85.696014000000005</v>
      </c>
      <c r="D33" s="61">
        <f>D32*'Conversion Factors'!$B$2</f>
        <v>0</v>
      </c>
      <c r="E33" s="61">
        <f>E32*'Conversion Factors'!$B$2</f>
        <v>0</v>
      </c>
      <c r="F33" s="59"/>
    </row>
    <row r="34" spans="1:6" ht="16.5" x14ac:dyDescent="0.35">
      <c r="A34" s="48" t="s">
        <v>107</v>
      </c>
      <c r="B34" s="61">
        <v>0</v>
      </c>
      <c r="C34" s="61">
        <f>'Cereal Rye Assumptions'!B7</f>
        <v>-6.64</v>
      </c>
      <c r="D34" s="61">
        <v>0</v>
      </c>
      <c r="E34" s="61">
        <v>0</v>
      </c>
      <c r="F34" s="59"/>
    </row>
    <row r="35" spans="1:6" ht="16.5" x14ac:dyDescent="0.35">
      <c r="A35" s="126" t="s">
        <v>167</v>
      </c>
      <c r="B35" s="61">
        <f>B34*'Conversion Factors'!$B$2</f>
        <v>0</v>
      </c>
      <c r="C35" s="61">
        <f>C34*'Conversion Factors'!$B$2</f>
        <v>-16.407771999999998</v>
      </c>
      <c r="D35" s="61">
        <f>D34*'Conversion Factors'!$B$2</f>
        <v>0</v>
      </c>
      <c r="E35" s="61">
        <f>E34*'Conversion Factors'!$B$2</f>
        <v>0</v>
      </c>
      <c r="F35" s="59"/>
    </row>
    <row r="36" spans="1:6" ht="16.5" x14ac:dyDescent="0.35">
      <c r="A36" s="48" t="s">
        <v>108</v>
      </c>
      <c r="B36" s="61">
        <v>0</v>
      </c>
      <c r="C36" s="61">
        <f>'Cereal Rye Assumptions'!B8</f>
        <v>-10</v>
      </c>
      <c r="D36" s="61">
        <f>'PGC Assumptions'!B12</f>
        <v>-2</v>
      </c>
      <c r="E36" s="61">
        <f>'PGC Assumptions'!B12</f>
        <v>-2</v>
      </c>
      <c r="F36" s="59"/>
    </row>
    <row r="37" spans="1:6" ht="16.5" x14ac:dyDescent="0.35">
      <c r="A37" s="126" t="s">
        <v>168</v>
      </c>
      <c r="B37" s="61">
        <f>B36*'Conversion Factors'!$B$2</f>
        <v>0</v>
      </c>
      <c r="C37" s="61">
        <f>C36*'Conversion Factors'!$B$2</f>
        <v>-24.7105</v>
      </c>
      <c r="D37" s="61">
        <f>D36*'Conversion Factors'!$B$2</f>
        <v>-4.9420999999999999</v>
      </c>
      <c r="E37" s="61">
        <f>E36*'Conversion Factors'!$B$2</f>
        <v>-4.9420999999999999</v>
      </c>
      <c r="F37" s="59"/>
    </row>
    <row r="38" spans="1:6" ht="16.5" x14ac:dyDescent="0.35">
      <c r="A38" s="117" t="s">
        <v>91</v>
      </c>
      <c r="B38" s="119">
        <v>0</v>
      </c>
      <c r="C38" s="119">
        <f>'Cereal Rye Assumptions'!B12</f>
        <v>-256.60000000000002</v>
      </c>
      <c r="D38" s="119">
        <f>D36*'General Assumptions'!$B$3</f>
        <v>-10</v>
      </c>
      <c r="E38" s="119">
        <f>E36*'General Assumptions'!$B$3</f>
        <v>-10</v>
      </c>
      <c r="F38" s="59"/>
    </row>
    <row r="39" spans="1:6" ht="16.5" x14ac:dyDescent="0.35">
      <c r="A39" s="125" t="s">
        <v>169</v>
      </c>
      <c r="B39" s="129">
        <f>B38*'Conversion Factors'!$B$2</f>
        <v>0</v>
      </c>
      <c r="C39" s="129">
        <f>C38*'Conversion Factors'!$B$2</f>
        <v>-634.07143000000008</v>
      </c>
      <c r="D39" s="129">
        <f>D38*'Conversion Factors'!$B$2</f>
        <v>-24.7105</v>
      </c>
      <c r="E39" s="129">
        <f>E38*'Conversion Factors'!$B$2</f>
        <v>-24.7105</v>
      </c>
      <c r="F39" s="59"/>
    </row>
    <row r="40" spans="1:6" ht="16.5" x14ac:dyDescent="0.35">
      <c r="A40" s="117" t="s">
        <v>170</v>
      </c>
      <c r="B40" s="119">
        <f>SUM(B19,B25,B27,B30)</f>
        <v>0</v>
      </c>
      <c r="C40" s="119">
        <f>SUM(C19,C25,C27,C30)</f>
        <v>628.30000000000018</v>
      </c>
      <c r="D40" s="119">
        <f>SUM(D19,D25,D27,D30)</f>
        <v>276.69999999999976</v>
      </c>
      <c r="E40" s="119">
        <f>SUM(E19,E25,E27,E30)</f>
        <v>145.19999999999999</v>
      </c>
      <c r="F40" s="61"/>
    </row>
    <row r="41" spans="1:6" ht="16.5" x14ac:dyDescent="0.35">
      <c r="A41" s="125" t="s">
        <v>171</v>
      </c>
      <c r="B41" s="129">
        <f>B40*'Conversion Factors'!$B$2</f>
        <v>0</v>
      </c>
      <c r="C41" s="129">
        <f>C40*'Conversion Factors'!$B$2</f>
        <v>1552.5607150000005</v>
      </c>
      <c r="D41" s="129">
        <f>D40*'Conversion Factors'!$B$2</f>
        <v>683.73953499999936</v>
      </c>
      <c r="E41" s="129">
        <f>E40*'Conversion Factors'!$B$2</f>
        <v>358.79645999999997</v>
      </c>
      <c r="F41" s="59"/>
    </row>
    <row r="42" spans="1:6" ht="16.5" x14ac:dyDescent="0.35">
      <c r="A42" s="62" t="s">
        <v>109</v>
      </c>
      <c r="B42" s="63">
        <v>0</v>
      </c>
      <c r="C42" s="64">
        <f>C19+C25+C27+C38+C30</f>
        <v>371.70000000000016</v>
      </c>
      <c r="D42" s="64">
        <f>D19+D25+D27+D38+D30</f>
        <v>266.69999999999976</v>
      </c>
      <c r="E42" s="64">
        <f t="shared" ref="E42" si="1">E19+E25+E27+E38+E30</f>
        <v>135.19999999999999</v>
      </c>
      <c r="F42" s="59"/>
    </row>
    <row r="43" spans="1:6" ht="16.5" x14ac:dyDescent="0.35">
      <c r="A43" s="130" t="s">
        <v>110</v>
      </c>
      <c r="B43" s="63">
        <v>0</v>
      </c>
      <c r="C43" s="64">
        <f>C42/0.404686</f>
        <v>918.48989092778152</v>
      </c>
      <c r="D43" s="64">
        <f>D42/0.404686</f>
        <v>659.02946976174064</v>
      </c>
      <c r="E43" s="64">
        <f t="shared" ref="E43" si="2">E42/0.404686</f>
        <v>334.08618039665316</v>
      </c>
      <c r="F43" s="59"/>
    </row>
    <row r="45" spans="1:6" x14ac:dyDescent="0.35">
      <c r="B45" s="65"/>
      <c r="C45" s="65"/>
      <c r="D45" s="65"/>
      <c r="E45" s="65"/>
    </row>
    <row r="46" spans="1:6" x14ac:dyDescent="0.35">
      <c r="B46" s="65"/>
      <c r="C46" s="65"/>
      <c r="D46" s="65">
        <f>E43-D43</f>
        <v>-324.94328936508748</v>
      </c>
      <c r="E46" s="65"/>
    </row>
    <row r="47" spans="1:6" x14ac:dyDescent="0.35">
      <c r="B47" s="65"/>
      <c r="C47" s="65"/>
      <c r="D47" s="65"/>
      <c r="E47" s="65"/>
    </row>
    <row r="48" spans="1:6" x14ac:dyDescent="0.35">
      <c r="B48" s="65"/>
      <c r="C48" s="65"/>
      <c r="D48" s="65"/>
      <c r="E48" s="65"/>
    </row>
    <row r="49" spans="1:12" x14ac:dyDescent="0.35">
      <c r="B49" s="65"/>
      <c r="C49" s="65"/>
      <c r="D49" s="65"/>
      <c r="E49" s="65"/>
    </row>
    <row r="50" spans="1:12" x14ac:dyDescent="0.35">
      <c r="C50" s="65"/>
    </row>
    <row r="51" spans="1:12" x14ac:dyDescent="0.35">
      <c r="C51" s="65"/>
      <c r="D51" s="65"/>
      <c r="E51" s="65"/>
    </row>
    <row r="54" spans="1:12" x14ac:dyDescent="0.35">
      <c r="B54" s="140"/>
      <c r="C54" s="140"/>
      <c r="D54" s="140"/>
      <c r="E54" s="140"/>
      <c r="F54" s="140"/>
      <c r="G54" s="140"/>
      <c r="H54" s="140"/>
      <c r="I54" s="140"/>
    </row>
    <row r="55" spans="1:12" x14ac:dyDescent="0.35">
      <c r="B55" s="51"/>
      <c r="C55" s="51"/>
      <c r="D55" s="51"/>
      <c r="E55" s="51"/>
      <c r="F55" s="51"/>
      <c r="G55" s="51"/>
      <c r="H55" s="51"/>
      <c r="I55" s="51"/>
      <c r="J55" s="51"/>
      <c r="K55" s="51"/>
    </row>
    <row r="56" spans="1:12" x14ac:dyDescent="0.35">
      <c r="B56" s="54"/>
      <c r="C56" s="51"/>
      <c r="D56" s="52"/>
      <c r="E56" s="52"/>
      <c r="F56" s="51"/>
      <c r="G56" s="52"/>
      <c r="H56" s="52"/>
      <c r="I56" s="56"/>
      <c r="J56" s="65"/>
      <c r="K56" s="65"/>
      <c r="L56" s="65"/>
    </row>
    <row r="57" spans="1:12" x14ac:dyDescent="0.35">
      <c r="B57" s="54"/>
      <c r="C57" s="52"/>
      <c r="D57" s="52"/>
      <c r="E57" s="52"/>
      <c r="F57" s="51"/>
      <c r="G57" s="52"/>
      <c r="H57" s="52"/>
      <c r="I57" s="56"/>
      <c r="J57" s="65"/>
      <c r="K57" s="65"/>
      <c r="L57" s="65"/>
    </row>
    <row r="58" spans="1:12" x14ac:dyDescent="0.35">
      <c r="B58" s="54"/>
      <c r="C58" s="52"/>
      <c r="D58" s="52"/>
      <c r="E58" s="52"/>
      <c r="F58" s="51"/>
      <c r="G58" s="52"/>
      <c r="H58" s="52"/>
      <c r="I58" s="56"/>
      <c r="J58" s="65"/>
      <c r="K58" s="65"/>
      <c r="L58" s="65"/>
    </row>
    <row r="59" spans="1:12" x14ac:dyDescent="0.35">
      <c r="B59" s="51"/>
      <c r="C59" s="51"/>
      <c r="D59" s="51"/>
    </row>
    <row r="60" spans="1:12" x14ac:dyDescent="0.35">
      <c r="B60" s="51"/>
      <c r="C60" s="51"/>
      <c r="D60" s="51"/>
    </row>
    <row r="61" spans="1:12" x14ac:dyDescent="0.35">
      <c r="B61" s="51"/>
      <c r="C61" s="51"/>
      <c r="D61" s="51"/>
    </row>
    <row r="62" spans="1:12" x14ac:dyDescent="0.35">
      <c r="A62" s="49"/>
      <c r="B62" s="50"/>
      <c r="C62" s="50"/>
      <c r="D62" s="51"/>
    </row>
    <row r="63" spans="1:12" x14ac:dyDescent="0.35">
      <c r="B63" s="51"/>
      <c r="C63" s="51"/>
      <c r="D63" s="51"/>
    </row>
    <row r="64" spans="1:12" x14ac:dyDescent="0.35">
      <c r="B64" s="51"/>
      <c r="C64" s="51"/>
      <c r="D64" s="51"/>
      <c r="E64" s="65"/>
      <c r="F64" s="65"/>
    </row>
    <row r="65" spans="1:10" x14ac:dyDescent="0.35">
      <c r="B65" s="51"/>
      <c r="C65" s="51"/>
      <c r="D65" s="51"/>
      <c r="E65" s="65"/>
      <c r="F65" s="65"/>
    </row>
    <row r="66" spans="1:10" x14ac:dyDescent="0.35">
      <c r="B66" s="51"/>
      <c r="C66" s="51"/>
      <c r="D66" s="51"/>
      <c r="E66" s="65"/>
      <c r="F66" s="65"/>
    </row>
    <row r="67" spans="1:10" x14ac:dyDescent="0.35">
      <c r="B67" s="51"/>
      <c r="C67" s="51"/>
      <c r="D67" s="51"/>
      <c r="F67" s="65"/>
    </row>
    <row r="68" spans="1:10" x14ac:dyDescent="0.35">
      <c r="B68" s="51"/>
      <c r="C68" s="51"/>
      <c r="D68" s="51"/>
      <c r="F68" s="65"/>
      <c r="J68" s="65"/>
    </row>
    <row r="69" spans="1:10" x14ac:dyDescent="0.35">
      <c r="A69" s="49"/>
      <c r="B69" s="49"/>
      <c r="C69" s="49"/>
      <c r="J69" s="65"/>
    </row>
    <row r="70" spans="1:10" x14ac:dyDescent="0.35">
      <c r="B70" s="66"/>
      <c r="J70" s="65"/>
    </row>
    <row r="71" spans="1:10" x14ac:dyDescent="0.35">
      <c r="B71" s="66"/>
    </row>
    <row r="73" spans="1:10" x14ac:dyDescent="0.35">
      <c r="B73" s="65"/>
    </row>
    <row r="74" spans="1:10" x14ac:dyDescent="0.35">
      <c r="B74" s="65"/>
    </row>
    <row r="75" spans="1:10" x14ac:dyDescent="0.35">
      <c r="B75" s="65"/>
    </row>
    <row r="76" spans="1:10" x14ac:dyDescent="0.35">
      <c r="B76" s="65"/>
    </row>
    <row r="77" spans="1:10" x14ac:dyDescent="0.35">
      <c r="B77" s="65"/>
    </row>
    <row r="79" spans="1:10" x14ac:dyDescent="0.35">
      <c r="B79" s="65"/>
    </row>
    <row r="80" spans="1:10" x14ac:dyDescent="0.35">
      <c r="B80" s="65"/>
    </row>
  </sheetData>
  <mergeCells count="3">
    <mergeCell ref="B54:D54"/>
    <mergeCell ref="E54:G54"/>
    <mergeCell ref="H54:I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A1:C14"/>
  <sheetViews>
    <sheetView workbookViewId="0">
      <selection activeCell="D27" sqref="D27"/>
    </sheetView>
  </sheetViews>
  <sheetFormatPr defaultRowHeight="14.5" x14ac:dyDescent="0.35"/>
  <cols>
    <col min="1" max="1" width="19.7265625" customWidth="1"/>
    <col min="2" max="2" width="27.08984375" bestFit="1" customWidth="1"/>
    <col min="3" max="3" width="11.6328125" customWidth="1"/>
  </cols>
  <sheetData>
    <row r="1" spans="1:3" x14ac:dyDescent="0.35">
      <c r="A1" s="1" t="s">
        <v>111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112</v>
      </c>
    </row>
    <row r="5" spans="1:3" x14ac:dyDescent="0.35">
      <c r="A5" s="3">
        <v>1</v>
      </c>
      <c r="B5" s="3">
        <f>IF(B2="Minimize",MIN(B11:B14),MAX(B11:B14))</f>
        <v>0</v>
      </c>
    </row>
    <row r="6" spans="1:3" x14ac:dyDescent="0.35">
      <c r="A6" s="3">
        <v>0</v>
      </c>
      <c r="B6" s="3">
        <f>IF(B2="Minimize",MAX(B11:B14),MIN(B11:B14))</f>
        <v>5</v>
      </c>
    </row>
    <row r="7" spans="1:3" x14ac:dyDescent="0.35">
      <c r="A7" s="3" t="s">
        <v>4</v>
      </c>
      <c r="B7" s="4">
        <f>(A5-A6)/(B5-B6)</f>
        <v>-0.2</v>
      </c>
    </row>
    <row r="8" spans="1:3" x14ac:dyDescent="0.35">
      <c r="A8" s="3" t="s">
        <v>5</v>
      </c>
      <c r="B8" s="4">
        <f>A5-(B7*B5)</f>
        <v>1</v>
      </c>
    </row>
    <row r="10" spans="1:3" x14ac:dyDescent="0.35">
      <c r="A10" s="1" t="s">
        <v>6</v>
      </c>
      <c r="B10" s="2" t="s">
        <v>113</v>
      </c>
      <c r="C10" s="2" t="s">
        <v>3</v>
      </c>
    </row>
    <row r="11" spans="1:3" x14ac:dyDescent="0.35">
      <c r="A11" s="5" t="s">
        <v>8</v>
      </c>
      <c r="B11" s="3">
        <v>0</v>
      </c>
      <c r="C11" s="3">
        <f>B11*$B$7+$B$8</f>
        <v>1</v>
      </c>
    </row>
    <row r="12" spans="1:3" x14ac:dyDescent="0.35">
      <c r="A12" s="5" t="s">
        <v>9</v>
      </c>
      <c r="B12" s="3">
        <f>'Cereal Rye Assumptions'!B9</f>
        <v>5</v>
      </c>
      <c r="C12" s="3">
        <f t="shared" ref="C12:C14" si="0">B12*$B$7+$B$8</f>
        <v>0</v>
      </c>
    </row>
    <row r="13" spans="1:3" x14ac:dyDescent="0.35">
      <c r="A13" s="5" t="s">
        <v>10</v>
      </c>
      <c r="B13" s="3">
        <f>'PGC Assumptions'!B4</f>
        <v>1</v>
      </c>
      <c r="C13" s="3">
        <f t="shared" si="0"/>
        <v>0.8</v>
      </c>
    </row>
    <row r="14" spans="1:3" x14ac:dyDescent="0.35">
      <c r="A14" s="5" t="s">
        <v>11</v>
      </c>
      <c r="B14" s="3">
        <f>'PGC Assumptions'!B4</f>
        <v>1</v>
      </c>
      <c r="C14" s="3">
        <f t="shared" si="0"/>
        <v>0.8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/>
  </sheetPr>
  <dimension ref="A1:C14"/>
  <sheetViews>
    <sheetView workbookViewId="0">
      <selection activeCell="B12" sqref="B12"/>
    </sheetView>
  </sheetViews>
  <sheetFormatPr defaultRowHeight="14.5" x14ac:dyDescent="0.35"/>
  <cols>
    <col min="1" max="1" width="19.7265625" customWidth="1"/>
    <col min="2" max="2" width="31" bestFit="1" customWidth="1"/>
    <col min="3" max="3" width="11.6328125" customWidth="1"/>
  </cols>
  <sheetData>
    <row r="1" spans="1:3" x14ac:dyDescent="0.35">
      <c r="A1" s="1" t="s">
        <v>115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117</v>
      </c>
    </row>
    <row r="5" spans="1:3" x14ac:dyDescent="0.35">
      <c r="A5" s="3">
        <v>1</v>
      </c>
      <c r="B5" s="3">
        <f>IF(B2="Minimize",MIN(B11:B14),MAX(B11:B14))</f>
        <v>0</v>
      </c>
    </row>
    <row r="6" spans="1:3" x14ac:dyDescent="0.35">
      <c r="A6" s="3">
        <v>0</v>
      </c>
      <c r="B6" s="3">
        <f>IF(B2="Minimize",MAX(B11:B14),MIN(B11:B14))</f>
        <v>10</v>
      </c>
    </row>
    <row r="7" spans="1:3" x14ac:dyDescent="0.35">
      <c r="A7" s="3" t="s">
        <v>4</v>
      </c>
      <c r="B7" s="4">
        <f>(A5-A6)/(B5-B6)</f>
        <v>-0.1</v>
      </c>
    </row>
    <row r="8" spans="1:3" x14ac:dyDescent="0.35">
      <c r="A8" s="3" t="s">
        <v>5</v>
      </c>
      <c r="B8" s="4">
        <f>A5-(B7*B5)</f>
        <v>1</v>
      </c>
    </row>
    <row r="10" spans="1:3" x14ac:dyDescent="0.35">
      <c r="A10" s="1" t="s">
        <v>6</v>
      </c>
      <c r="B10" s="2" t="s">
        <v>116</v>
      </c>
      <c r="C10" s="2" t="s">
        <v>3</v>
      </c>
    </row>
    <row r="11" spans="1:3" x14ac:dyDescent="0.35">
      <c r="A11" s="5" t="s">
        <v>8</v>
      </c>
      <c r="B11" s="3">
        <v>0</v>
      </c>
      <c r="C11" s="3">
        <f>B11*$B$7+$B$8</f>
        <v>1</v>
      </c>
    </row>
    <row r="12" spans="1:3" x14ac:dyDescent="0.35">
      <c r="A12" s="5" t="s">
        <v>9</v>
      </c>
      <c r="B12" s="95">
        <f>'Cereal Rye Assumptions'!B10</f>
        <v>10</v>
      </c>
      <c r="C12" s="3">
        <f t="shared" ref="C12:C14" si="0">B12*$B$7+$B$8</f>
        <v>0</v>
      </c>
    </row>
    <row r="13" spans="1:3" x14ac:dyDescent="0.35">
      <c r="A13" s="5" t="s">
        <v>10</v>
      </c>
      <c r="B13" s="3">
        <f>'PGC Assumptions'!B5</f>
        <v>6</v>
      </c>
      <c r="C13" s="3">
        <f t="shared" si="0"/>
        <v>0.39999999999999991</v>
      </c>
    </row>
    <row r="14" spans="1:3" x14ac:dyDescent="0.35">
      <c r="A14" s="5" t="s">
        <v>11</v>
      </c>
      <c r="B14" s="3">
        <f>'PGC Assumptions'!B6</f>
        <v>1</v>
      </c>
      <c r="C14" s="3">
        <f t="shared" si="0"/>
        <v>0.9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/>
  </sheetPr>
  <dimension ref="A1:C14"/>
  <sheetViews>
    <sheetView workbookViewId="0">
      <selection activeCell="C18" sqref="C18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123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124</v>
      </c>
    </row>
    <row r="5" spans="1:3" x14ac:dyDescent="0.35">
      <c r="A5" s="3">
        <v>1</v>
      </c>
      <c r="B5" s="89">
        <f>IF(B2="Minimize",MIN(B11:B14),MAX(B11:B14))</f>
        <v>-0.41</v>
      </c>
    </row>
    <row r="6" spans="1:3" x14ac:dyDescent="0.35">
      <c r="A6" s="3">
        <v>0</v>
      </c>
      <c r="B6" s="89">
        <f>IF(B2="Minimize",MAX(B11:B14),MIN(B11:B14))</f>
        <v>0</v>
      </c>
    </row>
    <row r="7" spans="1:3" x14ac:dyDescent="0.35">
      <c r="A7" s="3" t="s">
        <v>4</v>
      </c>
      <c r="B7" s="90">
        <f>(A5-A6)/(B5-B6)</f>
        <v>-2.4390243902439024</v>
      </c>
    </row>
    <row r="8" spans="1:3" x14ac:dyDescent="0.35">
      <c r="A8" s="3" t="s">
        <v>5</v>
      </c>
      <c r="B8" s="90">
        <f>A5-(B7*B5)</f>
        <v>0</v>
      </c>
    </row>
    <row r="10" spans="1:3" ht="16.5" x14ac:dyDescent="0.35">
      <c r="A10" s="1" t="s">
        <v>6</v>
      </c>
      <c r="B10" s="2" t="s">
        <v>125</v>
      </c>
      <c r="C10" s="2" t="s">
        <v>3</v>
      </c>
    </row>
    <row r="11" spans="1:3" x14ac:dyDescent="0.35">
      <c r="A11" s="5" t="s">
        <v>8</v>
      </c>
      <c r="B11" s="89">
        <v>0</v>
      </c>
      <c r="C11" s="4">
        <f>B11*$B$7+$B$8</f>
        <v>0</v>
      </c>
    </row>
    <row r="12" spans="1:3" x14ac:dyDescent="0.35">
      <c r="A12" s="5" t="s">
        <v>9</v>
      </c>
      <c r="B12" s="89">
        <v>-0.31</v>
      </c>
      <c r="C12" s="4">
        <f t="shared" ref="C12:C14" si="0">B12*$B$7+$B$8</f>
        <v>0.75609756097560976</v>
      </c>
    </row>
    <row r="13" spans="1:3" x14ac:dyDescent="0.35">
      <c r="A13" s="5" t="s">
        <v>10</v>
      </c>
      <c r="B13" s="89">
        <v>-0.41</v>
      </c>
      <c r="C13" s="4">
        <f t="shared" si="0"/>
        <v>0.99999999999999989</v>
      </c>
    </row>
    <row r="14" spans="1:3" x14ac:dyDescent="0.35">
      <c r="A14" s="5" t="s">
        <v>11</v>
      </c>
      <c r="B14" s="89">
        <v>-0.41</v>
      </c>
      <c r="C14" s="4">
        <f t="shared" si="0"/>
        <v>0.99999999999999989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/>
  </sheetPr>
  <dimension ref="A1:C15"/>
  <sheetViews>
    <sheetView workbookViewId="0">
      <selection activeCell="D13" sqref="D13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126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127</v>
      </c>
    </row>
    <row r="5" spans="1:3" x14ac:dyDescent="0.35">
      <c r="A5" s="3">
        <v>1</v>
      </c>
      <c r="B5" s="3">
        <f>IF(B2="Minimize",MIN(B11:B14),MAX(B11:B14))</f>
        <v>-0.28999999999999998</v>
      </c>
    </row>
    <row r="6" spans="1:3" x14ac:dyDescent="0.35">
      <c r="A6" s="3">
        <v>0</v>
      </c>
      <c r="B6" s="3">
        <f>IF(B2="Minimize",MAX(B11:B14),MIN(B11:B14))</f>
        <v>0</v>
      </c>
    </row>
    <row r="7" spans="1:3" x14ac:dyDescent="0.35">
      <c r="A7" s="3" t="s">
        <v>4</v>
      </c>
      <c r="B7" s="4">
        <f>(A5-A6)/(B5-B6)</f>
        <v>-3.4482758620689657</v>
      </c>
    </row>
    <row r="8" spans="1:3" x14ac:dyDescent="0.35">
      <c r="A8" s="3" t="s">
        <v>5</v>
      </c>
      <c r="B8" s="4">
        <f>A5-(B7*B5)</f>
        <v>0</v>
      </c>
    </row>
    <row r="10" spans="1:3" x14ac:dyDescent="0.35">
      <c r="A10" s="1" t="s">
        <v>6</v>
      </c>
      <c r="B10" s="2" t="s">
        <v>128</v>
      </c>
      <c r="C10" s="2" t="s">
        <v>3</v>
      </c>
    </row>
    <row r="11" spans="1:3" x14ac:dyDescent="0.35">
      <c r="A11" s="5" t="s">
        <v>8</v>
      </c>
      <c r="B11" s="3">
        <v>0</v>
      </c>
      <c r="C11" s="3">
        <f>B11*$B$7+$B$8</f>
        <v>0</v>
      </c>
    </row>
    <row r="12" spans="1:3" x14ac:dyDescent="0.35">
      <c r="A12" s="5" t="s">
        <v>9</v>
      </c>
      <c r="B12" s="89">
        <v>-0.28999999999999998</v>
      </c>
      <c r="C12" s="3">
        <f t="shared" ref="C12:C14" si="0">B12*$B$7+$B$8</f>
        <v>1</v>
      </c>
    </row>
    <row r="13" spans="1:3" x14ac:dyDescent="0.35">
      <c r="A13" s="5" t="s">
        <v>10</v>
      </c>
      <c r="B13" s="89">
        <v>-0.28999999999999998</v>
      </c>
      <c r="C13" s="3">
        <f t="shared" si="0"/>
        <v>1</v>
      </c>
    </row>
    <row r="14" spans="1:3" x14ac:dyDescent="0.35">
      <c r="A14" s="5" t="s">
        <v>11</v>
      </c>
      <c r="B14" s="89">
        <v>-0.28999999999999998</v>
      </c>
      <c r="C14" s="3">
        <f t="shared" si="0"/>
        <v>1</v>
      </c>
    </row>
    <row r="15" spans="1:3" x14ac:dyDescent="0.35">
      <c r="B15" s="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/>
  </sheetPr>
  <dimension ref="A1:C14"/>
  <sheetViews>
    <sheetView workbookViewId="0">
      <selection activeCell="G16" sqref="G16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129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130</v>
      </c>
    </row>
    <row r="5" spans="1:3" x14ac:dyDescent="0.35">
      <c r="A5" s="3">
        <v>1</v>
      </c>
      <c r="B5" s="4">
        <f>IF(B2="Minimize",MIN(B11:B14),MAX(B11:B14))</f>
        <v>-0.93</v>
      </c>
    </row>
    <row r="6" spans="1:3" x14ac:dyDescent="0.35">
      <c r="A6" s="3">
        <v>0</v>
      </c>
      <c r="B6" s="4">
        <f>IF(B2="Minimize",MAX(B11:B14),MIN(B11:B14))</f>
        <v>0</v>
      </c>
    </row>
    <row r="7" spans="1:3" x14ac:dyDescent="0.35">
      <c r="A7" s="3" t="s">
        <v>4</v>
      </c>
      <c r="B7" s="4">
        <f>(A5-A6)/(B5-B6)</f>
        <v>-1.075268817204301</v>
      </c>
    </row>
    <row r="8" spans="1:3" x14ac:dyDescent="0.35">
      <c r="A8" s="3" t="s">
        <v>5</v>
      </c>
      <c r="B8" s="4">
        <f>A5-(B7*B5)</f>
        <v>0</v>
      </c>
    </row>
    <row r="10" spans="1:3" x14ac:dyDescent="0.35">
      <c r="A10" s="1" t="s">
        <v>6</v>
      </c>
      <c r="B10" s="2" t="s">
        <v>131</v>
      </c>
      <c r="C10" s="2" t="s">
        <v>3</v>
      </c>
    </row>
    <row r="11" spans="1:3" x14ac:dyDescent="0.35">
      <c r="A11" s="5" t="s">
        <v>8</v>
      </c>
      <c r="B11" s="89">
        <v>0</v>
      </c>
      <c r="C11" s="4">
        <f>B11*$B$7+$B$8</f>
        <v>0</v>
      </c>
    </row>
    <row r="12" spans="1:3" x14ac:dyDescent="0.35">
      <c r="A12" s="5" t="s">
        <v>9</v>
      </c>
      <c r="B12" s="89">
        <v>-0.73</v>
      </c>
      <c r="C12" s="4">
        <f t="shared" ref="C12:C14" si="0">B12*$B$7+$B$8</f>
        <v>0.78494623655913975</v>
      </c>
    </row>
    <row r="13" spans="1:3" x14ac:dyDescent="0.35">
      <c r="A13" s="5" t="s">
        <v>10</v>
      </c>
      <c r="B13" s="89">
        <v>-0.93</v>
      </c>
      <c r="C13" s="4">
        <f t="shared" si="0"/>
        <v>1</v>
      </c>
    </row>
    <row r="14" spans="1:3" x14ac:dyDescent="0.35">
      <c r="A14" s="5" t="s">
        <v>11</v>
      </c>
      <c r="B14" s="89">
        <v>-0.93</v>
      </c>
      <c r="C14" s="4">
        <f t="shared" si="0"/>
        <v>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/>
  </sheetPr>
  <dimension ref="A1:C9"/>
  <sheetViews>
    <sheetView workbookViewId="0">
      <selection activeCell="G12" sqref="G12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133</v>
      </c>
    </row>
    <row r="2" spans="1:3" x14ac:dyDescent="0.35">
      <c r="A2" s="1" t="s">
        <v>1</v>
      </c>
      <c r="B2" t="s">
        <v>2</v>
      </c>
    </row>
    <row r="5" spans="1:3" x14ac:dyDescent="0.35">
      <c r="A5" s="1" t="s">
        <v>6</v>
      </c>
      <c r="B5" s="2" t="s">
        <v>132</v>
      </c>
      <c r="C5" s="2" t="s">
        <v>3</v>
      </c>
    </row>
    <row r="6" spans="1:3" x14ac:dyDescent="0.35">
      <c r="A6" s="5" t="s">
        <v>8</v>
      </c>
      <c r="B6" s="3" t="s">
        <v>141</v>
      </c>
      <c r="C6" s="4">
        <f>VLOOKUP(B6,'Constructed Scales'!$B$10:$C$12,2,FALSE)</f>
        <v>0</v>
      </c>
    </row>
    <row r="7" spans="1:3" x14ac:dyDescent="0.35">
      <c r="A7" s="5" t="s">
        <v>9</v>
      </c>
      <c r="B7" s="3" t="s">
        <v>142</v>
      </c>
      <c r="C7" s="4">
        <f>VLOOKUP(B7,'Constructed Scales'!$B$10:$C$12,2,FALSE)</f>
        <v>1</v>
      </c>
    </row>
    <row r="8" spans="1:3" x14ac:dyDescent="0.35">
      <c r="A8" s="5" t="s">
        <v>10</v>
      </c>
      <c r="B8" s="3" t="s">
        <v>143</v>
      </c>
      <c r="C8" s="4">
        <f>VLOOKUP(B8,'Constructed Scales'!$B$10:$C$12,2,FALSE)</f>
        <v>0.5</v>
      </c>
    </row>
    <row r="9" spans="1:3" x14ac:dyDescent="0.35">
      <c r="A9" s="5" t="s">
        <v>11</v>
      </c>
      <c r="B9" s="3" t="s">
        <v>143</v>
      </c>
      <c r="C9" s="4">
        <f>VLOOKUP(B9,'Constructed Scales'!$B$10:$C$12,2,FALSE)</f>
        <v>0.5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/>
  </sheetPr>
  <dimension ref="A1:C14"/>
  <sheetViews>
    <sheetView workbookViewId="0">
      <selection activeCell="B7" sqref="B7"/>
    </sheetView>
  </sheetViews>
  <sheetFormatPr defaultRowHeight="14.5" x14ac:dyDescent="0.35"/>
  <cols>
    <col min="1" max="1" width="34.81640625" bestFit="1" customWidth="1"/>
    <col min="2" max="2" width="30.36328125" bestFit="1" customWidth="1"/>
    <col min="3" max="3" width="11.6328125" customWidth="1"/>
  </cols>
  <sheetData>
    <row r="1" spans="1:3" x14ac:dyDescent="0.35">
      <c r="A1" s="1" t="s">
        <v>134</v>
      </c>
    </row>
    <row r="2" spans="1:3" x14ac:dyDescent="0.35">
      <c r="A2" s="1" t="s">
        <v>1</v>
      </c>
      <c r="B2" t="s">
        <v>73</v>
      </c>
    </row>
    <row r="4" spans="1:3" x14ac:dyDescent="0.35">
      <c r="A4" s="2" t="s">
        <v>3</v>
      </c>
      <c r="B4" s="2" t="s">
        <v>135</v>
      </c>
    </row>
    <row r="5" spans="1:3" x14ac:dyDescent="0.35">
      <c r="A5" s="3">
        <v>1</v>
      </c>
      <c r="B5" s="3">
        <f>IF(B2="Minimize",MIN(B11:B14),MAX(B11:B14))</f>
        <v>0</v>
      </c>
    </row>
    <row r="6" spans="1:3" x14ac:dyDescent="0.35">
      <c r="A6" s="3">
        <v>0</v>
      </c>
      <c r="B6" s="3">
        <f>IF(B2="Minimize",MAX(B11:B14),MIN(B11:B14))</f>
        <v>5</v>
      </c>
    </row>
    <row r="7" spans="1:3" x14ac:dyDescent="0.35">
      <c r="A7" s="3" t="s">
        <v>4</v>
      </c>
      <c r="B7" s="92">
        <f>(A5-A6)/(B5-B6)</f>
        <v>-0.2</v>
      </c>
    </row>
    <row r="8" spans="1:3" x14ac:dyDescent="0.35">
      <c r="A8" s="3" t="s">
        <v>5</v>
      </c>
      <c r="B8" s="4">
        <f>A5-(B7*B5)</f>
        <v>1</v>
      </c>
    </row>
    <row r="10" spans="1:3" x14ac:dyDescent="0.35">
      <c r="A10" s="1" t="s">
        <v>6</v>
      </c>
      <c r="B10" s="2" t="s">
        <v>136</v>
      </c>
      <c r="C10" s="2" t="s">
        <v>3</v>
      </c>
    </row>
    <row r="11" spans="1:3" x14ac:dyDescent="0.35">
      <c r="A11" s="5" t="s">
        <v>8</v>
      </c>
      <c r="B11" s="3">
        <v>0</v>
      </c>
      <c r="C11" s="4">
        <f>B11*$B$7+$B$8</f>
        <v>1</v>
      </c>
    </row>
    <row r="12" spans="1:3" x14ac:dyDescent="0.35">
      <c r="A12" s="5" t="s">
        <v>9</v>
      </c>
      <c r="B12" s="95">
        <f>'Cereal Rye Assumptions'!B9</f>
        <v>5</v>
      </c>
      <c r="C12" s="4">
        <f t="shared" ref="C12:C14" si="0">B12*$B$7+$B$8</f>
        <v>0</v>
      </c>
    </row>
    <row r="13" spans="1:3" x14ac:dyDescent="0.35">
      <c r="A13" s="5" t="s">
        <v>10</v>
      </c>
      <c r="B13" s="3">
        <f>'PGC Assumptions'!B4</f>
        <v>1</v>
      </c>
      <c r="C13" s="4">
        <f t="shared" si="0"/>
        <v>0.8</v>
      </c>
    </row>
    <row r="14" spans="1:3" x14ac:dyDescent="0.35">
      <c r="A14" s="5" t="s">
        <v>11</v>
      </c>
      <c r="B14" s="3">
        <f>'PGC Assumptions'!B4</f>
        <v>1</v>
      </c>
      <c r="C14" s="4">
        <f t="shared" si="0"/>
        <v>0.8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F53"/>
  <sheetViews>
    <sheetView topLeftCell="A34" zoomScale="80" zoomScaleNormal="80" workbookViewId="0">
      <selection activeCell="I43" sqref="I43"/>
    </sheetView>
  </sheetViews>
  <sheetFormatPr defaultRowHeight="14.5" x14ac:dyDescent="0.35"/>
  <cols>
    <col min="1" max="1" width="44.7265625" bestFit="1" customWidth="1"/>
    <col min="2" max="5" width="19.6328125" customWidth="1"/>
    <col min="6" max="6" width="16.08984375" customWidth="1"/>
  </cols>
  <sheetData>
    <row r="1" spans="1:5" ht="43.5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0.6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0.15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0.15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0.3</v>
      </c>
    </row>
    <row r="8" spans="1:5" x14ac:dyDescent="0.35">
      <c r="A8" s="21" t="s">
        <v>37</v>
      </c>
      <c r="B8" s="38"/>
      <c r="C8" s="38"/>
      <c r="D8" s="38">
        <v>0.25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0.125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0.125</v>
      </c>
    </row>
    <row r="13" spans="1:5" x14ac:dyDescent="0.35">
      <c r="A13" s="27" t="s">
        <v>52</v>
      </c>
      <c r="B13" s="41"/>
      <c r="C13" s="41"/>
      <c r="D13" s="41">
        <f>1-D2-D8</f>
        <v>0.15000000000000002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2.5000000000000001E-2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2.5000000000000001E-2</v>
      </c>
    </row>
    <row r="17" spans="1:6" x14ac:dyDescent="0.35">
      <c r="A17" s="29" t="s">
        <v>45</v>
      </c>
      <c r="B17" s="43"/>
      <c r="C17" s="44">
        <v>0.33333333333333331</v>
      </c>
      <c r="D17" s="44"/>
      <c r="E17" s="30"/>
    </row>
    <row r="18" spans="1:6" x14ac:dyDescent="0.35">
      <c r="A18" s="31" t="s">
        <v>46</v>
      </c>
      <c r="B18" s="45">
        <v>0.5</v>
      </c>
      <c r="C18" s="45"/>
      <c r="D18" s="45"/>
      <c r="E18" s="32">
        <f>B18*$C$17*$D$13</f>
        <v>2.5000000000000001E-2</v>
      </c>
    </row>
    <row r="19" spans="1:6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2.5000000000000001E-2</v>
      </c>
    </row>
    <row r="20" spans="1:6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6" x14ac:dyDescent="0.35">
      <c r="A21" s="31" t="s">
        <v>49</v>
      </c>
      <c r="B21" s="45">
        <v>0.33333333333333331</v>
      </c>
      <c r="C21" s="45"/>
      <c r="D21" s="45"/>
      <c r="E21" s="32">
        <f>B21*$C$20*$D$13</f>
        <v>1.6666666666666673E-2</v>
      </c>
    </row>
    <row r="22" spans="1:6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1.6666666666666673E-2</v>
      </c>
    </row>
    <row r="23" spans="1:6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1.666666666666668E-2</v>
      </c>
    </row>
    <row r="25" spans="1:6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6" x14ac:dyDescent="0.35">
      <c r="A26" s="82" t="s">
        <v>32</v>
      </c>
      <c r="B26" s="68"/>
      <c r="C26" s="68"/>
      <c r="D26" s="68"/>
      <c r="E26" s="68"/>
    </row>
    <row r="27" spans="1:6" x14ac:dyDescent="0.35">
      <c r="A27" s="16" t="s">
        <v>33</v>
      </c>
      <c r="B27" s="17"/>
      <c r="C27" s="17"/>
      <c r="D27" s="17"/>
      <c r="E27" s="17"/>
    </row>
    <row r="28" spans="1:6" x14ac:dyDescent="0.35">
      <c r="A28" s="18" t="s">
        <v>34</v>
      </c>
      <c r="B28" s="69">
        <f>$E$4*'Alternative Values'!B5</f>
        <v>0.15</v>
      </c>
      <c r="C28" s="69">
        <f>$E$4*'Alternative Values'!C5</f>
        <v>0</v>
      </c>
      <c r="D28" s="96">
        <f>$E$4*'Alternative Values'!D5</f>
        <v>8.1818181818181804E-2</v>
      </c>
      <c r="E28" s="69">
        <f>$E$4*'Alternative Values'!E5</f>
        <v>0.15</v>
      </c>
    </row>
    <row r="29" spans="1:6" x14ac:dyDescent="0.35">
      <c r="A29" s="18" t="s">
        <v>35</v>
      </c>
      <c r="B29" s="69">
        <f>$E$5*'Alternative Values'!B6</f>
        <v>0.15</v>
      </c>
      <c r="C29" s="69">
        <f>$E$5*'Alternative Values'!C6</f>
        <v>0.15</v>
      </c>
      <c r="D29" s="69">
        <f>$E$5*'Alternative Values'!D6</f>
        <v>0</v>
      </c>
      <c r="E29" s="69">
        <f>$E$5*'Alternative Values'!E6</f>
        <v>0</v>
      </c>
      <c r="F29" s="8"/>
    </row>
    <row r="30" spans="1:6" x14ac:dyDescent="0.35">
      <c r="A30" s="16" t="s">
        <v>36</v>
      </c>
      <c r="B30" s="17"/>
      <c r="C30" s="17"/>
      <c r="D30" s="17"/>
      <c r="E30" s="17"/>
    </row>
    <row r="31" spans="1:6" x14ac:dyDescent="0.35">
      <c r="A31" s="18" t="s">
        <v>36</v>
      </c>
      <c r="B31" s="70">
        <f>$E$7*'Alternative Values'!B8</f>
        <v>0.3</v>
      </c>
      <c r="C31" s="70">
        <f>$E$7*'Alternative Values'!C8</f>
        <v>0</v>
      </c>
      <c r="D31" s="70">
        <f>$E$7*'Alternative Values'!D8</f>
        <v>8.4745762711864694E-2</v>
      </c>
      <c r="E31" s="70">
        <f>$E$7*'Alternative Values'!E8</f>
        <v>0.1908797417271994</v>
      </c>
    </row>
    <row r="32" spans="1:6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0.125</v>
      </c>
      <c r="C34" s="73">
        <f>$E$10*'Alternative Values'!C11</f>
        <v>0</v>
      </c>
      <c r="D34" s="73">
        <f>$E$10*'Alternative Values'!D11</f>
        <v>0.1</v>
      </c>
      <c r="E34" s="73">
        <f>$E$10*'Alternative Values'!E11</f>
        <v>0.1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0.125</v>
      </c>
      <c r="C36" s="73">
        <f>$E$12*'Alternative Values'!C13</f>
        <v>0</v>
      </c>
      <c r="D36" s="73">
        <f>$E$12*'Alternative Values'!D13</f>
        <v>4.9999999999999989E-2</v>
      </c>
      <c r="E36" s="73">
        <f>$E$12*'Alternative Values'!E13</f>
        <v>0.1125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1.8902439024390247E-2</v>
      </c>
      <c r="D39" s="78">
        <f>$E$15*'Alternative Values'!D16</f>
        <v>2.4999999999999998E-2</v>
      </c>
      <c r="E39" s="78">
        <f>$E$15*'Alternative Values'!E16</f>
        <v>2.4999999999999998E-2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2.5000000000000001E-2</v>
      </c>
      <c r="D40" s="78">
        <f>$E$16*'Alternative Values'!D17</f>
        <v>2.5000000000000001E-2</v>
      </c>
      <c r="E40" s="78">
        <f>$E$16*'Alternative Values'!E17</f>
        <v>2.5000000000000001E-2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1.9623655913978494E-2</v>
      </c>
      <c r="D42" s="78">
        <f>$E$18*'Alternative Values'!D19</f>
        <v>2.5000000000000001E-2</v>
      </c>
      <c r="E42" s="78">
        <f>$E$18*'Alternative Values'!E19</f>
        <v>2.5000000000000001E-2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2.5000000000000001E-2</v>
      </c>
      <c r="D43" s="78">
        <f>$E$19*'Alternative Values'!D20</f>
        <v>1.2500000000000001E-2</v>
      </c>
      <c r="E43" s="78">
        <f>$E$19*'Alternative Values'!E20</f>
        <v>1.2500000000000001E-2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1.6666666666666673E-2</v>
      </c>
      <c r="C45" s="78">
        <f>$E$21*'Alternative Values'!C22</f>
        <v>0</v>
      </c>
      <c r="D45" s="78">
        <f>$E$21*'Alternative Values'!D22</f>
        <v>1.3333333333333339E-2</v>
      </c>
      <c r="E45" s="78">
        <f>$E$21*'Alternative Values'!E22</f>
        <v>1.3333333333333339E-2</v>
      </c>
    </row>
    <row r="46" spans="1:5" x14ac:dyDescent="0.35">
      <c r="A46" s="31" t="s">
        <v>50</v>
      </c>
      <c r="B46" s="78">
        <f>$E$22*'Alternative Values'!B23</f>
        <v>8.3333333333333367E-3</v>
      </c>
      <c r="C46" s="78">
        <f>$E$22*'Alternative Values'!C23</f>
        <v>0</v>
      </c>
      <c r="D46" s="78">
        <f>$E$22*'Alternative Values'!D23</f>
        <v>1.6666666666666673E-2</v>
      </c>
      <c r="E46" s="78">
        <f>$E$22*'Alternative Values'!E23</f>
        <v>1.6666666666666673E-2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1.666666666666668E-2</v>
      </c>
      <c r="D47" s="78">
        <f>$E$23*'Alternative Values'!D24</f>
        <v>8.3333333333333402E-3</v>
      </c>
      <c r="E47" s="78">
        <f>$E$23*'Alternative Values'!E24</f>
        <v>8.3333333333333402E-3</v>
      </c>
    </row>
    <row r="48" spans="1:5" x14ac:dyDescent="0.35">
      <c r="A48" s="80" t="s">
        <v>121</v>
      </c>
      <c r="B48" s="81">
        <f>SUM(B28:B47)</f>
        <v>0.875</v>
      </c>
      <c r="C48" s="81">
        <f t="shared" ref="C48:E48" si="1">SUM(C28:C47)</f>
        <v>0.2551927616050354</v>
      </c>
      <c r="D48" s="81">
        <f t="shared" si="1"/>
        <v>0.44239727786337996</v>
      </c>
      <c r="E48" s="81">
        <f t="shared" si="1"/>
        <v>0.67921307506053274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0.6</v>
      </c>
      <c r="C51" s="87">
        <f>SUM(C28:C31)</f>
        <v>0.15</v>
      </c>
      <c r="D51" s="87">
        <f t="shared" ref="D51:E51" si="2">SUM(D28:D31)</f>
        <v>0.1665639445300465</v>
      </c>
      <c r="E51" s="87">
        <f t="shared" si="2"/>
        <v>0.34087974172719937</v>
      </c>
    </row>
    <row r="52" spans="1:5" x14ac:dyDescent="0.35">
      <c r="A52" s="84" t="s">
        <v>37</v>
      </c>
      <c r="B52" s="88">
        <f>SUM(B34:B36)</f>
        <v>0.25</v>
      </c>
      <c r="C52" s="88">
        <f>SUM(C34:C36)</f>
        <v>0</v>
      </c>
      <c r="D52" s="88">
        <f t="shared" ref="D52:E52" si="3">SUM(D34:D36)</f>
        <v>0.15</v>
      </c>
      <c r="E52" s="88">
        <f t="shared" si="3"/>
        <v>0.21250000000000002</v>
      </c>
    </row>
    <row r="53" spans="1:5" x14ac:dyDescent="0.35">
      <c r="A53" s="83" t="s">
        <v>52</v>
      </c>
      <c r="B53" s="86">
        <f>SUM(B39:B47)</f>
        <v>2.5000000000000008E-2</v>
      </c>
      <c r="C53" s="86">
        <f>SUM(C39:C47)</f>
        <v>0.10519276160503542</v>
      </c>
      <c r="D53" s="86">
        <f t="shared" ref="D53:E53" si="4">SUM(D39:D47)</f>
        <v>0.12583333333333335</v>
      </c>
      <c r="E53" s="86">
        <f t="shared" si="4"/>
        <v>0.12583333333333335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/>
  </sheetPr>
  <dimension ref="A1:C9"/>
  <sheetViews>
    <sheetView workbookViewId="0">
      <selection activeCell="B16" sqref="B16"/>
    </sheetView>
  </sheetViews>
  <sheetFormatPr defaultRowHeight="14.5" x14ac:dyDescent="0.35"/>
  <cols>
    <col min="1" max="1" width="19.7265625" customWidth="1"/>
    <col min="2" max="2" width="21.7265625" bestFit="1" customWidth="1"/>
    <col min="3" max="3" width="11.6328125" customWidth="1"/>
  </cols>
  <sheetData>
    <row r="1" spans="1:3" x14ac:dyDescent="0.35">
      <c r="A1" s="1" t="s">
        <v>137</v>
      </c>
    </row>
    <row r="2" spans="1:3" x14ac:dyDescent="0.35">
      <c r="A2" s="1" t="s">
        <v>1</v>
      </c>
      <c r="B2" t="s">
        <v>73</v>
      </c>
    </row>
    <row r="5" spans="1:3" ht="16.5" x14ac:dyDescent="0.45">
      <c r="A5" s="1" t="s">
        <v>6</v>
      </c>
      <c r="B5" s="2" t="s">
        <v>146</v>
      </c>
      <c r="C5" s="2" t="s">
        <v>3</v>
      </c>
    </row>
    <row r="6" spans="1:3" x14ac:dyDescent="0.35">
      <c r="A6" s="5" t="s">
        <v>8</v>
      </c>
      <c r="B6" s="3" t="s">
        <v>143</v>
      </c>
      <c r="C6" s="4">
        <f>VLOOKUP(B6,'Constructed Scales'!$B$4:$C$6,2,FALSE)</f>
        <v>0.5</v>
      </c>
    </row>
    <row r="7" spans="1:3" x14ac:dyDescent="0.35">
      <c r="A7" s="5" t="s">
        <v>9</v>
      </c>
      <c r="B7" s="3" t="s">
        <v>142</v>
      </c>
      <c r="C7" s="4">
        <f>VLOOKUP(B7,'Constructed Scales'!$B$4:$C$6,2,FALSE)</f>
        <v>0</v>
      </c>
    </row>
    <row r="8" spans="1:3" x14ac:dyDescent="0.35">
      <c r="A8" s="5" t="s">
        <v>10</v>
      </c>
      <c r="B8" s="3" t="s">
        <v>141</v>
      </c>
      <c r="C8" s="4">
        <f>VLOOKUP(B8,'Constructed Scales'!$B$4:$C$6,2,FALSE)</f>
        <v>1</v>
      </c>
    </row>
    <row r="9" spans="1:3" x14ac:dyDescent="0.35">
      <c r="A9" s="5" t="s">
        <v>11</v>
      </c>
      <c r="B9" s="3" t="s">
        <v>141</v>
      </c>
      <c r="C9" s="4">
        <f>VLOOKUP(B9,'Constructed Scales'!$B$4:$C$6,2,FALSE)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</sheetPr>
  <dimension ref="A1:C9"/>
  <sheetViews>
    <sheetView workbookViewId="0">
      <selection activeCell="C6" sqref="C6"/>
    </sheetView>
  </sheetViews>
  <sheetFormatPr defaultRowHeight="14.5" x14ac:dyDescent="0.35"/>
  <cols>
    <col min="1" max="1" width="19.7265625" customWidth="1"/>
    <col min="2" max="2" width="32" bestFit="1" customWidth="1"/>
    <col min="3" max="3" width="11.6328125" customWidth="1"/>
  </cols>
  <sheetData>
    <row r="1" spans="1:3" x14ac:dyDescent="0.35">
      <c r="A1" s="1" t="s">
        <v>138</v>
      </c>
    </row>
    <row r="2" spans="1:3" x14ac:dyDescent="0.35">
      <c r="A2" s="1" t="s">
        <v>1</v>
      </c>
      <c r="B2" t="s">
        <v>2</v>
      </c>
    </row>
    <row r="5" spans="1:3" x14ac:dyDescent="0.35">
      <c r="A5" s="1" t="s">
        <v>6</v>
      </c>
      <c r="B5" s="2" t="s">
        <v>139</v>
      </c>
      <c r="C5" s="2" t="s">
        <v>3</v>
      </c>
    </row>
    <row r="6" spans="1:3" x14ac:dyDescent="0.35">
      <c r="A6" s="5" t="s">
        <v>8</v>
      </c>
      <c r="B6" s="3" t="s">
        <v>141</v>
      </c>
      <c r="C6" s="4">
        <f>VLOOKUP(B6,'Constructed Scales'!$B$10:$C$12,2,FALSE)</f>
        <v>0</v>
      </c>
    </row>
    <row r="7" spans="1:3" x14ac:dyDescent="0.35">
      <c r="A7" s="5" t="s">
        <v>9</v>
      </c>
      <c r="B7" s="3" t="s">
        <v>142</v>
      </c>
      <c r="C7" s="4">
        <f>VLOOKUP(B7,'Constructed Scales'!$B$10:$C$12,2,FALSE)</f>
        <v>1</v>
      </c>
    </row>
    <row r="8" spans="1:3" x14ac:dyDescent="0.35">
      <c r="A8" s="5" t="s">
        <v>10</v>
      </c>
      <c r="B8" s="3" t="s">
        <v>143</v>
      </c>
      <c r="C8" s="4">
        <f>VLOOKUP(B8,'Constructed Scales'!$B$10:$C$12,2,FALSE)</f>
        <v>0.5</v>
      </c>
    </row>
    <row r="9" spans="1:3" x14ac:dyDescent="0.35">
      <c r="A9" s="5" t="s">
        <v>11</v>
      </c>
      <c r="B9" s="3" t="s">
        <v>143</v>
      </c>
      <c r="C9" s="4">
        <f>VLOOKUP(B9,'Constructed Scales'!$B$10:$C$12,2,FALSE)</f>
        <v>0.5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0000000}">
          <x14:formula1>
            <xm:f>'Conversion Factors'!$B$10:$B$11</xm:f>
          </x14:formula1>
          <xm:sqref>B2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E12"/>
  <sheetViews>
    <sheetView workbookViewId="0">
      <selection activeCell="C11" sqref="C11"/>
    </sheetView>
  </sheetViews>
  <sheetFormatPr defaultRowHeight="14.5" x14ac:dyDescent="0.35"/>
  <sheetData>
    <row r="1" spans="2:5" ht="15" thickBot="1" x14ac:dyDescent="0.4"/>
    <row r="2" spans="2:5" x14ac:dyDescent="0.35">
      <c r="B2" s="102" t="s">
        <v>144</v>
      </c>
      <c r="C2" s="103"/>
      <c r="D2" s="103"/>
      <c r="E2" s="104"/>
    </row>
    <row r="3" spans="2:5" x14ac:dyDescent="0.35">
      <c r="B3" s="105" t="s">
        <v>145</v>
      </c>
      <c r="C3" s="1" t="s">
        <v>3</v>
      </c>
      <c r="E3" s="98"/>
    </row>
    <row r="4" spans="2:5" x14ac:dyDescent="0.35">
      <c r="B4" s="97" t="s">
        <v>142</v>
      </c>
      <c r="C4">
        <v>0</v>
      </c>
      <c r="E4" s="98"/>
    </row>
    <row r="5" spans="2:5" x14ac:dyDescent="0.35">
      <c r="B5" s="97" t="s">
        <v>143</v>
      </c>
      <c r="C5">
        <v>0.5</v>
      </c>
      <c r="E5" s="98"/>
    </row>
    <row r="6" spans="2:5" ht="15" thickBot="1" x14ac:dyDescent="0.4">
      <c r="B6" s="99" t="s">
        <v>141</v>
      </c>
      <c r="C6" s="100">
        <v>1</v>
      </c>
      <c r="D6" s="100"/>
      <c r="E6" s="101"/>
    </row>
    <row r="7" spans="2:5" ht="15" thickBot="1" x14ac:dyDescent="0.4"/>
    <row r="8" spans="2:5" x14ac:dyDescent="0.35">
      <c r="B8" s="102" t="s">
        <v>159</v>
      </c>
      <c r="C8" s="103"/>
      <c r="D8" s="103"/>
      <c r="E8" s="104"/>
    </row>
    <row r="9" spans="2:5" x14ac:dyDescent="0.35">
      <c r="B9" s="105" t="s">
        <v>145</v>
      </c>
      <c r="C9" s="1" t="s">
        <v>3</v>
      </c>
      <c r="E9" s="98"/>
    </row>
    <row r="10" spans="2:5" x14ac:dyDescent="0.35">
      <c r="B10" s="97" t="s">
        <v>142</v>
      </c>
      <c r="C10">
        <v>1</v>
      </c>
      <c r="E10" s="98"/>
    </row>
    <row r="11" spans="2:5" x14ac:dyDescent="0.35">
      <c r="B11" s="97" t="s">
        <v>143</v>
      </c>
      <c r="C11">
        <v>0.5</v>
      </c>
      <c r="E11" s="98"/>
    </row>
    <row r="12" spans="2:5" ht="15" thickBot="1" x14ac:dyDescent="0.4">
      <c r="B12" s="99" t="s">
        <v>141</v>
      </c>
      <c r="C12" s="100">
        <v>0</v>
      </c>
      <c r="D12" s="100"/>
      <c r="E12" s="1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E53"/>
  <sheetViews>
    <sheetView topLeftCell="A36" workbookViewId="0">
      <selection activeCell="E51" sqref="E51"/>
    </sheetView>
  </sheetViews>
  <sheetFormatPr defaultRowHeight="14.5" x14ac:dyDescent="0.35"/>
  <cols>
    <col min="1" max="1" width="44.7265625" bestFit="1" customWidth="1"/>
    <col min="2" max="5" width="19.6328125" customWidth="1"/>
    <col min="6" max="6" width="16.08984375" customWidth="1"/>
  </cols>
  <sheetData>
    <row r="1" spans="1:5" ht="43.5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0.7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0.17499999999999999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0.17499999999999999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0.35</v>
      </c>
    </row>
    <row r="8" spans="1:5" x14ac:dyDescent="0.35">
      <c r="A8" s="21" t="s">
        <v>37</v>
      </c>
      <c r="B8" s="38"/>
      <c r="C8" s="38"/>
      <c r="D8" s="38">
        <v>0.1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0.05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0.05</v>
      </c>
    </row>
    <row r="13" spans="1:5" x14ac:dyDescent="0.35">
      <c r="A13" s="27" t="s">
        <v>52</v>
      </c>
      <c r="B13" s="41"/>
      <c r="C13" s="41"/>
      <c r="D13" s="41">
        <f>1-D2-D8</f>
        <v>0.20000000000000004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3.333333333333334E-2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3.333333333333334E-2</v>
      </c>
    </row>
    <row r="17" spans="1:5" x14ac:dyDescent="0.35">
      <c r="A17" s="29" t="s">
        <v>45</v>
      </c>
      <c r="B17" s="43"/>
      <c r="C17" s="44">
        <v>0.33333333333333331</v>
      </c>
      <c r="D17" s="44"/>
      <c r="E17" s="30"/>
    </row>
    <row r="18" spans="1:5" x14ac:dyDescent="0.35">
      <c r="A18" s="31" t="s">
        <v>46</v>
      </c>
      <c r="B18" s="45">
        <v>0.5</v>
      </c>
      <c r="C18" s="45"/>
      <c r="D18" s="45"/>
      <c r="E18" s="32">
        <f>B18*$C$17*$D$13</f>
        <v>3.333333333333334E-2</v>
      </c>
    </row>
    <row r="19" spans="1:5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3.333333333333334E-2</v>
      </c>
    </row>
    <row r="20" spans="1:5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5" x14ac:dyDescent="0.35">
      <c r="A21" s="31" t="s">
        <v>49</v>
      </c>
      <c r="B21" s="45">
        <v>0.33333333333333331</v>
      </c>
      <c r="C21" s="45"/>
      <c r="D21" s="45"/>
      <c r="E21" s="32">
        <f>B21*$C$20*$D$13</f>
        <v>2.222222222222223E-2</v>
      </c>
    </row>
    <row r="22" spans="1:5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2.222222222222223E-2</v>
      </c>
    </row>
    <row r="23" spans="1:5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2.222222222222224E-2</v>
      </c>
    </row>
    <row r="25" spans="1:5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5" x14ac:dyDescent="0.35">
      <c r="A26" s="82" t="s">
        <v>32</v>
      </c>
      <c r="B26" s="68"/>
      <c r="C26" s="68"/>
      <c r="D26" s="68"/>
      <c r="E26" s="68"/>
    </row>
    <row r="27" spans="1:5" x14ac:dyDescent="0.35">
      <c r="A27" s="16" t="s">
        <v>33</v>
      </c>
      <c r="B27" s="17"/>
      <c r="C27" s="17"/>
      <c r="D27" s="17"/>
      <c r="E27" s="17"/>
    </row>
    <row r="28" spans="1:5" x14ac:dyDescent="0.35">
      <c r="A28" s="18" t="s">
        <v>34</v>
      </c>
      <c r="B28" s="69">
        <f>$E$4*'Alternative Values'!B5</f>
        <v>0.17499999999999999</v>
      </c>
      <c r="C28" s="69">
        <f>$E$4*'Alternative Values'!C5</f>
        <v>0</v>
      </c>
      <c r="D28" s="96">
        <f>$E$4*'Alternative Values'!D5</f>
        <v>9.5454545454545445E-2</v>
      </c>
      <c r="E28" s="69">
        <f>$E$4*'Alternative Values'!E5</f>
        <v>0.17499999999999999</v>
      </c>
    </row>
    <row r="29" spans="1:5" x14ac:dyDescent="0.35">
      <c r="A29" s="18" t="s">
        <v>35</v>
      </c>
      <c r="B29" s="69">
        <f>$E$5*'Alternative Values'!B6</f>
        <v>0.17499999999999999</v>
      </c>
      <c r="C29" s="69">
        <f>$E$5*'Alternative Values'!C6</f>
        <v>0.17499999999999999</v>
      </c>
      <c r="D29" s="69">
        <f>$E$5*'Alternative Values'!D6</f>
        <v>0</v>
      </c>
      <c r="E29" s="69">
        <f>$E$5*'Alternative Values'!E6</f>
        <v>0</v>
      </c>
    </row>
    <row r="30" spans="1:5" x14ac:dyDescent="0.35">
      <c r="A30" s="16" t="s">
        <v>36</v>
      </c>
      <c r="B30" s="17"/>
      <c r="C30" s="17"/>
      <c r="D30" s="17"/>
      <c r="E30" s="17"/>
    </row>
    <row r="31" spans="1:5" x14ac:dyDescent="0.35">
      <c r="A31" s="18" t="s">
        <v>36</v>
      </c>
      <c r="B31" s="70">
        <f>$E$7*'Alternative Values'!B8</f>
        <v>0.35</v>
      </c>
      <c r="C31" s="70">
        <f>$E$7*'Alternative Values'!C8</f>
        <v>0</v>
      </c>
      <c r="D31" s="70">
        <f>$E$7*'Alternative Values'!D8</f>
        <v>9.8870056497175465E-2</v>
      </c>
      <c r="E31" s="70">
        <f>$E$7*'Alternative Values'!E8</f>
        <v>0.22269303201506596</v>
      </c>
    </row>
    <row r="32" spans="1:5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0.05</v>
      </c>
      <c r="C34" s="73">
        <f>$E$10*'Alternative Values'!C11</f>
        <v>0</v>
      </c>
      <c r="D34" s="73">
        <f>$E$10*'Alternative Values'!D11</f>
        <v>4.0000000000000008E-2</v>
      </c>
      <c r="E34" s="73">
        <f>$E$10*'Alternative Values'!E11</f>
        <v>4.0000000000000008E-2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0.05</v>
      </c>
      <c r="C36" s="73">
        <f>$E$12*'Alternative Values'!C13</f>
        <v>0</v>
      </c>
      <c r="D36" s="73">
        <f>$E$12*'Alternative Values'!D13</f>
        <v>1.9999999999999997E-2</v>
      </c>
      <c r="E36" s="73">
        <f>$E$12*'Alternative Values'!E13</f>
        <v>4.5000000000000005E-2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2.5203252032520329E-2</v>
      </c>
      <c r="D39" s="78">
        <f>$E$15*'Alternative Values'!D16</f>
        <v>3.3333333333333333E-2</v>
      </c>
      <c r="E39" s="78">
        <f>$E$15*'Alternative Values'!E16</f>
        <v>3.3333333333333333E-2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3.333333333333334E-2</v>
      </c>
      <c r="D40" s="78">
        <f>$E$16*'Alternative Values'!D17</f>
        <v>3.333333333333334E-2</v>
      </c>
      <c r="E40" s="78">
        <f>$E$16*'Alternative Values'!E17</f>
        <v>3.333333333333334E-2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2.6164874551971331E-2</v>
      </c>
      <c r="D42" s="78">
        <f>$E$18*'Alternative Values'!D19</f>
        <v>3.333333333333334E-2</v>
      </c>
      <c r="E42" s="78">
        <f>$E$18*'Alternative Values'!E19</f>
        <v>3.333333333333334E-2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3.333333333333334E-2</v>
      </c>
      <c r="D43" s="78">
        <f>$E$19*'Alternative Values'!D20</f>
        <v>1.666666666666667E-2</v>
      </c>
      <c r="E43" s="78">
        <f>$E$19*'Alternative Values'!E20</f>
        <v>1.666666666666667E-2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2.222222222222223E-2</v>
      </c>
      <c r="C45" s="78">
        <f>$E$21*'Alternative Values'!C22</f>
        <v>0</v>
      </c>
      <c r="D45" s="78">
        <f>$E$21*'Alternative Values'!D22</f>
        <v>1.7777777777777785E-2</v>
      </c>
      <c r="E45" s="78">
        <f>$E$21*'Alternative Values'!E22</f>
        <v>1.7777777777777785E-2</v>
      </c>
    </row>
    <row r="46" spans="1:5" x14ac:dyDescent="0.35">
      <c r="A46" s="31" t="s">
        <v>50</v>
      </c>
      <c r="B46" s="78">
        <f>$E$22*'Alternative Values'!B23</f>
        <v>1.1111111111111115E-2</v>
      </c>
      <c r="C46" s="78">
        <f>$E$22*'Alternative Values'!C23</f>
        <v>0</v>
      </c>
      <c r="D46" s="78">
        <f>$E$22*'Alternative Values'!D23</f>
        <v>2.222222222222223E-2</v>
      </c>
      <c r="E46" s="78">
        <f>$E$22*'Alternative Values'!E23</f>
        <v>2.222222222222223E-2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2.222222222222224E-2</v>
      </c>
      <c r="D47" s="78">
        <f>$E$23*'Alternative Values'!D24</f>
        <v>1.111111111111112E-2</v>
      </c>
      <c r="E47" s="78">
        <f>$E$23*'Alternative Values'!E24</f>
        <v>1.111111111111112E-2</v>
      </c>
    </row>
    <row r="48" spans="1:5" x14ac:dyDescent="0.35">
      <c r="A48" s="80" t="s">
        <v>121</v>
      </c>
      <c r="B48" s="81">
        <f>SUM(B28:B47)</f>
        <v>0.83333333333333337</v>
      </c>
      <c r="C48" s="81">
        <f t="shared" ref="C48:E48" si="1">SUM(C28:C47)</f>
        <v>0.31525701547338053</v>
      </c>
      <c r="D48" s="81">
        <f t="shared" si="1"/>
        <v>0.42210237972949871</v>
      </c>
      <c r="E48" s="81">
        <f t="shared" si="1"/>
        <v>0.65047080979284377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0.7</v>
      </c>
      <c r="C51" s="87">
        <f t="shared" ref="C51:E51" si="2">SUM(C28:C31)</f>
        <v>0.17499999999999999</v>
      </c>
      <c r="D51" s="87">
        <f t="shared" si="2"/>
        <v>0.19432460195172091</v>
      </c>
      <c r="E51" s="87">
        <f t="shared" si="2"/>
        <v>0.39769303201506595</v>
      </c>
    </row>
    <row r="52" spans="1:5" x14ac:dyDescent="0.35">
      <c r="A52" s="84" t="s">
        <v>37</v>
      </c>
      <c r="B52" s="88">
        <f>SUM(B34:B36)</f>
        <v>0.1</v>
      </c>
      <c r="C52" s="88">
        <f t="shared" ref="C52:E52" si="3">SUM(C34:C36)</f>
        <v>0</v>
      </c>
      <c r="D52" s="88">
        <f t="shared" si="3"/>
        <v>6.0000000000000005E-2</v>
      </c>
      <c r="E52" s="88">
        <f t="shared" si="3"/>
        <v>8.500000000000002E-2</v>
      </c>
    </row>
    <row r="53" spans="1:5" x14ac:dyDescent="0.35">
      <c r="A53" s="83" t="s">
        <v>52</v>
      </c>
      <c r="B53" s="86">
        <f>SUM(B39:B47)</f>
        <v>3.3333333333333347E-2</v>
      </c>
      <c r="C53" s="86">
        <f t="shared" ref="C53:E53" si="4">SUM(C39:C47)</f>
        <v>0.1402570154733806</v>
      </c>
      <c r="D53" s="86">
        <f t="shared" si="4"/>
        <v>0.16777777777777783</v>
      </c>
      <c r="E53" s="86">
        <f t="shared" si="4"/>
        <v>0.16777777777777783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-0.249977111117893"/>
  </sheetPr>
  <dimension ref="A1:E57"/>
  <sheetViews>
    <sheetView zoomScaleNormal="100" workbookViewId="0">
      <selection activeCell="E44" sqref="E44"/>
    </sheetView>
  </sheetViews>
  <sheetFormatPr defaultRowHeight="14.5" x14ac:dyDescent="0.35"/>
  <cols>
    <col min="1" max="1" width="44.7265625" bestFit="1" customWidth="1"/>
    <col min="2" max="5" width="19.6328125" customWidth="1"/>
    <col min="6" max="6" width="16.08984375" customWidth="1"/>
  </cols>
  <sheetData>
    <row r="1" spans="1:5" ht="43.5" x14ac:dyDescent="0.35">
      <c r="B1" s="12" t="s">
        <v>28</v>
      </c>
      <c r="C1" s="12" t="s">
        <v>29</v>
      </c>
      <c r="D1" s="12" t="s">
        <v>30</v>
      </c>
      <c r="E1" s="13" t="s">
        <v>31</v>
      </c>
    </row>
    <row r="2" spans="1:5" x14ac:dyDescent="0.35">
      <c r="A2" s="14" t="s">
        <v>32</v>
      </c>
      <c r="B2" s="42"/>
      <c r="C2" s="42"/>
      <c r="D2" s="33">
        <v>0.6</v>
      </c>
      <c r="E2" s="15"/>
    </row>
    <row r="3" spans="1:5" x14ac:dyDescent="0.35">
      <c r="A3" s="16" t="s">
        <v>33</v>
      </c>
      <c r="B3" s="34"/>
      <c r="C3" s="34">
        <v>0.5</v>
      </c>
      <c r="D3" s="34"/>
      <c r="E3" s="17"/>
    </row>
    <row r="4" spans="1:5" x14ac:dyDescent="0.35">
      <c r="A4" s="18" t="s">
        <v>34</v>
      </c>
      <c r="B4" s="35">
        <v>0.5</v>
      </c>
      <c r="C4" s="35"/>
      <c r="D4" s="35"/>
      <c r="E4" s="19">
        <f>B4*$C$3*$D$2</f>
        <v>0.15</v>
      </c>
    </row>
    <row r="5" spans="1:5" x14ac:dyDescent="0.35">
      <c r="A5" s="18" t="s">
        <v>35</v>
      </c>
      <c r="B5" s="35">
        <f>1-B4</f>
        <v>0.5</v>
      </c>
      <c r="C5" s="35"/>
      <c r="D5" s="35"/>
      <c r="E5" s="19">
        <f>B5*$C$3*$D$2</f>
        <v>0.15</v>
      </c>
    </row>
    <row r="6" spans="1:5" x14ac:dyDescent="0.35">
      <c r="A6" s="16" t="s">
        <v>36</v>
      </c>
      <c r="B6" s="36"/>
      <c r="C6" s="36">
        <f>1-C3</f>
        <v>0.5</v>
      </c>
      <c r="D6" s="36"/>
      <c r="E6" s="20"/>
    </row>
    <row r="7" spans="1:5" x14ac:dyDescent="0.35">
      <c r="A7" s="18" t="s">
        <v>36</v>
      </c>
      <c r="B7" s="37">
        <v>1</v>
      </c>
      <c r="C7" s="37"/>
      <c r="D7" s="37"/>
      <c r="E7" s="19">
        <f>B7*C6*D2</f>
        <v>0.3</v>
      </c>
    </row>
    <row r="8" spans="1:5" x14ac:dyDescent="0.35">
      <c r="A8" s="21" t="s">
        <v>37</v>
      </c>
      <c r="B8" s="38"/>
      <c r="C8" s="38"/>
      <c r="D8" s="38">
        <v>0.3</v>
      </c>
      <c r="E8" s="22"/>
    </row>
    <row r="9" spans="1:5" x14ac:dyDescent="0.35">
      <c r="A9" s="23" t="s">
        <v>38</v>
      </c>
      <c r="B9" s="39"/>
      <c r="C9" s="39">
        <v>0.5</v>
      </c>
      <c r="D9" s="39"/>
      <c r="E9" s="24"/>
    </row>
    <row r="10" spans="1:5" x14ac:dyDescent="0.35">
      <c r="A10" s="25" t="s">
        <v>39</v>
      </c>
      <c r="B10" s="40">
        <v>1</v>
      </c>
      <c r="C10" s="40"/>
      <c r="D10" s="40"/>
      <c r="E10" s="26">
        <f>B10*C9*D8</f>
        <v>0.15</v>
      </c>
    </row>
    <row r="11" spans="1:5" x14ac:dyDescent="0.35">
      <c r="A11" s="23" t="s">
        <v>40</v>
      </c>
      <c r="B11" s="39"/>
      <c r="C11" s="39">
        <f>1-C9</f>
        <v>0.5</v>
      </c>
      <c r="D11" s="39"/>
      <c r="E11" s="24"/>
    </row>
    <row r="12" spans="1:5" x14ac:dyDescent="0.35">
      <c r="A12" s="25" t="s">
        <v>41</v>
      </c>
      <c r="B12" s="40">
        <v>1</v>
      </c>
      <c r="C12" s="40"/>
      <c r="D12" s="40"/>
      <c r="E12" s="26">
        <f>C11*D8*B12</f>
        <v>0.15</v>
      </c>
    </row>
    <row r="13" spans="1:5" x14ac:dyDescent="0.35">
      <c r="A13" s="27" t="s">
        <v>52</v>
      </c>
      <c r="B13" s="41"/>
      <c r="C13" s="41"/>
      <c r="D13" s="41">
        <f>1-D2-D8</f>
        <v>0.10000000000000003</v>
      </c>
      <c r="E13" s="28"/>
    </row>
    <row r="14" spans="1:5" x14ac:dyDescent="0.35">
      <c r="A14" s="29" t="s">
        <v>42</v>
      </c>
      <c r="B14" s="43"/>
      <c r="C14" s="44">
        <v>0.33333333333333331</v>
      </c>
      <c r="D14" s="44"/>
      <c r="E14" s="30"/>
    </row>
    <row r="15" spans="1:5" x14ac:dyDescent="0.35">
      <c r="A15" s="31" t="s">
        <v>43</v>
      </c>
      <c r="B15" s="45">
        <v>0.5</v>
      </c>
      <c r="C15" s="45"/>
      <c r="D15" s="45"/>
      <c r="E15" s="32">
        <f>B15*$C$14*$D$13</f>
        <v>1.666666666666667E-2</v>
      </c>
    </row>
    <row r="16" spans="1:5" x14ac:dyDescent="0.35">
      <c r="A16" s="31" t="s">
        <v>44</v>
      </c>
      <c r="B16" s="45">
        <f>1-B15</f>
        <v>0.5</v>
      </c>
      <c r="C16" s="45"/>
      <c r="D16" s="45"/>
      <c r="E16" s="32">
        <f>B16*$C$14*$D$13</f>
        <v>1.666666666666667E-2</v>
      </c>
    </row>
    <row r="17" spans="1:5" x14ac:dyDescent="0.35">
      <c r="A17" s="29" t="s">
        <v>45</v>
      </c>
      <c r="B17" s="43"/>
      <c r="C17" s="44">
        <v>0.33333333333333331</v>
      </c>
      <c r="D17" s="44"/>
      <c r="E17" s="30"/>
    </row>
    <row r="18" spans="1:5" x14ac:dyDescent="0.35">
      <c r="A18" s="31" t="s">
        <v>46</v>
      </c>
      <c r="B18" s="45">
        <v>0.5</v>
      </c>
      <c r="C18" s="45"/>
      <c r="D18" s="45"/>
      <c r="E18" s="32">
        <f>B18*$C$17*$D$13</f>
        <v>1.666666666666667E-2</v>
      </c>
    </row>
    <row r="19" spans="1:5" x14ac:dyDescent="0.35">
      <c r="A19" s="31" t="s">
        <v>47</v>
      </c>
      <c r="B19" s="45">
        <f>1-B18</f>
        <v>0.5</v>
      </c>
      <c r="C19" s="45"/>
      <c r="D19" s="45"/>
      <c r="E19" s="32">
        <f>B19*$C$17*$D$13</f>
        <v>1.666666666666667E-2</v>
      </c>
    </row>
    <row r="20" spans="1:5" x14ac:dyDescent="0.35">
      <c r="A20" s="29" t="s">
        <v>48</v>
      </c>
      <c r="B20" s="43"/>
      <c r="C20" s="44">
        <f>1-C14-C17</f>
        <v>0.33333333333333343</v>
      </c>
      <c r="D20" s="44"/>
      <c r="E20" s="30"/>
    </row>
    <row r="21" spans="1:5" x14ac:dyDescent="0.35">
      <c r="A21" s="31" t="s">
        <v>49</v>
      </c>
      <c r="B21" s="45">
        <v>0.33333333333333331</v>
      </c>
      <c r="C21" s="45"/>
      <c r="D21" s="45"/>
      <c r="E21" s="32">
        <f>B21*$C$20*$D$13</f>
        <v>1.1111111111111117E-2</v>
      </c>
    </row>
    <row r="22" spans="1:5" x14ac:dyDescent="0.35">
      <c r="A22" s="31" t="s">
        <v>50</v>
      </c>
      <c r="B22" s="45">
        <v>0.33333333333333331</v>
      </c>
      <c r="C22" s="45"/>
      <c r="D22" s="45"/>
      <c r="E22" s="32">
        <f t="shared" ref="E22:E23" si="0">B22*$C$20*$D$13</f>
        <v>1.1111111111111117E-2</v>
      </c>
    </row>
    <row r="23" spans="1:5" x14ac:dyDescent="0.35">
      <c r="A23" s="31" t="s">
        <v>51</v>
      </c>
      <c r="B23" s="45">
        <f>1-B22-B21</f>
        <v>0.33333333333333343</v>
      </c>
      <c r="C23" s="45"/>
      <c r="D23" s="45"/>
      <c r="E23" s="32">
        <f t="shared" si="0"/>
        <v>1.1111111111111122E-2</v>
      </c>
    </row>
    <row r="25" spans="1:5" x14ac:dyDescent="0.35">
      <c r="B25" s="2" t="s">
        <v>8</v>
      </c>
      <c r="C25" s="2" t="s">
        <v>9</v>
      </c>
      <c r="D25" s="2" t="s">
        <v>10</v>
      </c>
      <c r="E25" s="2" t="s">
        <v>11</v>
      </c>
    </row>
    <row r="26" spans="1:5" x14ac:dyDescent="0.35">
      <c r="A26" s="82" t="s">
        <v>32</v>
      </c>
      <c r="B26" s="68"/>
      <c r="C26" s="68"/>
      <c r="D26" s="68"/>
      <c r="E26" s="68"/>
    </row>
    <row r="27" spans="1:5" x14ac:dyDescent="0.35">
      <c r="A27" s="16" t="s">
        <v>33</v>
      </c>
      <c r="B27" s="17"/>
      <c r="C27" s="17"/>
      <c r="D27" s="17"/>
      <c r="E27" s="17"/>
    </row>
    <row r="28" spans="1:5" x14ac:dyDescent="0.35">
      <c r="A28" s="18" t="s">
        <v>34</v>
      </c>
      <c r="B28" s="70">
        <f>$E$4*'Alternative Values'!B5</f>
        <v>0.15</v>
      </c>
      <c r="C28" s="70">
        <f>$E$4*'Alternative Values'!C5</f>
        <v>0</v>
      </c>
      <c r="D28" s="70">
        <f>$E$4*'Alternative Values'!D5</f>
        <v>8.1818181818181804E-2</v>
      </c>
      <c r="E28" s="70">
        <f>$E$4*'Alternative Values'!E5</f>
        <v>0.15</v>
      </c>
    </row>
    <row r="29" spans="1:5" x14ac:dyDescent="0.35">
      <c r="A29" s="18" t="s">
        <v>35</v>
      </c>
      <c r="B29" s="69">
        <f>$E$5*'Alternative Values'!B6</f>
        <v>0.15</v>
      </c>
      <c r="C29" s="69">
        <f>$E$5*'Alternative Values'!C6</f>
        <v>0.15</v>
      </c>
      <c r="D29" s="69">
        <f>$E$5*'Alternative Values'!D6</f>
        <v>0</v>
      </c>
      <c r="E29" s="69">
        <f>$E$5*'Alternative Values'!E6</f>
        <v>0</v>
      </c>
    </row>
    <row r="30" spans="1:5" x14ac:dyDescent="0.35">
      <c r="A30" s="16" t="s">
        <v>36</v>
      </c>
      <c r="B30" s="17"/>
      <c r="C30" s="17"/>
      <c r="D30" s="17"/>
      <c r="E30" s="17"/>
    </row>
    <row r="31" spans="1:5" x14ac:dyDescent="0.35">
      <c r="A31" s="18" t="s">
        <v>36</v>
      </c>
      <c r="B31" s="70">
        <f>$E$7*'Alternative Values'!B8</f>
        <v>0.3</v>
      </c>
      <c r="C31" s="70">
        <f>$E$7*'Alternative Values'!C8</f>
        <v>0</v>
      </c>
      <c r="D31" s="70">
        <f>$E$7*'Alternative Values'!D8</f>
        <v>8.4745762711864694E-2</v>
      </c>
      <c r="E31" s="70">
        <f>$E$7*'Alternative Values'!E8</f>
        <v>0.1908797417271994</v>
      </c>
    </row>
    <row r="32" spans="1:5" x14ac:dyDescent="0.35">
      <c r="A32" s="85" t="s">
        <v>37</v>
      </c>
      <c r="B32" s="71"/>
      <c r="C32" s="71"/>
      <c r="D32" s="71"/>
      <c r="E32" s="71"/>
    </row>
    <row r="33" spans="1:5" x14ac:dyDescent="0.35">
      <c r="A33" s="23" t="s">
        <v>38</v>
      </c>
      <c r="B33" s="72"/>
      <c r="C33" s="72"/>
      <c r="D33" s="72"/>
      <c r="E33" s="72"/>
    </row>
    <row r="34" spans="1:5" x14ac:dyDescent="0.35">
      <c r="A34" s="25" t="s">
        <v>39</v>
      </c>
      <c r="B34" s="73">
        <f>$E$10*'Alternative Values'!B11</f>
        <v>0.15</v>
      </c>
      <c r="C34" s="73">
        <f>$E$10*'Alternative Values'!C11</f>
        <v>0</v>
      </c>
      <c r="D34" s="73">
        <f>$E$10*'Alternative Values'!D11</f>
        <v>0.12</v>
      </c>
      <c r="E34" s="73">
        <f>$E$10*'Alternative Values'!E11</f>
        <v>0.12</v>
      </c>
    </row>
    <row r="35" spans="1:5" x14ac:dyDescent="0.35">
      <c r="A35" s="23" t="s">
        <v>40</v>
      </c>
      <c r="B35" s="72"/>
      <c r="C35" s="72"/>
      <c r="D35" s="72"/>
      <c r="E35" s="72"/>
    </row>
    <row r="36" spans="1:5" x14ac:dyDescent="0.35">
      <c r="A36" s="25" t="s">
        <v>41</v>
      </c>
      <c r="B36" s="73">
        <f>$E$12*'Alternative Values'!B13</f>
        <v>0.15</v>
      </c>
      <c r="C36" s="73">
        <f>$E$12*'Alternative Values'!C13</f>
        <v>0</v>
      </c>
      <c r="D36" s="73">
        <f>$E$12*'Alternative Values'!D13</f>
        <v>5.9999999999999984E-2</v>
      </c>
      <c r="E36" s="73">
        <f>$E$12*'Alternative Values'!E13</f>
        <v>0.13500000000000001</v>
      </c>
    </row>
    <row r="37" spans="1:5" x14ac:dyDescent="0.35">
      <c r="A37" s="83" t="s">
        <v>52</v>
      </c>
      <c r="B37" s="74"/>
      <c r="C37" s="74"/>
      <c r="D37" s="74"/>
      <c r="E37" s="74"/>
    </row>
    <row r="38" spans="1:5" x14ac:dyDescent="0.35">
      <c r="A38" s="29" t="s">
        <v>42</v>
      </c>
      <c r="B38" s="75"/>
      <c r="C38" s="76"/>
      <c r="D38" s="77"/>
      <c r="E38" s="75"/>
    </row>
    <row r="39" spans="1:5" x14ac:dyDescent="0.35">
      <c r="A39" s="31" t="s">
        <v>43</v>
      </c>
      <c r="B39" s="78">
        <f>$E$15*'Alternative Values'!B16</f>
        <v>0</v>
      </c>
      <c r="C39" s="78">
        <f>$E$15*'Alternative Values'!C16</f>
        <v>1.2601626016260165E-2</v>
      </c>
      <c r="D39" s="78">
        <f>$E$15*'Alternative Values'!D16</f>
        <v>1.6666666666666666E-2</v>
      </c>
      <c r="E39" s="78">
        <f>$E$15*'Alternative Values'!E16</f>
        <v>1.6666666666666666E-2</v>
      </c>
    </row>
    <row r="40" spans="1:5" x14ac:dyDescent="0.35">
      <c r="A40" s="31" t="s">
        <v>44</v>
      </c>
      <c r="B40" s="78">
        <f>$E$16*'Alternative Values'!B17</f>
        <v>0</v>
      </c>
      <c r="C40" s="78">
        <f>$E$16*'Alternative Values'!C17</f>
        <v>1.666666666666667E-2</v>
      </c>
      <c r="D40" s="78">
        <f>$E$16*'Alternative Values'!D17</f>
        <v>1.666666666666667E-2</v>
      </c>
      <c r="E40" s="78">
        <f>$E$16*'Alternative Values'!E17</f>
        <v>1.666666666666667E-2</v>
      </c>
    </row>
    <row r="41" spans="1:5" x14ac:dyDescent="0.35">
      <c r="A41" s="29" t="s">
        <v>45</v>
      </c>
      <c r="B41" s="79"/>
      <c r="C41" s="76"/>
      <c r="D41" s="76"/>
      <c r="E41" s="79"/>
    </row>
    <row r="42" spans="1:5" x14ac:dyDescent="0.35">
      <c r="A42" s="31" t="s">
        <v>46</v>
      </c>
      <c r="B42" s="78">
        <f>$E$18*'Alternative Values'!B19</f>
        <v>0</v>
      </c>
      <c r="C42" s="78">
        <f>$E$18*'Alternative Values'!C19</f>
        <v>1.3082437275985665E-2</v>
      </c>
      <c r="D42" s="78">
        <f>$E$18*'Alternative Values'!D19</f>
        <v>1.666666666666667E-2</v>
      </c>
      <c r="E42" s="78">
        <f>$E$18*'Alternative Values'!E19</f>
        <v>1.666666666666667E-2</v>
      </c>
    </row>
    <row r="43" spans="1:5" x14ac:dyDescent="0.35">
      <c r="A43" s="31" t="s">
        <v>47</v>
      </c>
      <c r="B43" s="78">
        <f>$E$19*'Alternative Values'!B20</f>
        <v>0</v>
      </c>
      <c r="C43" s="78">
        <f>$E$19*'Alternative Values'!C20</f>
        <v>1.666666666666667E-2</v>
      </c>
      <c r="D43" s="78">
        <f>$E$19*'Alternative Values'!D20</f>
        <v>8.333333333333335E-3</v>
      </c>
      <c r="E43" s="78">
        <f>$E$19*'Alternative Values'!E20</f>
        <v>8.333333333333335E-3</v>
      </c>
    </row>
    <row r="44" spans="1:5" x14ac:dyDescent="0.35">
      <c r="A44" s="29" t="s">
        <v>48</v>
      </c>
      <c r="B44" s="75"/>
      <c r="C44" s="76"/>
      <c r="D44" s="77"/>
      <c r="E44" s="79"/>
    </row>
    <row r="45" spans="1:5" x14ac:dyDescent="0.35">
      <c r="A45" s="31" t="s">
        <v>49</v>
      </c>
      <c r="B45" s="78">
        <f>$E$21*'Alternative Values'!B22</f>
        <v>1.1111111111111117E-2</v>
      </c>
      <c r="C45" s="78">
        <f>$E$21*'Alternative Values'!C22</f>
        <v>0</v>
      </c>
      <c r="D45" s="78">
        <f>$E$21*'Alternative Values'!D22</f>
        <v>8.8888888888888941E-3</v>
      </c>
      <c r="E45" s="78">
        <f>$E$21*'Alternative Values'!E22</f>
        <v>8.8888888888888941E-3</v>
      </c>
    </row>
    <row r="46" spans="1:5" x14ac:dyDescent="0.35">
      <c r="A46" s="31" t="s">
        <v>50</v>
      </c>
      <c r="B46" s="78">
        <f>$E$22*'Alternative Values'!B23</f>
        <v>5.5555555555555584E-3</v>
      </c>
      <c r="C46" s="78">
        <f>$E$22*'Alternative Values'!C23</f>
        <v>0</v>
      </c>
      <c r="D46" s="78">
        <f>$E$22*'Alternative Values'!D23</f>
        <v>1.1111111111111117E-2</v>
      </c>
      <c r="E46" s="78">
        <f>$E$22*'Alternative Values'!E23</f>
        <v>1.1111111111111117E-2</v>
      </c>
    </row>
    <row r="47" spans="1:5" x14ac:dyDescent="0.35">
      <c r="A47" s="31" t="s">
        <v>51</v>
      </c>
      <c r="B47" s="78">
        <f>$E$23*'Alternative Values'!B24</f>
        <v>0</v>
      </c>
      <c r="C47" s="78">
        <f>$E$23*'Alternative Values'!C24</f>
        <v>1.1111111111111122E-2</v>
      </c>
      <c r="D47" s="78">
        <f>$E$23*'Alternative Values'!D24</f>
        <v>5.555555555555561E-3</v>
      </c>
      <c r="E47" s="78">
        <f>$E$23*'Alternative Values'!E24</f>
        <v>5.555555555555561E-3</v>
      </c>
    </row>
    <row r="48" spans="1:5" x14ac:dyDescent="0.35">
      <c r="A48" s="80" t="s">
        <v>121</v>
      </c>
      <c r="B48" s="81">
        <f>SUM(B28:B47)</f>
        <v>0.91666666666666663</v>
      </c>
      <c r="C48" s="81">
        <f t="shared" ref="C48:E48" si="1">SUM(C28:C47)</f>
        <v>0.22012850773669027</v>
      </c>
      <c r="D48" s="81">
        <f t="shared" si="1"/>
        <v>0.43045283341893542</v>
      </c>
      <c r="E48" s="81">
        <f t="shared" si="1"/>
        <v>0.67976863061608839</v>
      </c>
    </row>
    <row r="49" spans="1:5" x14ac:dyDescent="0.35">
      <c r="A49" s="122"/>
      <c r="B49" s="124"/>
      <c r="C49" s="124"/>
      <c r="D49" s="124"/>
      <c r="E49" s="124"/>
    </row>
    <row r="50" spans="1:5" x14ac:dyDescent="0.35">
      <c r="A50" s="122"/>
      <c r="B50" s="2" t="s">
        <v>8</v>
      </c>
      <c r="C50" s="2" t="s">
        <v>9</v>
      </c>
      <c r="D50" s="2" t="s">
        <v>10</v>
      </c>
      <c r="E50" s="2" t="s">
        <v>11</v>
      </c>
    </row>
    <row r="51" spans="1:5" x14ac:dyDescent="0.35">
      <c r="A51" s="82" t="s">
        <v>32</v>
      </c>
      <c r="B51" s="87">
        <f>SUM(B28:B31)</f>
        <v>0.6</v>
      </c>
      <c r="C51" s="87">
        <f t="shared" ref="C51:E51" si="2">SUM(C28:C31)</f>
        <v>0.15</v>
      </c>
      <c r="D51" s="87">
        <f t="shared" si="2"/>
        <v>0.1665639445300465</v>
      </c>
      <c r="E51" s="87">
        <f t="shared" si="2"/>
        <v>0.34087974172719937</v>
      </c>
    </row>
    <row r="52" spans="1:5" x14ac:dyDescent="0.35">
      <c r="A52" s="84" t="s">
        <v>37</v>
      </c>
      <c r="B52" s="88">
        <f>SUM(B34:B36)</f>
        <v>0.3</v>
      </c>
      <c r="C52" s="88">
        <f t="shared" ref="C52:E52" si="3">SUM(C34:C36)</f>
        <v>0</v>
      </c>
      <c r="D52" s="88">
        <f t="shared" si="3"/>
        <v>0.18</v>
      </c>
      <c r="E52" s="88">
        <f t="shared" si="3"/>
        <v>0.255</v>
      </c>
    </row>
    <row r="53" spans="1:5" x14ac:dyDescent="0.35">
      <c r="A53" s="83" t="s">
        <v>52</v>
      </c>
      <c r="B53" s="86">
        <f>SUM(B39:B47)</f>
        <v>1.6666666666666677E-2</v>
      </c>
      <c r="C53" s="86">
        <f t="shared" ref="C53:E53" si="4">SUM(C39:C47)</f>
        <v>7.0128507736690299E-2</v>
      </c>
      <c r="D53" s="86">
        <f t="shared" si="4"/>
        <v>8.3888888888888916E-2</v>
      </c>
      <c r="E53" s="86">
        <f t="shared" si="4"/>
        <v>8.3888888888888916E-2</v>
      </c>
    </row>
    <row r="57" spans="1:5" x14ac:dyDescent="0.35">
      <c r="B57" s="132"/>
      <c r="C57" s="132"/>
      <c r="D57" s="132"/>
      <c r="E57" s="1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4"/>
  <sheetViews>
    <sheetView topLeftCell="A7" zoomScale="80" zoomScaleNormal="80" workbookViewId="0">
      <selection activeCell="C33" sqref="C33"/>
    </sheetView>
  </sheetViews>
  <sheetFormatPr defaultRowHeight="14.5" x14ac:dyDescent="0.35"/>
  <cols>
    <col min="1" max="1" width="35.36328125" customWidth="1"/>
    <col min="2" max="5" width="26.7265625" customWidth="1"/>
  </cols>
  <sheetData>
    <row r="1" spans="1:5" x14ac:dyDescent="0.35">
      <c r="B1" s="139" t="s">
        <v>118</v>
      </c>
      <c r="C1" s="139"/>
      <c r="D1" s="139"/>
      <c r="E1" s="139"/>
    </row>
    <row r="2" spans="1:5" x14ac:dyDescent="0.35">
      <c r="B2" s="2" t="s">
        <v>8</v>
      </c>
      <c r="C2" s="2" t="s">
        <v>9</v>
      </c>
      <c r="D2" s="2" t="s">
        <v>10</v>
      </c>
      <c r="E2" s="2" t="s">
        <v>11</v>
      </c>
    </row>
    <row r="3" spans="1:5" x14ac:dyDescent="0.35">
      <c r="A3" s="14" t="s">
        <v>32</v>
      </c>
      <c r="B3" s="68"/>
      <c r="C3" s="68"/>
      <c r="D3" s="68"/>
      <c r="E3" s="68"/>
    </row>
    <row r="4" spans="1:5" x14ac:dyDescent="0.35">
      <c r="A4" s="16" t="s">
        <v>33</v>
      </c>
      <c r="B4" s="17"/>
      <c r="C4" s="17"/>
      <c r="D4" s="17"/>
      <c r="E4" s="17"/>
    </row>
    <row r="5" spans="1:5" x14ac:dyDescent="0.35">
      <c r="A5" s="18" t="s">
        <v>34</v>
      </c>
      <c r="B5" s="69">
        <f>'VF-Max Yield'!C12</f>
        <v>1</v>
      </c>
      <c r="C5" s="69">
        <f>'VF-Max Yield'!C13</f>
        <v>0</v>
      </c>
      <c r="D5" s="70">
        <f>'VF-Max Yield'!C14</f>
        <v>0.54545454545454541</v>
      </c>
      <c r="E5" s="69">
        <f>'VF-Max Yield'!C15</f>
        <v>1</v>
      </c>
    </row>
    <row r="6" spans="1:5" x14ac:dyDescent="0.35">
      <c r="A6" s="18" t="s">
        <v>35</v>
      </c>
      <c r="B6" s="69">
        <f>'VF-Crop Insurance'!$C$5</f>
        <v>1</v>
      </c>
      <c r="C6" s="69">
        <f>'VF-Crop Insurance'!$C$6</f>
        <v>1</v>
      </c>
      <c r="D6" s="69">
        <f>'VF-Crop Insurance'!$C$7</f>
        <v>0</v>
      </c>
      <c r="E6" s="69">
        <f>'VF-Crop Insurance'!$C$8</f>
        <v>0</v>
      </c>
    </row>
    <row r="7" spans="1:5" x14ac:dyDescent="0.35">
      <c r="A7" s="16" t="s">
        <v>36</v>
      </c>
      <c r="B7" s="17"/>
      <c r="C7" s="17"/>
      <c r="D7" s="17"/>
      <c r="E7" s="17"/>
    </row>
    <row r="8" spans="1:5" x14ac:dyDescent="0.35">
      <c r="A8" s="18" t="s">
        <v>36</v>
      </c>
      <c r="B8" s="70">
        <f>'VF - Cost'!$C$11</f>
        <v>1</v>
      </c>
      <c r="C8" s="70">
        <f>'VF - Cost'!$C$12</f>
        <v>0</v>
      </c>
      <c r="D8" s="70">
        <f>'VF - Cost'!$C$13</f>
        <v>0.28248587570621564</v>
      </c>
      <c r="E8" s="70">
        <f>'VF - Cost'!$C$14</f>
        <v>0.63626580575733138</v>
      </c>
    </row>
    <row r="9" spans="1:5" x14ac:dyDescent="0.35">
      <c r="A9" s="21" t="s">
        <v>37</v>
      </c>
      <c r="B9" s="71"/>
      <c r="C9" s="71"/>
      <c r="D9" s="71"/>
      <c r="E9" s="71"/>
    </row>
    <row r="10" spans="1:5" x14ac:dyDescent="0.35">
      <c r="A10" s="23" t="s">
        <v>38</v>
      </c>
      <c r="B10" s="72"/>
      <c r="C10" s="72"/>
      <c r="D10" s="72"/>
      <c r="E10" s="72"/>
    </row>
    <row r="11" spans="1:5" x14ac:dyDescent="0.35">
      <c r="A11" s="25" t="s">
        <v>39</v>
      </c>
      <c r="B11" s="73">
        <f>'VF-Field Passes'!$C$11</f>
        <v>1</v>
      </c>
      <c r="C11" s="73">
        <f>'VF-Field Passes'!$C$12</f>
        <v>0</v>
      </c>
      <c r="D11" s="73">
        <f>'VF-Field Passes'!$C$13</f>
        <v>0.8</v>
      </c>
      <c r="E11" s="73">
        <f>'VF-Field Passes'!$C$14</f>
        <v>0.8</v>
      </c>
    </row>
    <row r="12" spans="1:5" x14ac:dyDescent="0.35">
      <c r="A12" s="23" t="s">
        <v>40</v>
      </c>
      <c r="B12" s="72"/>
      <c r="C12" s="72"/>
      <c r="D12" s="72"/>
      <c r="E12" s="72"/>
    </row>
    <row r="13" spans="1:5" x14ac:dyDescent="0.35">
      <c r="A13" s="25" t="s">
        <v>41</v>
      </c>
      <c r="B13" s="73">
        <f>'VF-Conflict'!$C$11</f>
        <v>1</v>
      </c>
      <c r="C13" s="73">
        <f>'VF-Conflict'!$C$12</f>
        <v>0</v>
      </c>
      <c r="D13" s="73">
        <f>'VF-Conflict'!$C$13</f>
        <v>0.39999999999999991</v>
      </c>
      <c r="E13" s="73">
        <f>'VF-Conflict'!$C$14</f>
        <v>0.9</v>
      </c>
    </row>
    <row r="14" spans="1:5" x14ac:dyDescent="0.35">
      <c r="A14" s="27" t="s">
        <v>119</v>
      </c>
      <c r="B14" s="74"/>
      <c r="C14" s="74"/>
      <c r="D14" s="74"/>
      <c r="E14" s="74"/>
    </row>
    <row r="15" spans="1:5" x14ac:dyDescent="0.35">
      <c r="A15" s="29" t="s">
        <v>42</v>
      </c>
      <c r="B15" s="75"/>
      <c r="C15" s="76"/>
      <c r="D15" s="77"/>
      <c r="E15" s="75"/>
    </row>
    <row r="16" spans="1:5" x14ac:dyDescent="0.35">
      <c r="A16" s="31" t="s">
        <v>43</v>
      </c>
      <c r="B16" s="78">
        <f>'VF-N Losses'!$C$11</f>
        <v>0</v>
      </c>
      <c r="C16" s="78">
        <f>'VF-N Losses'!$C$12</f>
        <v>0.75609756097560976</v>
      </c>
      <c r="D16" s="78">
        <f>'VF-N Losses'!$C$13</f>
        <v>0.99999999999999989</v>
      </c>
      <c r="E16" s="78">
        <f>'VF-N Losses'!C$14</f>
        <v>0.99999999999999989</v>
      </c>
    </row>
    <row r="17" spans="1:5" x14ac:dyDescent="0.35">
      <c r="A17" s="31" t="s">
        <v>44</v>
      </c>
      <c r="B17" s="78">
        <f>'VF-P Losses'!$C$11</f>
        <v>0</v>
      </c>
      <c r="C17" s="78">
        <f>'VF-P Losses'!$C$12</f>
        <v>1</v>
      </c>
      <c r="D17" s="78">
        <f>'VF-P Losses'!$C$13</f>
        <v>1</v>
      </c>
      <c r="E17" s="78">
        <f>'VF-P Losses'!$C$14</f>
        <v>1</v>
      </c>
    </row>
    <row r="18" spans="1:5" x14ac:dyDescent="0.35">
      <c r="A18" s="29" t="s">
        <v>45</v>
      </c>
      <c r="B18" s="79"/>
      <c r="C18" s="76"/>
      <c r="D18" s="76"/>
      <c r="E18" s="79"/>
    </row>
    <row r="19" spans="1:5" x14ac:dyDescent="0.35">
      <c r="A19" s="31" t="s">
        <v>46</v>
      </c>
      <c r="B19" s="78">
        <f>'VF- Soil Erosion'!$C$11</f>
        <v>0</v>
      </c>
      <c r="C19" s="78">
        <f>'VF- Soil Erosion'!$C$12</f>
        <v>0.78494623655913975</v>
      </c>
      <c r="D19" s="78">
        <f>'VF- Soil Erosion'!$C$13</f>
        <v>1</v>
      </c>
      <c r="E19" s="78">
        <f>'VF- Soil Erosion'!$C$14</f>
        <v>1</v>
      </c>
    </row>
    <row r="20" spans="1:5" x14ac:dyDescent="0.35">
      <c r="A20" s="31" t="s">
        <v>47</v>
      </c>
      <c r="B20" s="78">
        <f>'VF- Soil Health'!$C$6</f>
        <v>0</v>
      </c>
      <c r="C20" s="78">
        <f>'VF- Soil Health'!$C$7</f>
        <v>1</v>
      </c>
      <c r="D20" s="78">
        <f>'VF- Soil Health'!$C$8</f>
        <v>0.5</v>
      </c>
      <c r="E20" s="78">
        <f>'VF- Soil Health'!$C$9</f>
        <v>0.5</v>
      </c>
    </row>
    <row r="21" spans="1:5" x14ac:dyDescent="0.35">
      <c r="A21" s="29" t="s">
        <v>48</v>
      </c>
      <c r="B21" s="75"/>
      <c r="C21" s="75"/>
      <c r="D21" s="75"/>
      <c r="E21" s="75"/>
    </row>
    <row r="22" spans="1:5" x14ac:dyDescent="0.35">
      <c r="A22" s="31" t="s">
        <v>49</v>
      </c>
      <c r="B22" s="78">
        <f>'VF-Ops Emissions'!$C$11</f>
        <v>1</v>
      </c>
      <c r="C22" s="78">
        <f>'VF-Ops Emissions'!$C$12</f>
        <v>0</v>
      </c>
      <c r="D22" s="78">
        <f>'VF-Ops Emissions'!$C$13</f>
        <v>0.8</v>
      </c>
      <c r="E22" s="78">
        <f>'VF-Ops Emissions'!$C$14</f>
        <v>0.8</v>
      </c>
    </row>
    <row r="23" spans="1:5" x14ac:dyDescent="0.35">
      <c r="A23" s="31" t="s">
        <v>50</v>
      </c>
      <c r="B23" s="78">
        <f>'VF- N2O Emissions'!$C$6</f>
        <v>0.5</v>
      </c>
      <c r="C23" s="78">
        <f>'VF- N2O Emissions'!$C$7</f>
        <v>0</v>
      </c>
      <c r="D23" s="78">
        <f>'VF- N2O Emissions'!$C$8</f>
        <v>1</v>
      </c>
      <c r="E23" s="78">
        <f>'VF- N2O Emissions'!$C$9</f>
        <v>1</v>
      </c>
    </row>
    <row r="24" spans="1:5" x14ac:dyDescent="0.35">
      <c r="A24" s="31" t="s">
        <v>51</v>
      </c>
      <c r="B24" s="78">
        <f>'VF- Soil Carbon'!$C$6</f>
        <v>0</v>
      </c>
      <c r="C24" s="78">
        <f>'VF- Soil Carbon'!$C$7</f>
        <v>1</v>
      </c>
      <c r="D24" s="78">
        <f>'VF- Soil Carbon'!$C$8</f>
        <v>0.5</v>
      </c>
      <c r="E24" s="78">
        <f>'VF- Soil Carbon'!$C$9</f>
        <v>0.5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>
      <selection activeCell="F21" sqref="F21"/>
    </sheetView>
  </sheetViews>
  <sheetFormatPr defaultRowHeight="14.5" x14ac:dyDescent="0.35"/>
  <cols>
    <col min="1" max="1" width="22.26953125" customWidth="1"/>
    <col min="2" max="2" width="22.26953125" style="3" customWidth="1"/>
    <col min="3" max="3" width="17" style="3" customWidth="1"/>
  </cols>
  <sheetData>
    <row r="1" spans="1:3" x14ac:dyDescent="0.35">
      <c r="A1" s="109" t="s">
        <v>150</v>
      </c>
      <c r="B1" s="108"/>
      <c r="C1" s="108"/>
    </row>
    <row r="2" spans="1:3" x14ac:dyDescent="0.35">
      <c r="A2" s="1" t="s">
        <v>147</v>
      </c>
      <c r="B2" s="2" t="s">
        <v>3</v>
      </c>
      <c r="C2" s="2" t="s">
        <v>67</v>
      </c>
    </row>
    <row r="3" spans="1:3" x14ac:dyDescent="0.35">
      <c r="A3" t="s">
        <v>19</v>
      </c>
      <c r="B3" s="3">
        <v>5</v>
      </c>
      <c r="C3" s="3" t="s">
        <v>15</v>
      </c>
    </row>
    <row r="4" spans="1:3" ht="16.5" x14ac:dyDescent="0.35">
      <c r="A4" t="s">
        <v>21</v>
      </c>
      <c r="B4" s="3">
        <v>200</v>
      </c>
      <c r="C4" s="3" t="s">
        <v>148</v>
      </c>
    </row>
    <row r="5" spans="1:3" ht="16.5" x14ac:dyDescent="0.35">
      <c r="A5" t="s">
        <v>79</v>
      </c>
      <c r="B5" s="106">
        <v>6.86</v>
      </c>
      <c r="C5" s="3" t="s">
        <v>149</v>
      </c>
    </row>
    <row r="7" spans="1:3" x14ac:dyDescent="0.35">
      <c r="A7" s="109" t="s">
        <v>151</v>
      </c>
      <c r="B7" s="110"/>
      <c r="C7" s="110"/>
    </row>
    <row r="8" spans="1:3" x14ac:dyDescent="0.35">
      <c r="A8" s="1" t="s">
        <v>147</v>
      </c>
      <c r="B8" s="2" t="s">
        <v>3</v>
      </c>
      <c r="C8" s="2" t="s">
        <v>67</v>
      </c>
    </row>
    <row r="9" spans="1:3" x14ac:dyDescent="0.35">
      <c r="A9" t="s">
        <v>19</v>
      </c>
      <c r="B9" s="3">
        <f>B3</f>
        <v>5</v>
      </c>
      <c r="C9" s="3" t="s">
        <v>15</v>
      </c>
    </row>
    <row r="10" spans="1:3" ht="16.5" x14ac:dyDescent="0.35">
      <c r="A10" t="s">
        <v>21</v>
      </c>
      <c r="B10" s="4">
        <f>(B4*'Conversion Factors'!$B$3)*'Conversion Factors'!$B$4/'Conversion Factors'!$B$5*'Conversion Factors'!$B$2</f>
        <v>12.553503329920002</v>
      </c>
      <c r="C10" s="3" t="s">
        <v>27</v>
      </c>
    </row>
    <row r="11" spans="1:3" ht="16.5" x14ac:dyDescent="0.35">
      <c r="A11" t="s">
        <v>79</v>
      </c>
      <c r="B11" s="106">
        <f>B5/'Conversion Factors'!B3/'Conversion Factors'!B4*'Conversion Factors'!B5</f>
        <v>270.06649147251278</v>
      </c>
      <c r="C11" s="107" t="s">
        <v>152</v>
      </c>
    </row>
    <row r="15" spans="1:3" ht="14.25" customHeight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44"/>
  <sheetViews>
    <sheetView topLeftCell="E1" zoomScale="70" zoomScaleNormal="70" workbookViewId="0">
      <selection activeCell="H1" sqref="H1:P1048576"/>
    </sheetView>
  </sheetViews>
  <sheetFormatPr defaultRowHeight="14.5" x14ac:dyDescent="0.35"/>
  <cols>
    <col min="1" max="1" width="25.26953125" bestFit="1" customWidth="1"/>
    <col min="2" max="2" width="19.36328125" customWidth="1"/>
    <col min="4" max="4" width="22" customWidth="1"/>
    <col min="8" max="16" width="21.1796875" customWidth="1"/>
    <col min="17" max="17" width="21.1796875" style="94" customWidth="1"/>
    <col min="18" max="18" width="13.26953125" style="94" customWidth="1"/>
    <col min="19" max="19" width="11.6328125" bestFit="1" customWidth="1"/>
  </cols>
  <sheetData>
    <row r="1" spans="1:20" x14ac:dyDescent="0.35">
      <c r="A1" s="109" t="s">
        <v>150</v>
      </c>
      <c r="B1" s="109"/>
      <c r="C1" s="109"/>
      <c r="D1" s="109"/>
      <c r="M1" s="94"/>
      <c r="N1" s="94"/>
      <c r="O1" s="94"/>
      <c r="P1" s="94"/>
    </row>
    <row r="2" spans="1:20" x14ac:dyDescent="0.35">
      <c r="A2" s="1" t="s">
        <v>66</v>
      </c>
      <c r="B2" s="1" t="s">
        <v>3</v>
      </c>
      <c r="C2" s="1" t="s">
        <v>67</v>
      </c>
      <c r="D2" s="1" t="s">
        <v>68</v>
      </c>
      <c r="H2" s="135"/>
      <c r="I2" s="4"/>
      <c r="J2" s="3"/>
      <c r="K2" s="133"/>
      <c r="L2" s="94"/>
      <c r="M2" s="94"/>
      <c r="N2" s="94"/>
      <c r="O2" s="94"/>
      <c r="P2" s="94"/>
      <c r="S2" s="94"/>
      <c r="T2" s="94"/>
    </row>
    <row r="3" spans="1:20" ht="15.75" customHeight="1" x14ac:dyDescent="0.35">
      <c r="A3" t="s">
        <v>20</v>
      </c>
      <c r="B3" s="9">
        <v>2.5000000000000001E-2</v>
      </c>
      <c r="C3" t="s">
        <v>22</v>
      </c>
      <c r="D3" t="s">
        <v>66</v>
      </c>
      <c r="H3" s="135"/>
      <c r="I3" s="3"/>
      <c r="J3" s="3"/>
      <c r="K3" s="3"/>
      <c r="L3" s="3"/>
      <c r="M3" s="3"/>
      <c r="N3" s="3"/>
      <c r="O3" s="3"/>
      <c r="P3" s="3"/>
      <c r="S3" s="94"/>
      <c r="T3" s="94"/>
    </row>
    <row r="4" spans="1:20" x14ac:dyDescent="0.35">
      <c r="A4" t="s">
        <v>23</v>
      </c>
      <c r="B4">
        <v>1</v>
      </c>
      <c r="C4" t="s">
        <v>70</v>
      </c>
      <c r="D4" t="s">
        <v>69</v>
      </c>
      <c r="H4" s="135"/>
      <c r="I4" s="3"/>
      <c r="J4" s="3"/>
      <c r="K4" s="3"/>
      <c r="L4" s="3"/>
      <c r="M4" s="3"/>
      <c r="N4" s="3"/>
      <c r="O4" s="3"/>
      <c r="P4" s="3"/>
    </row>
    <row r="5" spans="1:20" x14ac:dyDescent="0.35">
      <c r="A5" t="s">
        <v>24</v>
      </c>
      <c r="B5" s="8">
        <v>6</v>
      </c>
      <c r="C5" t="s">
        <v>25</v>
      </c>
      <c r="D5" t="s">
        <v>71</v>
      </c>
      <c r="H5" s="135"/>
      <c r="I5" s="3"/>
      <c r="J5" s="3"/>
      <c r="K5" s="3"/>
      <c r="L5" s="3"/>
      <c r="M5" s="3"/>
      <c r="N5" s="3"/>
      <c r="O5" s="3"/>
      <c r="P5" s="3"/>
    </row>
    <row r="6" spans="1:20" x14ac:dyDescent="0.35">
      <c r="A6" t="s">
        <v>26</v>
      </c>
      <c r="B6">
        <v>1</v>
      </c>
      <c r="C6" t="s">
        <v>25</v>
      </c>
      <c r="D6" t="s">
        <v>69</v>
      </c>
      <c r="H6" s="135"/>
      <c r="I6" s="3"/>
      <c r="J6" s="3"/>
      <c r="K6" s="3"/>
      <c r="L6" s="3"/>
      <c r="M6" s="3"/>
      <c r="N6" s="3"/>
      <c r="O6" s="3"/>
      <c r="P6" s="3"/>
    </row>
    <row r="7" spans="1:20" ht="16.5" x14ac:dyDescent="0.35">
      <c r="A7" t="s">
        <v>57</v>
      </c>
      <c r="B7">
        <v>20</v>
      </c>
      <c r="C7" t="s">
        <v>64</v>
      </c>
      <c r="H7" s="135"/>
      <c r="I7" s="3"/>
      <c r="J7" s="3"/>
      <c r="K7" s="3"/>
      <c r="L7" s="3"/>
      <c r="M7" s="3"/>
      <c r="N7" s="3"/>
      <c r="O7" s="3"/>
      <c r="P7" s="3"/>
    </row>
    <row r="8" spans="1:20" ht="16.5" x14ac:dyDescent="0.35">
      <c r="A8" t="s">
        <v>58</v>
      </c>
      <c r="B8">
        <v>50</v>
      </c>
      <c r="C8" t="s">
        <v>64</v>
      </c>
      <c r="H8" s="135"/>
      <c r="I8" s="3"/>
      <c r="J8" s="3"/>
      <c r="K8" s="3"/>
      <c r="L8" s="3"/>
      <c r="M8" s="3"/>
      <c r="N8" s="3"/>
      <c r="O8" s="3"/>
      <c r="P8" s="3"/>
    </row>
    <row r="9" spans="1:20" ht="16.5" x14ac:dyDescent="0.35">
      <c r="A9" t="s">
        <v>59</v>
      </c>
      <c r="B9" s="46">
        <v>2.75</v>
      </c>
      <c r="C9" t="s">
        <v>65</v>
      </c>
      <c r="H9" s="135"/>
      <c r="I9" s="3"/>
      <c r="J9" s="3"/>
      <c r="K9" s="3"/>
      <c r="L9" s="3"/>
      <c r="M9" s="3"/>
      <c r="N9" s="3"/>
      <c r="O9" s="3"/>
      <c r="P9" s="3"/>
    </row>
    <row r="10" spans="1:20" ht="16.5" x14ac:dyDescent="0.35">
      <c r="A10" t="s">
        <v>60</v>
      </c>
      <c r="B10" s="46">
        <v>2.5</v>
      </c>
      <c r="C10" t="s">
        <v>65</v>
      </c>
      <c r="H10" s="135"/>
      <c r="I10" s="3"/>
      <c r="J10" s="3"/>
      <c r="K10" s="3"/>
      <c r="L10" s="3"/>
      <c r="M10" s="3"/>
      <c r="N10" s="3"/>
      <c r="O10" s="3"/>
      <c r="P10" s="3"/>
    </row>
    <row r="11" spans="1:20" ht="16.5" x14ac:dyDescent="0.35">
      <c r="A11" t="s">
        <v>61</v>
      </c>
      <c r="B11" s="46">
        <v>6</v>
      </c>
      <c r="C11" t="s">
        <v>103</v>
      </c>
      <c r="H11" s="135"/>
      <c r="I11" s="3"/>
      <c r="J11" s="3"/>
      <c r="K11" s="3"/>
      <c r="L11" s="3"/>
      <c r="M11" s="3"/>
      <c r="N11" s="3"/>
      <c r="O11" s="3"/>
      <c r="P11" s="3"/>
    </row>
    <row r="12" spans="1:20" ht="16.5" x14ac:dyDescent="0.35">
      <c r="A12" t="s">
        <v>62</v>
      </c>
      <c r="B12" s="46">
        <v>-2</v>
      </c>
      <c r="C12" t="s">
        <v>103</v>
      </c>
      <c r="D12" t="s">
        <v>174</v>
      </c>
      <c r="H12" s="135"/>
      <c r="I12" s="3"/>
      <c r="J12" s="3"/>
      <c r="K12" s="3"/>
      <c r="L12" s="3"/>
      <c r="M12" s="3"/>
      <c r="N12" s="3"/>
      <c r="O12" s="3"/>
      <c r="P12" s="3"/>
    </row>
    <row r="13" spans="1:20" ht="16.5" x14ac:dyDescent="0.35">
      <c r="A13" t="s">
        <v>63</v>
      </c>
      <c r="B13" s="46">
        <v>20.2</v>
      </c>
      <c r="C13" t="s">
        <v>103</v>
      </c>
      <c r="H13" s="135"/>
      <c r="I13" s="3"/>
      <c r="J13" s="3"/>
      <c r="K13" s="3"/>
      <c r="L13" s="3"/>
      <c r="M13" s="3"/>
      <c r="N13" s="3"/>
      <c r="O13" s="3"/>
      <c r="P13" s="3"/>
    </row>
    <row r="14" spans="1:20" x14ac:dyDescent="0.35">
      <c r="H14" s="135"/>
      <c r="I14" s="3"/>
      <c r="J14" s="3"/>
      <c r="K14" s="3"/>
      <c r="L14" s="3"/>
      <c r="M14" s="3"/>
      <c r="N14" s="3"/>
      <c r="O14" s="3"/>
      <c r="P14" s="3"/>
    </row>
    <row r="15" spans="1:20" x14ac:dyDescent="0.35">
      <c r="A15" s="109" t="s">
        <v>151</v>
      </c>
      <c r="B15" s="109"/>
      <c r="C15" s="109"/>
      <c r="D15" s="109"/>
      <c r="G15" s="46"/>
      <c r="H15" s="135"/>
      <c r="I15" s="3"/>
      <c r="J15" s="3"/>
      <c r="K15" s="3"/>
      <c r="L15" s="3"/>
      <c r="M15" s="3"/>
      <c r="N15" s="3"/>
      <c r="O15" s="3"/>
      <c r="P15" s="3"/>
    </row>
    <row r="16" spans="1:20" x14ac:dyDescent="0.35">
      <c r="A16" s="1" t="s">
        <v>66</v>
      </c>
      <c r="B16" s="1" t="s">
        <v>3</v>
      </c>
      <c r="C16" s="1" t="s">
        <v>67</v>
      </c>
      <c r="D16" s="1" t="s">
        <v>68</v>
      </c>
      <c r="G16" s="46"/>
      <c r="H16" s="135"/>
      <c r="I16" s="3"/>
      <c r="J16" s="3"/>
      <c r="K16" s="3"/>
      <c r="L16" s="3"/>
      <c r="M16" s="3"/>
      <c r="N16" s="3"/>
      <c r="O16" s="3"/>
      <c r="P16" s="3"/>
    </row>
    <row r="17" spans="1:16" ht="16.5" x14ac:dyDescent="0.35">
      <c r="A17" t="s">
        <v>20</v>
      </c>
      <c r="B17" s="9">
        <f>B3</f>
        <v>2.5000000000000001E-2</v>
      </c>
      <c r="C17" t="s">
        <v>22</v>
      </c>
      <c r="D17" t="s">
        <v>66</v>
      </c>
      <c r="G17" s="46"/>
      <c r="H17" s="135"/>
      <c r="I17" s="3"/>
      <c r="J17" s="3"/>
      <c r="K17" s="3"/>
      <c r="L17" s="3"/>
      <c r="M17" s="3"/>
      <c r="N17" s="3"/>
      <c r="O17" s="3"/>
      <c r="P17" s="3"/>
    </row>
    <row r="18" spans="1:16" x14ac:dyDescent="0.35">
      <c r="A18" t="s">
        <v>23</v>
      </c>
      <c r="B18">
        <v>1</v>
      </c>
      <c r="C18" t="s">
        <v>70</v>
      </c>
      <c r="D18" t="s">
        <v>69</v>
      </c>
      <c r="G18" s="46"/>
      <c r="H18" s="135"/>
      <c r="I18" s="3"/>
      <c r="J18" s="3"/>
      <c r="K18" s="3"/>
      <c r="L18" s="3"/>
      <c r="M18" s="3"/>
      <c r="N18" s="3"/>
      <c r="O18" s="3"/>
      <c r="P18" s="3"/>
    </row>
    <row r="19" spans="1:16" x14ac:dyDescent="0.35">
      <c r="A19" t="s">
        <v>24</v>
      </c>
      <c r="B19" s="8">
        <v>6</v>
      </c>
      <c r="C19" t="s">
        <v>25</v>
      </c>
      <c r="D19" t="s">
        <v>71</v>
      </c>
      <c r="G19" s="46"/>
      <c r="H19" s="135"/>
      <c r="I19" s="3"/>
      <c r="J19" s="3"/>
      <c r="K19" s="3"/>
      <c r="L19" s="3"/>
      <c r="M19" s="3"/>
      <c r="N19" s="3"/>
      <c r="O19" s="3"/>
      <c r="P19" s="3"/>
    </row>
    <row r="20" spans="1:16" x14ac:dyDescent="0.35">
      <c r="A20" t="s">
        <v>26</v>
      </c>
      <c r="B20">
        <v>1</v>
      </c>
      <c r="C20" t="s">
        <v>25</v>
      </c>
      <c r="D20" t="s">
        <v>69</v>
      </c>
      <c r="G20" s="46"/>
      <c r="H20" s="135"/>
      <c r="I20" s="3"/>
      <c r="J20" s="3"/>
      <c r="K20" s="3"/>
      <c r="L20" s="3"/>
      <c r="M20" s="3"/>
      <c r="N20" s="3"/>
      <c r="O20" s="3"/>
      <c r="P20" s="3"/>
    </row>
    <row r="21" spans="1:16" ht="16.5" x14ac:dyDescent="0.35">
      <c r="A21" t="s">
        <v>57</v>
      </c>
      <c r="B21" s="111">
        <f>B7*'Conversion Factors'!$B$4*'Conversion Factors'!$B$2</f>
        <v>22.416970232000001</v>
      </c>
      <c r="C21" t="s">
        <v>153</v>
      </c>
      <c r="G21" s="46"/>
      <c r="H21" s="135"/>
      <c r="I21" s="3"/>
      <c r="J21" s="3"/>
      <c r="K21" s="3"/>
      <c r="L21" s="3"/>
      <c r="M21" s="3"/>
      <c r="N21" s="3"/>
      <c r="O21" s="3"/>
      <c r="P21" s="3"/>
    </row>
    <row r="22" spans="1:16" ht="16.5" x14ac:dyDescent="0.35">
      <c r="A22" t="s">
        <v>58</v>
      </c>
      <c r="B22" s="111">
        <f>B8*'Conversion Factors'!$B$4*'Conversion Factors'!$B$2</f>
        <v>56.04242558</v>
      </c>
      <c r="C22" t="s">
        <v>153</v>
      </c>
      <c r="G22" s="46"/>
      <c r="H22" s="135"/>
      <c r="I22" s="3"/>
      <c r="J22" s="3"/>
      <c r="K22" s="3"/>
      <c r="L22" s="3"/>
      <c r="M22" s="3"/>
      <c r="N22" s="3"/>
      <c r="O22" s="3"/>
      <c r="P22" s="3"/>
    </row>
    <row r="23" spans="1:16" ht="16.5" x14ac:dyDescent="0.35">
      <c r="A23" t="s">
        <v>59</v>
      </c>
      <c r="B23" s="46">
        <f>B9/'Conversion Factors'!$B$4</f>
        <v>6.0627171555053883</v>
      </c>
      <c r="C23" s="112" t="s">
        <v>154</v>
      </c>
      <c r="G23" s="46"/>
      <c r="H23" s="135"/>
      <c r="I23" s="3"/>
      <c r="J23" s="3"/>
      <c r="K23" s="3"/>
      <c r="L23" s="3"/>
      <c r="M23" s="3"/>
      <c r="N23" s="3"/>
      <c r="O23" s="3"/>
      <c r="P23" s="3"/>
    </row>
    <row r="24" spans="1:16" ht="16.5" x14ac:dyDescent="0.35">
      <c r="A24" t="s">
        <v>60</v>
      </c>
      <c r="B24" s="46">
        <f>B10/'Conversion Factors'!$B$4</f>
        <v>5.5115610504594441</v>
      </c>
      <c r="C24" s="112" t="s">
        <v>154</v>
      </c>
      <c r="G24" s="46"/>
      <c r="H24" s="135"/>
      <c r="I24" s="3"/>
      <c r="J24" s="3"/>
      <c r="K24" s="3"/>
      <c r="L24" s="3"/>
      <c r="M24" s="3"/>
      <c r="N24" s="3"/>
      <c r="O24" s="3"/>
      <c r="P24" s="3"/>
    </row>
    <row r="25" spans="1:16" ht="16.5" x14ac:dyDescent="0.35">
      <c r="A25" t="s">
        <v>61</v>
      </c>
      <c r="B25" s="46">
        <f>B11/'Conversion Factors'!$B$4</f>
        <v>13.227746521102665</v>
      </c>
      <c r="C25" s="112" t="s">
        <v>173</v>
      </c>
      <c r="G25" s="46"/>
      <c r="H25" s="135"/>
      <c r="I25" s="3"/>
      <c r="J25" s="3"/>
      <c r="K25" s="3"/>
      <c r="L25" s="3"/>
      <c r="M25" s="3"/>
      <c r="N25" s="3"/>
      <c r="O25" s="3"/>
      <c r="P25" s="3"/>
    </row>
    <row r="26" spans="1:16" ht="16.5" x14ac:dyDescent="0.35">
      <c r="A26" t="s">
        <v>62</v>
      </c>
      <c r="B26" s="46">
        <f>B12*'Conversion Factors'!$B$2</f>
        <v>-4.9420999999999999</v>
      </c>
      <c r="C26" s="112" t="s">
        <v>173</v>
      </c>
      <c r="G26" s="46"/>
      <c r="H26" s="135"/>
      <c r="I26" s="3"/>
      <c r="J26" s="3"/>
      <c r="K26" s="3"/>
      <c r="L26" s="3"/>
      <c r="M26" s="3"/>
      <c r="N26" s="3"/>
      <c r="O26" s="3"/>
      <c r="P26" s="3"/>
    </row>
    <row r="27" spans="1:16" ht="16.5" x14ac:dyDescent="0.35">
      <c r="A27" t="s">
        <v>63</v>
      </c>
      <c r="B27" s="46">
        <f>B13*'Conversion Factors'!B2</f>
        <v>49.915209999999995</v>
      </c>
      <c r="C27" s="112" t="s">
        <v>172</v>
      </c>
      <c r="G27" s="46"/>
      <c r="H27" s="135"/>
      <c r="I27" s="3"/>
      <c r="J27" s="3"/>
      <c r="K27" s="3"/>
      <c r="L27" s="3"/>
      <c r="M27" s="3"/>
      <c r="N27" s="3"/>
      <c r="O27" s="3"/>
      <c r="P27" s="3"/>
    </row>
    <row r="28" spans="1:16" x14ac:dyDescent="0.35">
      <c r="G28" s="46"/>
      <c r="H28" s="135"/>
      <c r="I28" s="3"/>
      <c r="J28" s="3"/>
      <c r="K28" s="3"/>
      <c r="L28" s="3"/>
      <c r="M28" s="3"/>
      <c r="N28" s="3"/>
      <c r="O28" s="3"/>
      <c r="P28" s="3"/>
    </row>
    <row r="29" spans="1:16" x14ac:dyDescent="0.35">
      <c r="G29" s="46"/>
      <c r="H29" s="135"/>
      <c r="I29" s="3"/>
      <c r="J29" s="3"/>
      <c r="K29" s="3"/>
      <c r="L29" s="3"/>
      <c r="M29" s="3"/>
      <c r="N29" s="3"/>
      <c r="O29" s="3"/>
      <c r="P29" s="3"/>
    </row>
    <row r="30" spans="1:16" x14ac:dyDescent="0.35">
      <c r="G30" s="46"/>
      <c r="H30" s="135"/>
      <c r="I30" s="3"/>
      <c r="J30" s="3"/>
      <c r="K30" s="3"/>
      <c r="L30" s="3"/>
      <c r="M30" s="3"/>
      <c r="N30" s="3"/>
      <c r="O30" s="3"/>
      <c r="P30" s="3"/>
    </row>
    <row r="31" spans="1:16" x14ac:dyDescent="0.35">
      <c r="G31" s="46"/>
      <c r="H31" s="135"/>
      <c r="I31" s="3"/>
      <c r="J31" s="3"/>
      <c r="K31" s="3"/>
      <c r="L31" s="3"/>
      <c r="M31" s="3"/>
      <c r="N31" s="3"/>
      <c r="O31" s="3"/>
      <c r="P31" s="3"/>
    </row>
    <row r="32" spans="1:16" x14ac:dyDescent="0.35">
      <c r="G32" s="46"/>
      <c r="H32" s="135"/>
      <c r="I32" s="3"/>
      <c r="J32" s="3"/>
      <c r="K32" s="3"/>
      <c r="L32" s="3"/>
      <c r="M32" s="3"/>
      <c r="N32" s="3"/>
      <c r="O32" s="3"/>
      <c r="P32" s="3"/>
    </row>
    <row r="33" spans="7:16" x14ac:dyDescent="0.35">
      <c r="G33" s="46"/>
      <c r="H33" s="135"/>
      <c r="I33" s="3"/>
      <c r="J33" s="3"/>
      <c r="K33" s="3"/>
      <c r="L33" s="3"/>
      <c r="M33" s="3"/>
      <c r="N33" s="3"/>
      <c r="O33" s="3"/>
      <c r="P33" s="3"/>
    </row>
    <row r="34" spans="7:16" x14ac:dyDescent="0.35">
      <c r="G34" s="46"/>
      <c r="H34" s="135"/>
      <c r="I34" s="3"/>
      <c r="J34" s="3"/>
      <c r="K34" s="3"/>
      <c r="L34" s="3"/>
      <c r="M34" s="3"/>
      <c r="N34" s="3"/>
      <c r="O34" s="3"/>
      <c r="P34" s="3"/>
    </row>
    <row r="35" spans="7:16" x14ac:dyDescent="0.35">
      <c r="G35" s="46"/>
      <c r="H35" s="135"/>
      <c r="I35" s="3"/>
      <c r="J35" s="3"/>
      <c r="K35" s="3"/>
      <c r="L35" s="3"/>
      <c r="M35" s="3"/>
      <c r="N35" s="3"/>
      <c r="O35" s="3"/>
      <c r="P35" s="3"/>
    </row>
    <row r="36" spans="7:16" x14ac:dyDescent="0.35">
      <c r="G36" s="46"/>
      <c r="H36" s="135"/>
      <c r="I36" s="3"/>
      <c r="J36" s="3"/>
      <c r="K36" s="3"/>
      <c r="L36" s="3"/>
      <c r="M36" s="3"/>
      <c r="N36" s="3"/>
      <c r="O36" s="3"/>
      <c r="P36" s="3"/>
    </row>
    <row r="37" spans="7:16" x14ac:dyDescent="0.35">
      <c r="G37" s="46"/>
      <c r="H37" s="135"/>
      <c r="I37" s="3"/>
      <c r="J37" s="3"/>
      <c r="K37" s="3"/>
      <c r="L37" s="3"/>
      <c r="M37" s="3"/>
      <c r="N37" s="3"/>
      <c r="O37" s="3"/>
      <c r="P37" s="3"/>
    </row>
    <row r="38" spans="7:16" x14ac:dyDescent="0.35">
      <c r="G38" s="46"/>
      <c r="H38" s="135"/>
      <c r="I38" s="3"/>
      <c r="J38" s="3"/>
      <c r="K38" s="3"/>
      <c r="L38" s="3"/>
      <c r="M38" s="3"/>
      <c r="N38" s="3"/>
      <c r="O38" s="3"/>
      <c r="P38" s="3"/>
    </row>
    <row r="39" spans="7:16" x14ac:dyDescent="0.35">
      <c r="G39" s="46"/>
      <c r="H39" s="135"/>
      <c r="I39" s="3"/>
      <c r="J39" s="3"/>
      <c r="K39" s="3"/>
      <c r="L39" s="3"/>
      <c r="M39" s="3"/>
      <c r="N39" s="3"/>
      <c r="O39" s="3"/>
      <c r="P39" s="3"/>
    </row>
    <row r="40" spans="7:16" x14ac:dyDescent="0.35">
      <c r="G40" s="46"/>
      <c r="H40" s="135"/>
      <c r="I40" s="3"/>
      <c r="J40" s="3"/>
      <c r="K40" s="3"/>
      <c r="L40" s="3"/>
      <c r="M40" s="3"/>
      <c r="N40" s="3"/>
      <c r="O40" s="3"/>
      <c r="P40" s="3"/>
    </row>
    <row r="41" spans="7:16" x14ac:dyDescent="0.35">
      <c r="G41" s="46"/>
      <c r="H41" s="135"/>
      <c r="I41" s="3"/>
      <c r="J41" s="3"/>
      <c r="K41" s="3"/>
      <c r="L41" s="3"/>
      <c r="M41" s="3"/>
      <c r="N41" s="3"/>
      <c r="O41" s="3"/>
      <c r="P41" s="3"/>
    </row>
    <row r="42" spans="7:16" x14ac:dyDescent="0.35">
      <c r="G42" s="46"/>
      <c r="H42" s="135"/>
      <c r="I42" s="3"/>
      <c r="J42" s="3"/>
      <c r="K42" s="3"/>
      <c r="L42" s="3"/>
      <c r="M42" s="3"/>
      <c r="N42" s="3"/>
      <c r="O42" s="3"/>
      <c r="P42" s="3"/>
    </row>
    <row r="43" spans="7:16" x14ac:dyDescent="0.35">
      <c r="G43" s="46"/>
      <c r="H43" s="135"/>
      <c r="I43" s="3"/>
      <c r="J43" s="3"/>
      <c r="K43" s="3"/>
      <c r="L43" s="3"/>
      <c r="M43" s="3"/>
      <c r="N43" s="3"/>
      <c r="O43" s="3"/>
      <c r="P43" s="3"/>
    </row>
    <row r="44" spans="7:16" x14ac:dyDescent="0.35">
      <c r="G44" s="46"/>
      <c r="H44" s="135"/>
      <c r="I44" s="3"/>
      <c r="J44" s="3"/>
      <c r="K44" s="3"/>
      <c r="L44" s="3"/>
      <c r="M44" s="3"/>
      <c r="N44" s="3"/>
      <c r="O44" s="3"/>
      <c r="P44" s="3"/>
    </row>
    <row r="45" spans="7:16" x14ac:dyDescent="0.35">
      <c r="G45" s="46"/>
      <c r="H45" s="135"/>
      <c r="I45" s="3"/>
      <c r="J45" s="3"/>
      <c r="K45" s="3"/>
      <c r="L45" s="3"/>
      <c r="M45" s="3"/>
      <c r="N45" s="3"/>
      <c r="O45" s="3"/>
      <c r="P45" s="3"/>
    </row>
    <row r="46" spans="7:16" x14ac:dyDescent="0.35">
      <c r="G46" s="46"/>
      <c r="H46" s="135"/>
      <c r="I46" s="3"/>
      <c r="J46" s="3"/>
      <c r="K46" s="3"/>
      <c r="L46" s="3"/>
      <c r="M46" s="3"/>
      <c r="N46" s="3"/>
      <c r="O46" s="3"/>
      <c r="P46" s="3"/>
    </row>
    <row r="47" spans="7:16" x14ac:dyDescent="0.35">
      <c r="G47" s="46"/>
      <c r="H47" s="135"/>
      <c r="I47" s="3"/>
      <c r="J47" s="3"/>
      <c r="K47" s="3"/>
      <c r="L47" s="3"/>
      <c r="M47" s="3"/>
      <c r="N47" s="3"/>
      <c r="O47" s="3"/>
      <c r="P47" s="3"/>
    </row>
    <row r="48" spans="7:16" x14ac:dyDescent="0.35">
      <c r="G48" s="46"/>
      <c r="H48" s="135"/>
      <c r="I48" s="3"/>
      <c r="J48" s="3"/>
      <c r="K48" s="3"/>
      <c r="L48" s="3"/>
      <c r="M48" s="3"/>
      <c r="N48" s="3"/>
      <c r="O48" s="3"/>
      <c r="P48" s="3"/>
    </row>
    <row r="49" spans="7:16" x14ac:dyDescent="0.35">
      <c r="G49" s="46"/>
      <c r="H49" s="135"/>
      <c r="I49" s="3"/>
      <c r="J49" s="3"/>
      <c r="K49" s="3"/>
      <c r="L49" s="3"/>
      <c r="M49" s="3"/>
      <c r="N49" s="3"/>
      <c r="O49" s="3"/>
      <c r="P49" s="3"/>
    </row>
    <row r="50" spans="7:16" x14ac:dyDescent="0.35">
      <c r="G50" s="46"/>
      <c r="H50" s="135"/>
      <c r="I50" s="3"/>
      <c r="J50" s="3"/>
      <c r="K50" s="3"/>
      <c r="L50" s="3"/>
      <c r="M50" s="3"/>
      <c r="N50" s="3"/>
      <c r="O50" s="3"/>
      <c r="P50" s="3"/>
    </row>
    <row r="51" spans="7:16" x14ac:dyDescent="0.35">
      <c r="G51" s="46"/>
      <c r="H51" s="135"/>
      <c r="I51" s="3"/>
      <c r="J51" s="3"/>
      <c r="K51" s="3"/>
      <c r="L51" s="3"/>
      <c r="M51" s="3"/>
      <c r="N51" s="3"/>
      <c r="O51" s="3"/>
      <c r="P51" s="3"/>
    </row>
    <row r="52" spans="7:16" x14ac:dyDescent="0.35">
      <c r="G52" s="46"/>
      <c r="H52" s="135"/>
      <c r="I52" s="3"/>
      <c r="J52" s="3"/>
      <c r="K52" s="3"/>
      <c r="L52" s="3"/>
      <c r="M52" s="3"/>
      <c r="N52" s="3"/>
      <c r="O52" s="3"/>
      <c r="P52" s="3"/>
    </row>
    <row r="53" spans="7:16" x14ac:dyDescent="0.35">
      <c r="G53" s="46"/>
      <c r="H53" s="106"/>
      <c r="I53" s="3"/>
      <c r="J53" s="3"/>
      <c r="K53" s="3"/>
      <c r="L53" s="3"/>
      <c r="M53" s="3"/>
      <c r="N53" s="3"/>
      <c r="O53" s="3"/>
      <c r="P53" s="3"/>
    </row>
    <row r="54" spans="7:16" x14ac:dyDescent="0.35">
      <c r="G54" s="46"/>
      <c r="H54" s="106"/>
      <c r="I54" s="3"/>
      <c r="J54" s="3"/>
      <c r="K54" s="3"/>
      <c r="L54" s="3"/>
      <c r="M54" s="3"/>
      <c r="N54" s="3"/>
      <c r="O54" s="3"/>
      <c r="P54" s="3"/>
    </row>
    <row r="55" spans="7:16" x14ac:dyDescent="0.35">
      <c r="G55" s="46"/>
      <c r="H55" s="106"/>
      <c r="I55" s="3"/>
      <c r="J55" s="3"/>
      <c r="K55" s="3"/>
      <c r="L55" s="3"/>
      <c r="M55" s="3"/>
      <c r="N55" s="3"/>
      <c r="O55" s="3"/>
      <c r="P55" s="3"/>
    </row>
    <row r="56" spans="7:16" x14ac:dyDescent="0.35">
      <c r="G56" s="46"/>
      <c r="H56" s="106"/>
      <c r="I56" s="3"/>
      <c r="J56" s="3"/>
      <c r="K56" s="3"/>
      <c r="L56" s="3"/>
      <c r="M56" s="3"/>
      <c r="N56" s="3"/>
      <c r="O56" s="3"/>
      <c r="P56" s="3"/>
    </row>
    <row r="57" spans="7:16" x14ac:dyDescent="0.35">
      <c r="G57" s="46"/>
      <c r="H57" s="106"/>
      <c r="I57" s="3"/>
      <c r="J57" s="3"/>
      <c r="K57" s="3"/>
      <c r="L57" s="3"/>
      <c r="M57" s="3"/>
      <c r="N57" s="3"/>
      <c r="O57" s="3"/>
      <c r="P57" s="3"/>
    </row>
    <row r="58" spans="7:16" x14ac:dyDescent="0.35">
      <c r="G58" s="46"/>
      <c r="H58" s="106"/>
      <c r="I58" s="3"/>
      <c r="J58" s="3"/>
      <c r="K58" s="3"/>
      <c r="L58" s="3"/>
      <c r="M58" s="3"/>
      <c r="N58" s="3"/>
      <c r="O58" s="3"/>
      <c r="P58" s="3"/>
    </row>
    <row r="59" spans="7:16" x14ac:dyDescent="0.35">
      <c r="G59" s="46"/>
      <c r="H59" s="106"/>
      <c r="I59" s="3"/>
      <c r="J59" s="3"/>
      <c r="K59" s="3"/>
      <c r="L59" s="3"/>
      <c r="M59" s="3"/>
      <c r="N59" s="3"/>
      <c r="O59" s="3"/>
      <c r="P59" s="3"/>
    </row>
    <row r="60" spans="7:16" x14ac:dyDescent="0.35">
      <c r="G60" s="46"/>
      <c r="H60" s="106"/>
      <c r="I60" s="3"/>
      <c r="J60" s="3"/>
      <c r="K60" s="3"/>
      <c r="L60" s="3"/>
      <c r="M60" s="3"/>
      <c r="N60" s="3"/>
      <c r="O60" s="3"/>
      <c r="P60" s="3"/>
    </row>
    <row r="61" spans="7:16" x14ac:dyDescent="0.35">
      <c r="G61" s="46"/>
      <c r="H61" s="106"/>
      <c r="I61" s="3"/>
      <c r="J61" s="3"/>
      <c r="K61" s="3"/>
      <c r="L61" s="3"/>
      <c r="M61" s="3"/>
      <c r="N61" s="3"/>
      <c r="O61" s="3"/>
      <c r="P61" s="3"/>
    </row>
    <row r="62" spans="7:16" x14ac:dyDescent="0.35">
      <c r="G62" s="46"/>
      <c r="H62" s="106"/>
      <c r="I62" s="3"/>
      <c r="J62" s="3"/>
      <c r="K62" s="3"/>
      <c r="L62" s="3"/>
      <c r="M62" s="3"/>
      <c r="N62" s="3"/>
      <c r="O62" s="3"/>
      <c r="P62" s="3"/>
    </row>
    <row r="63" spans="7:16" x14ac:dyDescent="0.35">
      <c r="G63" s="46"/>
      <c r="H63" s="106"/>
      <c r="I63" s="3"/>
      <c r="J63" s="3"/>
      <c r="K63" s="3"/>
      <c r="L63" s="3"/>
      <c r="M63" s="3"/>
      <c r="N63" s="3"/>
      <c r="O63" s="3"/>
      <c r="P63" s="3"/>
    </row>
    <row r="64" spans="7:16" x14ac:dyDescent="0.35">
      <c r="G64" s="46"/>
      <c r="H64" s="106"/>
      <c r="I64" s="3"/>
      <c r="J64" s="3"/>
      <c r="K64" s="3"/>
      <c r="L64" s="3"/>
      <c r="M64" s="3"/>
      <c r="N64" s="3"/>
      <c r="O64" s="3"/>
      <c r="P64" s="3"/>
    </row>
    <row r="65" spans="7:16" x14ac:dyDescent="0.35">
      <c r="G65" s="46"/>
      <c r="H65" s="106"/>
      <c r="I65" s="3"/>
      <c r="J65" s="3"/>
      <c r="K65" s="3"/>
      <c r="L65" s="3"/>
      <c r="M65" s="3"/>
      <c r="N65" s="3"/>
      <c r="O65" s="3"/>
      <c r="P65" s="3"/>
    </row>
    <row r="66" spans="7:16" x14ac:dyDescent="0.35">
      <c r="G66" s="46"/>
      <c r="H66" s="106"/>
    </row>
    <row r="67" spans="7:16" x14ac:dyDescent="0.35">
      <c r="G67" s="46"/>
      <c r="H67" s="106"/>
    </row>
    <row r="68" spans="7:16" x14ac:dyDescent="0.35">
      <c r="G68" s="46"/>
      <c r="H68" s="106"/>
    </row>
    <row r="69" spans="7:16" x14ac:dyDescent="0.35">
      <c r="G69" s="46"/>
      <c r="H69" s="106"/>
    </row>
    <row r="70" spans="7:16" x14ac:dyDescent="0.35">
      <c r="G70" s="46"/>
      <c r="H70" s="106"/>
    </row>
    <row r="71" spans="7:16" x14ac:dyDescent="0.35">
      <c r="H71" s="135"/>
    </row>
    <row r="72" spans="7:16" x14ac:dyDescent="0.35">
      <c r="H72" s="136"/>
    </row>
    <row r="73" spans="7:16" x14ac:dyDescent="0.35">
      <c r="H73" s="136"/>
    </row>
    <row r="74" spans="7:16" x14ac:dyDescent="0.35">
      <c r="H74" s="136"/>
    </row>
    <row r="75" spans="7:16" x14ac:dyDescent="0.35">
      <c r="H75" s="136"/>
    </row>
    <row r="76" spans="7:16" x14ac:dyDescent="0.35">
      <c r="H76" s="136"/>
    </row>
    <row r="77" spans="7:16" x14ac:dyDescent="0.35">
      <c r="H77" s="136"/>
    </row>
    <row r="78" spans="7:16" x14ac:dyDescent="0.35">
      <c r="H78" s="136"/>
    </row>
    <row r="79" spans="7:16" x14ac:dyDescent="0.35">
      <c r="H79" s="136"/>
    </row>
    <row r="80" spans="7:16" x14ac:dyDescent="0.35">
      <c r="H80" s="136"/>
    </row>
    <row r="81" spans="8:8" x14ac:dyDescent="0.35">
      <c r="H81" s="136"/>
    </row>
    <row r="82" spans="8:8" x14ac:dyDescent="0.35">
      <c r="H82" s="136"/>
    </row>
    <row r="83" spans="8:8" x14ac:dyDescent="0.35">
      <c r="H83" s="136"/>
    </row>
    <row r="84" spans="8:8" x14ac:dyDescent="0.35">
      <c r="H84" s="136"/>
    </row>
    <row r="85" spans="8:8" x14ac:dyDescent="0.35">
      <c r="H85" s="136"/>
    </row>
    <row r="86" spans="8:8" x14ac:dyDescent="0.35">
      <c r="H86" s="136"/>
    </row>
    <row r="87" spans="8:8" x14ac:dyDescent="0.35">
      <c r="H87" s="136"/>
    </row>
    <row r="88" spans="8:8" x14ac:dyDescent="0.35">
      <c r="H88" s="136"/>
    </row>
    <row r="89" spans="8:8" x14ac:dyDescent="0.35">
      <c r="H89" s="136"/>
    </row>
    <row r="90" spans="8:8" x14ac:dyDescent="0.35">
      <c r="H90" s="136"/>
    </row>
    <row r="91" spans="8:8" x14ac:dyDescent="0.35">
      <c r="H91" s="136"/>
    </row>
    <row r="92" spans="8:8" x14ac:dyDescent="0.35">
      <c r="H92" s="136"/>
    </row>
    <row r="93" spans="8:8" x14ac:dyDescent="0.35">
      <c r="H93" s="136"/>
    </row>
    <row r="94" spans="8:8" x14ac:dyDescent="0.35">
      <c r="H94" s="136"/>
    </row>
    <row r="95" spans="8:8" x14ac:dyDescent="0.35">
      <c r="H95" s="136"/>
    </row>
    <row r="96" spans="8:8" x14ac:dyDescent="0.35">
      <c r="H96" s="136"/>
    </row>
    <row r="97" spans="8:8" x14ac:dyDescent="0.35">
      <c r="H97" s="136"/>
    </row>
    <row r="98" spans="8:8" x14ac:dyDescent="0.35">
      <c r="H98" s="136"/>
    </row>
    <row r="99" spans="8:8" x14ac:dyDescent="0.35">
      <c r="H99" s="136"/>
    </row>
    <row r="100" spans="8:8" x14ac:dyDescent="0.35">
      <c r="H100" s="136"/>
    </row>
    <row r="101" spans="8:8" x14ac:dyDescent="0.35">
      <c r="H101" s="136"/>
    </row>
    <row r="102" spans="8:8" x14ac:dyDescent="0.35">
      <c r="H102" s="136"/>
    </row>
    <row r="103" spans="8:8" x14ac:dyDescent="0.35">
      <c r="H103" s="136"/>
    </row>
    <row r="104" spans="8:8" x14ac:dyDescent="0.35">
      <c r="H104" s="136"/>
    </row>
    <row r="105" spans="8:8" x14ac:dyDescent="0.35">
      <c r="H105" s="136"/>
    </row>
    <row r="106" spans="8:8" x14ac:dyDescent="0.35">
      <c r="H106" s="136"/>
    </row>
    <row r="107" spans="8:8" x14ac:dyDescent="0.35">
      <c r="H107" s="136"/>
    </row>
    <row r="108" spans="8:8" x14ac:dyDescent="0.35">
      <c r="H108" s="136"/>
    </row>
    <row r="109" spans="8:8" x14ac:dyDescent="0.35">
      <c r="H109" s="136"/>
    </row>
    <row r="110" spans="8:8" x14ac:dyDescent="0.35">
      <c r="H110" s="136"/>
    </row>
    <row r="111" spans="8:8" x14ac:dyDescent="0.35">
      <c r="H111" s="136"/>
    </row>
    <row r="112" spans="8:8" x14ac:dyDescent="0.35">
      <c r="H112" s="136"/>
    </row>
    <row r="113" spans="8:8" x14ac:dyDescent="0.35">
      <c r="H113" s="136"/>
    </row>
    <row r="114" spans="8:8" x14ac:dyDescent="0.35">
      <c r="H114" s="136"/>
    </row>
    <row r="115" spans="8:8" x14ac:dyDescent="0.35">
      <c r="H115" s="136"/>
    </row>
    <row r="116" spans="8:8" x14ac:dyDescent="0.35">
      <c r="H116" s="136"/>
    </row>
    <row r="117" spans="8:8" x14ac:dyDescent="0.35">
      <c r="H117" s="136"/>
    </row>
    <row r="118" spans="8:8" x14ac:dyDescent="0.35">
      <c r="H118" s="136"/>
    </row>
    <row r="119" spans="8:8" x14ac:dyDescent="0.35">
      <c r="H119" s="136"/>
    </row>
    <row r="120" spans="8:8" x14ac:dyDescent="0.35">
      <c r="H120" s="136"/>
    </row>
    <row r="121" spans="8:8" x14ac:dyDescent="0.35">
      <c r="H121" s="136"/>
    </row>
    <row r="122" spans="8:8" x14ac:dyDescent="0.35">
      <c r="H122" s="136"/>
    </row>
    <row r="123" spans="8:8" x14ac:dyDescent="0.35">
      <c r="H123" s="136"/>
    </row>
    <row r="124" spans="8:8" x14ac:dyDescent="0.35">
      <c r="H124" s="136"/>
    </row>
    <row r="125" spans="8:8" x14ac:dyDescent="0.35">
      <c r="H125" s="136"/>
    </row>
    <row r="126" spans="8:8" x14ac:dyDescent="0.35">
      <c r="H126" s="136"/>
    </row>
    <row r="127" spans="8:8" x14ac:dyDescent="0.35">
      <c r="H127" s="136"/>
    </row>
    <row r="128" spans="8:8" x14ac:dyDescent="0.35">
      <c r="H128" s="136"/>
    </row>
    <row r="129" spans="8:8" x14ac:dyDescent="0.35">
      <c r="H129" s="136"/>
    </row>
    <row r="130" spans="8:8" x14ac:dyDescent="0.35">
      <c r="H130" s="136"/>
    </row>
    <row r="131" spans="8:8" x14ac:dyDescent="0.35">
      <c r="H131" s="136"/>
    </row>
    <row r="132" spans="8:8" x14ac:dyDescent="0.35">
      <c r="H132" s="136"/>
    </row>
    <row r="133" spans="8:8" x14ac:dyDescent="0.35">
      <c r="H133" s="136"/>
    </row>
    <row r="134" spans="8:8" x14ac:dyDescent="0.35">
      <c r="H134" s="136"/>
    </row>
    <row r="135" spans="8:8" x14ac:dyDescent="0.35">
      <c r="H135" s="136"/>
    </row>
    <row r="136" spans="8:8" x14ac:dyDescent="0.35">
      <c r="H136" s="136"/>
    </row>
    <row r="137" spans="8:8" x14ac:dyDescent="0.35">
      <c r="H137" s="136"/>
    </row>
    <row r="138" spans="8:8" x14ac:dyDescent="0.35">
      <c r="H138" s="136"/>
    </row>
    <row r="139" spans="8:8" x14ac:dyDescent="0.35">
      <c r="H139" s="136"/>
    </row>
    <row r="140" spans="8:8" x14ac:dyDescent="0.35">
      <c r="H140" s="136"/>
    </row>
    <row r="141" spans="8:8" x14ac:dyDescent="0.35">
      <c r="H141" s="136"/>
    </row>
    <row r="142" spans="8:8" x14ac:dyDescent="0.35">
      <c r="H142" s="136"/>
    </row>
    <row r="143" spans="8:8" x14ac:dyDescent="0.35">
      <c r="H143" s="136"/>
    </row>
    <row r="144" spans="8:8" x14ac:dyDescent="0.35">
      <c r="H144" s="136"/>
    </row>
    <row r="145" spans="8:8" x14ac:dyDescent="0.35">
      <c r="H145" s="136"/>
    </row>
    <row r="146" spans="8:8" x14ac:dyDescent="0.35">
      <c r="H146" s="136"/>
    </row>
    <row r="147" spans="8:8" x14ac:dyDescent="0.35">
      <c r="H147" s="136"/>
    </row>
    <row r="148" spans="8:8" x14ac:dyDescent="0.35">
      <c r="H148" s="136"/>
    </row>
    <row r="149" spans="8:8" x14ac:dyDescent="0.35">
      <c r="H149" s="136"/>
    </row>
    <row r="150" spans="8:8" x14ac:dyDescent="0.35">
      <c r="H150" s="136"/>
    </row>
    <row r="151" spans="8:8" x14ac:dyDescent="0.35">
      <c r="H151" s="136"/>
    </row>
    <row r="152" spans="8:8" x14ac:dyDescent="0.35">
      <c r="H152" s="136"/>
    </row>
    <row r="153" spans="8:8" x14ac:dyDescent="0.35">
      <c r="H153" s="136"/>
    </row>
    <row r="154" spans="8:8" x14ac:dyDescent="0.35">
      <c r="H154" s="136"/>
    </row>
    <row r="155" spans="8:8" x14ac:dyDescent="0.35">
      <c r="H155" s="136"/>
    </row>
    <row r="156" spans="8:8" x14ac:dyDescent="0.35">
      <c r="H156" s="136"/>
    </row>
    <row r="157" spans="8:8" x14ac:dyDescent="0.35">
      <c r="H157" s="136"/>
    </row>
    <row r="158" spans="8:8" x14ac:dyDescent="0.35">
      <c r="H158" s="136"/>
    </row>
    <row r="159" spans="8:8" x14ac:dyDescent="0.35">
      <c r="H159" s="136"/>
    </row>
    <row r="160" spans="8:8" x14ac:dyDescent="0.35">
      <c r="H160" s="136"/>
    </row>
    <row r="161" spans="8:8" x14ac:dyDescent="0.35">
      <c r="H161" s="136"/>
    </row>
    <row r="162" spans="8:8" x14ac:dyDescent="0.35">
      <c r="H162" s="136"/>
    </row>
    <row r="163" spans="8:8" x14ac:dyDescent="0.35">
      <c r="H163" s="136"/>
    </row>
    <row r="164" spans="8:8" x14ac:dyDescent="0.35">
      <c r="H164" s="136"/>
    </row>
    <row r="165" spans="8:8" x14ac:dyDescent="0.35">
      <c r="H165" s="136"/>
    </row>
    <row r="166" spans="8:8" x14ac:dyDescent="0.35">
      <c r="H166" s="136"/>
    </row>
    <row r="167" spans="8:8" x14ac:dyDescent="0.35">
      <c r="H167" s="136"/>
    </row>
    <row r="168" spans="8:8" x14ac:dyDescent="0.35">
      <c r="H168" s="136"/>
    </row>
    <row r="169" spans="8:8" x14ac:dyDescent="0.35">
      <c r="H169" s="136"/>
    </row>
    <row r="170" spans="8:8" x14ac:dyDescent="0.35">
      <c r="H170" s="136"/>
    </row>
    <row r="171" spans="8:8" x14ac:dyDescent="0.35">
      <c r="H171" s="136"/>
    </row>
    <row r="172" spans="8:8" x14ac:dyDescent="0.35">
      <c r="H172" s="136"/>
    </row>
    <row r="173" spans="8:8" x14ac:dyDescent="0.35">
      <c r="H173" s="136"/>
    </row>
    <row r="174" spans="8:8" x14ac:dyDescent="0.35">
      <c r="H174" s="136"/>
    </row>
    <row r="175" spans="8:8" x14ac:dyDescent="0.35">
      <c r="H175" s="136"/>
    </row>
    <row r="176" spans="8:8" x14ac:dyDescent="0.35">
      <c r="H176" s="136"/>
    </row>
    <row r="177" spans="8:8" x14ac:dyDescent="0.35">
      <c r="H177" s="136"/>
    </row>
    <row r="178" spans="8:8" x14ac:dyDescent="0.35">
      <c r="H178" s="136"/>
    </row>
    <row r="179" spans="8:8" x14ac:dyDescent="0.35">
      <c r="H179" s="136"/>
    </row>
    <row r="180" spans="8:8" x14ac:dyDescent="0.35">
      <c r="H180" s="136"/>
    </row>
    <row r="181" spans="8:8" x14ac:dyDescent="0.35">
      <c r="H181" s="136"/>
    </row>
    <row r="182" spans="8:8" x14ac:dyDescent="0.35">
      <c r="H182" s="136"/>
    </row>
    <row r="183" spans="8:8" x14ac:dyDescent="0.35">
      <c r="H183" s="136"/>
    </row>
    <row r="184" spans="8:8" x14ac:dyDescent="0.35">
      <c r="H184" s="136"/>
    </row>
    <row r="185" spans="8:8" x14ac:dyDescent="0.35">
      <c r="H185" s="136"/>
    </row>
    <row r="186" spans="8:8" x14ac:dyDescent="0.35">
      <c r="H186" s="136"/>
    </row>
    <row r="187" spans="8:8" x14ac:dyDescent="0.35">
      <c r="H187" s="136"/>
    </row>
    <row r="188" spans="8:8" x14ac:dyDescent="0.35">
      <c r="H188" s="136"/>
    </row>
    <row r="189" spans="8:8" x14ac:dyDescent="0.35">
      <c r="H189" s="136"/>
    </row>
    <row r="190" spans="8:8" x14ac:dyDescent="0.35">
      <c r="H190" s="136"/>
    </row>
    <row r="191" spans="8:8" x14ac:dyDescent="0.35">
      <c r="H191" s="136"/>
    </row>
    <row r="192" spans="8:8" x14ac:dyDescent="0.35">
      <c r="H192" s="136"/>
    </row>
    <row r="193" spans="8:8" x14ac:dyDescent="0.35">
      <c r="H193" s="136"/>
    </row>
    <row r="194" spans="8:8" x14ac:dyDescent="0.35">
      <c r="H194" s="136"/>
    </row>
    <row r="195" spans="8:8" x14ac:dyDescent="0.35">
      <c r="H195" s="136"/>
    </row>
    <row r="196" spans="8:8" x14ac:dyDescent="0.35">
      <c r="H196" s="136"/>
    </row>
    <row r="197" spans="8:8" x14ac:dyDescent="0.35">
      <c r="H197" s="136"/>
    </row>
    <row r="198" spans="8:8" x14ac:dyDescent="0.35">
      <c r="H198" s="136"/>
    </row>
    <row r="199" spans="8:8" x14ac:dyDescent="0.35">
      <c r="H199" s="136"/>
    </row>
    <row r="200" spans="8:8" x14ac:dyDescent="0.35">
      <c r="H200" s="136"/>
    </row>
    <row r="201" spans="8:8" x14ac:dyDescent="0.35">
      <c r="H201" s="136"/>
    </row>
    <row r="202" spans="8:8" x14ac:dyDescent="0.35">
      <c r="H202" s="136"/>
    </row>
    <row r="203" spans="8:8" x14ac:dyDescent="0.35">
      <c r="H203" s="136"/>
    </row>
    <row r="204" spans="8:8" x14ac:dyDescent="0.35">
      <c r="H204" s="136"/>
    </row>
    <row r="205" spans="8:8" x14ac:dyDescent="0.35">
      <c r="H205" s="136"/>
    </row>
    <row r="206" spans="8:8" x14ac:dyDescent="0.35">
      <c r="H206" s="136"/>
    </row>
    <row r="207" spans="8:8" x14ac:dyDescent="0.35">
      <c r="H207" s="136"/>
    </row>
    <row r="208" spans="8:8" x14ac:dyDescent="0.35">
      <c r="H208" s="136"/>
    </row>
    <row r="209" spans="8:8" x14ac:dyDescent="0.35">
      <c r="H209" s="136"/>
    </row>
    <row r="210" spans="8:8" x14ac:dyDescent="0.35">
      <c r="H210" s="136"/>
    </row>
    <row r="211" spans="8:8" x14ac:dyDescent="0.35">
      <c r="H211" s="136"/>
    </row>
    <row r="212" spans="8:8" x14ac:dyDescent="0.35">
      <c r="H212" s="136"/>
    </row>
    <row r="213" spans="8:8" x14ac:dyDescent="0.35">
      <c r="H213" s="136"/>
    </row>
    <row r="214" spans="8:8" x14ac:dyDescent="0.35">
      <c r="H214" s="136"/>
    </row>
    <row r="215" spans="8:8" x14ac:dyDescent="0.35">
      <c r="H215" s="136"/>
    </row>
    <row r="216" spans="8:8" x14ac:dyDescent="0.35">
      <c r="H216" s="136"/>
    </row>
    <row r="217" spans="8:8" x14ac:dyDescent="0.35">
      <c r="H217" s="136"/>
    </row>
    <row r="218" spans="8:8" x14ac:dyDescent="0.35">
      <c r="H218" s="136"/>
    </row>
    <row r="219" spans="8:8" x14ac:dyDescent="0.35">
      <c r="H219" s="136"/>
    </row>
    <row r="220" spans="8:8" x14ac:dyDescent="0.35">
      <c r="H220" s="136"/>
    </row>
    <row r="221" spans="8:8" x14ac:dyDescent="0.35">
      <c r="H221" s="136"/>
    </row>
    <row r="222" spans="8:8" x14ac:dyDescent="0.35">
      <c r="H222" s="136"/>
    </row>
    <row r="223" spans="8:8" x14ac:dyDescent="0.35">
      <c r="H223" s="136"/>
    </row>
    <row r="224" spans="8:8" x14ac:dyDescent="0.35">
      <c r="H224" s="136"/>
    </row>
    <row r="225" spans="8:8" x14ac:dyDescent="0.35">
      <c r="H225" s="136"/>
    </row>
    <row r="226" spans="8:8" x14ac:dyDescent="0.35">
      <c r="H226" s="136"/>
    </row>
    <row r="227" spans="8:8" x14ac:dyDescent="0.35">
      <c r="H227" s="136"/>
    </row>
    <row r="228" spans="8:8" x14ac:dyDescent="0.35">
      <c r="H228" s="136"/>
    </row>
    <row r="229" spans="8:8" x14ac:dyDescent="0.35">
      <c r="H229" s="136"/>
    </row>
    <row r="230" spans="8:8" x14ac:dyDescent="0.35">
      <c r="H230" s="136"/>
    </row>
    <row r="231" spans="8:8" x14ac:dyDescent="0.35">
      <c r="H231" s="136"/>
    </row>
    <row r="232" spans="8:8" x14ac:dyDescent="0.35">
      <c r="H232" s="136"/>
    </row>
    <row r="233" spans="8:8" x14ac:dyDescent="0.35">
      <c r="H233" s="136"/>
    </row>
    <row r="234" spans="8:8" x14ac:dyDescent="0.35">
      <c r="H234" s="136"/>
    </row>
    <row r="235" spans="8:8" x14ac:dyDescent="0.35">
      <c r="H235" s="136"/>
    </row>
    <row r="236" spans="8:8" x14ac:dyDescent="0.35">
      <c r="H236" s="136"/>
    </row>
    <row r="237" spans="8:8" x14ac:dyDescent="0.35">
      <c r="H237" s="136"/>
    </row>
    <row r="238" spans="8:8" x14ac:dyDescent="0.35">
      <c r="H238" s="136"/>
    </row>
    <row r="239" spans="8:8" x14ac:dyDescent="0.35">
      <c r="H239" s="136"/>
    </row>
    <row r="240" spans="8:8" x14ac:dyDescent="0.35">
      <c r="H240" s="136"/>
    </row>
    <row r="241" spans="8:8" x14ac:dyDescent="0.35">
      <c r="H241" s="136"/>
    </row>
    <row r="242" spans="8:8" x14ac:dyDescent="0.35">
      <c r="H242" s="136"/>
    </row>
    <row r="243" spans="8:8" x14ac:dyDescent="0.35">
      <c r="H243" s="136"/>
    </row>
    <row r="244" spans="8:8" x14ac:dyDescent="0.35">
      <c r="H244" s="136"/>
    </row>
    <row r="245" spans="8:8" x14ac:dyDescent="0.35">
      <c r="H245" s="136"/>
    </row>
    <row r="246" spans="8:8" x14ac:dyDescent="0.35">
      <c r="H246" s="136"/>
    </row>
    <row r="247" spans="8:8" x14ac:dyDescent="0.35">
      <c r="H247" s="136"/>
    </row>
    <row r="248" spans="8:8" x14ac:dyDescent="0.35">
      <c r="H248" s="136"/>
    </row>
    <row r="249" spans="8:8" x14ac:dyDescent="0.35">
      <c r="H249" s="136"/>
    </row>
    <row r="250" spans="8:8" x14ac:dyDescent="0.35">
      <c r="H250" s="136"/>
    </row>
    <row r="251" spans="8:8" x14ac:dyDescent="0.35">
      <c r="H251" s="136"/>
    </row>
    <row r="252" spans="8:8" x14ac:dyDescent="0.35">
      <c r="H252" s="136"/>
    </row>
    <row r="253" spans="8:8" x14ac:dyDescent="0.35">
      <c r="H253" s="136"/>
    </row>
    <row r="254" spans="8:8" x14ac:dyDescent="0.35">
      <c r="H254" s="136"/>
    </row>
    <row r="255" spans="8:8" x14ac:dyDescent="0.35">
      <c r="H255" s="136"/>
    </row>
    <row r="256" spans="8:8" x14ac:dyDescent="0.35">
      <c r="H256" s="136"/>
    </row>
    <row r="257" spans="8:8" x14ac:dyDescent="0.35">
      <c r="H257" s="136"/>
    </row>
    <row r="258" spans="8:8" x14ac:dyDescent="0.35">
      <c r="H258" s="136"/>
    </row>
    <row r="259" spans="8:8" x14ac:dyDescent="0.35">
      <c r="H259" s="136"/>
    </row>
    <row r="260" spans="8:8" x14ac:dyDescent="0.35">
      <c r="H260" s="136"/>
    </row>
    <row r="261" spans="8:8" x14ac:dyDescent="0.35">
      <c r="H261" s="136"/>
    </row>
    <row r="262" spans="8:8" x14ac:dyDescent="0.35">
      <c r="H262" s="136"/>
    </row>
    <row r="263" spans="8:8" x14ac:dyDescent="0.35">
      <c r="H263" s="136"/>
    </row>
    <row r="264" spans="8:8" x14ac:dyDescent="0.35">
      <c r="H264" s="136"/>
    </row>
    <row r="265" spans="8:8" x14ac:dyDescent="0.35">
      <c r="H265" s="136"/>
    </row>
    <row r="266" spans="8:8" x14ac:dyDescent="0.35">
      <c r="H266" s="136"/>
    </row>
    <row r="267" spans="8:8" x14ac:dyDescent="0.35">
      <c r="H267" s="136"/>
    </row>
    <row r="268" spans="8:8" x14ac:dyDescent="0.35">
      <c r="H268" s="136"/>
    </row>
    <row r="269" spans="8:8" x14ac:dyDescent="0.35">
      <c r="H269" s="136"/>
    </row>
    <row r="270" spans="8:8" x14ac:dyDescent="0.35">
      <c r="H270" s="136"/>
    </row>
    <row r="271" spans="8:8" x14ac:dyDescent="0.35">
      <c r="H271" s="136"/>
    </row>
    <row r="272" spans="8:8" x14ac:dyDescent="0.35">
      <c r="H272" s="136"/>
    </row>
    <row r="273" spans="8:8" x14ac:dyDescent="0.35">
      <c r="H273" s="136"/>
    </row>
    <row r="274" spans="8:8" x14ac:dyDescent="0.35">
      <c r="H274" s="136"/>
    </row>
    <row r="275" spans="8:8" x14ac:dyDescent="0.35">
      <c r="H275" s="136"/>
    </row>
    <row r="276" spans="8:8" x14ac:dyDescent="0.35">
      <c r="H276" s="136"/>
    </row>
    <row r="277" spans="8:8" x14ac:dyDescent="0.35">
      <c r="H277" s="136"/>
    </row>
    <row r="278" spans="8:8" x14ac:dyDescent="0.35">
      <c r="H278" s="136"/>
    </row>
    <row r="279" spans="8:8" x14ac:dyDescent="0.35">
      <c r="H279" s="136"/>
    </row>
    <row r="280" spans="8:8" x14ac:dyDescent="0.35">
      <c r="H280" s="136"/>
    </row>
    <row r="281" spans="8:8" x14ac:dyDescent="0.35">
      <c r="H281" s="136"/>
    </row>
    <row r="282" spans="8:8" x14ac:dyDescent="0.35">
      <c r="H282" s="136"/>
    </row>
    <row r="283" spans="8:8" x14ac:dyDescent="0.35">
      <c r="H283" s="136"/>
    </row>
    <row r="284" spans="8:8" x14ac:dyDescent="0.35">
      <c r="H284" s="136"/>
    </row>
    <row r="285" spans="8:8" x14ac:dyDescent="0.35">
      <c r="H285" s="136"/>
    </row>
    <row r="286" spans="8:8" x14ac:dyDescent="0.35">
      <c r="H286" s="136"/>
    </row>
    <row r="287" spans="8:8" x14ac:dyDescent="0.35">
      <c r="H287" s="136"/>
    </row>
    <row r="288" spans="8:8" x14ac:dyDescent="0.35">
      <c r="H288" s="136"/>
    </row>
    <row r="289" spans="8:8" x14ac:dyDescent="0.35">
      <c r="H289" s="136"/>
    </row>
    <row r="290" spans="8:8" x14ac:dyDescent="0.35">
      <c r="H290" s="136"/>
    </row>
    <row r="291" spans="8:8" x14ac:dyDescent="0.35">
      <c r="H291" s="136"/>
    </row>
    <row r="292" spans="8:8" x14ac:dyDescent="0.35">
      <c r="H292" s="136"/>
    </row>
    <row r="293" spans="8:8" x14ac:dyDescent="0.35">
      <c r="H293" s="136"/>
    </row>
    <row r="294" spans="8:8" x14ac:dyDescent="0.35">
      <c r="H294" s="136"/>
    </row>
    <row r="295" spans="8:8" x14ac:dyDescent="0.35">
      <c r="H295" s="136"/>
    </row>
    <row r="296" spans="8:8" x14ac:dyDescent="0.35">
      <c r="H296" s="136"/>
    </row>
    <row r="297" spans="8:8" x14ac:dyDescent="0.35">
      <c r="H297" s="136"/>
    </row>
    <row r="298" spans="8:8" x14ac:dyDescent="0.35">
      <c r="H298" s="136"/>
    </row>
    <row r="299" spans="8:8" x14ac:dyDescent="0.35">
      <c r="H299" s="136"/>
    </row>
    <row r="300" spans="8:8" x14ac:dyDescent="0.35">
      <c r="H300" s="136"/>
    </row>
    <row r="301" spans="8:8" x14ac:dyDescent="0.35">
      <c r="H301" s="136"/>
    </row>
    <row r="302" spans="8:8" x14ac:dyDescent="0.35">
      <c r="H302" s="136"/>
    </row>
    <row r="303" spans="8:8" x14ac:dyDescent="0.35">
      <c r="H303" s="136"/>
    </row>
    <row r="304" spans="8:8" x14ac:dyDescent="0.35">
      <c r="H304" s="136"/>
    </row>
    <row r="305" spans="8:8" x14ac:dyDescent="0.35">
      <c r="H305" s="136"/>
    </row>
    <row r="306" spans="8:8" x14ac:dyDescent="0.35">
      <c r="H306" s="136"/>
    </row>
    <row r="307" spans="8:8" x14ac:dyDescent="0.35">
      <c r="H307" s="136"/>
    </row>
    <row r="308" spans="8:8" x14ac:dyDescent="0.35">
      <c r="H308" s="136"/>
    </row>
    <row r="309" spans="8:8" x14ac:dyDescent="0.35">
      <c r="H309" s="136"/>
    </row>
    <row r="310" spans="8:8" x14ac:dyDescent="0.35">
      <c r="H310" s="136"/>
    </row>
    <row r="311" spans="8:8" x14ac:dyDescent="0.35">
      <c r="H311" s="136"/>
    </row>
    <row r="312" spans="8:8" x14ac:dyDescent="0.35">
      <c r="H312" s="136"/>
    </row>
    <row r="313" spans="8:8" x14ac:dyDescent="0.35">
      <c r="H313" s="136"/>
    </row>
    <row r="314" spans="8:8" x14ac:dyDescent="0.35">
      <c r="H314" s="136"/>
    </row>
    <row r="315" spans="8:8" x14ac:dyDescent="0.35">
      <c r="H315" s="136"/>
    </row>
    <row r="316" spans="8:8" x14ac:dyDescent="0.35">
      <c r="H316" s="136"/>
    </row>
    <row r="317" spans="8:8" x14ac:dyDescent="0.35">
      <c r="H317" s="136"/>
    </row>
    <row r="318" spans="8:8" x14ac:dyDescent="0.35">
      <c r="H318" s="136"/>
    </row>
    <row r="319" spans="8:8" x14ac:dyDescent="0.35">
      <c r="H319" s="136"/>
    </row>
    <row r="320" spans="8:8" x14ac:dyDescent="0.35">
      <c r="H320" s="136"/>
    </row>
    <row r="321" spans="8:8" x14ac:dyDescent="0.35">
      <c r="H321" s="136"/>
    </row>
    <row r="322" spans="8:8" x14ac:dyDescent="0.35">
      <c r="H322" s="136"/>
    </row>
    <row r="323" spans="8:8" x14ac:dyDescent="0.35">
      <c r="H323" s="136"/>
    </row>
    <row r="324" spans="8:8" x14ac:dyDescent="0.35">
      <c r="H324" s="136"/>
    </row>
    <row r="325" spans="8:8" x14ac:dyDescent="0.35">
      <c r="H325" s="136"/>
    </row>
    <row r="326" spans="8:8" x14ac:dyDescent="0.35">
      <c r="H326" s="136"/>
    </row>
    <row r="327" spans="8:8" x14ac:dyDescent="0.35">
      <c r="H327" s="136"/>
    </row>
    <row r="328" spans="8:8" x14ac:dyDescent="0.35">
      <c r="H328" s="136"/>
    </row>
    <row r="329" spans="8:8" x14ac:dyDescent="0.35">
      <c r="H329" s="136"/>
    </row>
    <row r="330" spans="8:8" x14ac:dyDescent="0.35">
      <c r="H330" s="136"/>
    </row>
    <row r="331" spans="8:8" x14ac:dyDescent="0.35">
      <c r="H331" s="136"/>
    </row>
    <row r="332" spans="8:8" x14ac:dyDescent="0.35">
      <c r="H332" s="136"/>
    </row>
    <row r="333" spans="8:8" x14ac:dyDescent="0.35">
      <c r="H333" s="136"/>
    </row>
    <row r="334" spans="8:8" x14ac:dyDescent="0.35">
      <c r="H334" s="136"/>
    </row>
    <row r="335" spans="8:8" x14ac:dyDescent="0.35">
      <c r="H335" s="136"/>
    </row>
    <row r="336" spans="8:8" x14ac:dyDescent="0.35">
      <c r="H336" s="136"/>
    </row>
    <row r="337" spans="8:8" x14ac:dyDescent="0.35">
      <c r="H337" s="136"/>
    </row>
    <row r="338" spans="8:8" x14ac:dyDescent="0.35">
      <c r="H338" s="136"/>
    </row>
    <row r="339" spans="8:8" x14ac:dyDescent="0.35">
      <c r="H339" s="136"/>
    </row>
    <row r="340" spans="8:8" x14ac:dyDescent="0.35">
      <c r="H340" s="136"/>
    </row>
    <row r="341" spans="8:8" x14ac:dyDescent="0.35">
      <c r="H341" s="136"/>
    </row>
    <row r="342" spans="8:8" x14ac:dyDescent="0.35">
      <c r="H342" s="136"/>
    </row>
    <row r="343" spans="8:8" x14ac:dyDescent="0.35">
      <c r="H343" s="136"/>
    </row>
    <row r="344" spans="8:8" x14ac:dyDescent="0.35">
      <c r="H344" s="136"/>
    </row>
  </sheetData>
  <conditionalFormatting sqref="I1:P2">
    <cfRule type="containsText" dxfId="2" priority="1" operator="containsText" text="CR-ACC">
      <formula>NOT(ISERROR(SEARCH("CR-ACC",I1)))</formula>
    </cfRule>
  </conditionalFormatting>
  <conditionalFormatting sqref="Q1:Q1048576">
    <cfRule type="containsText" dxfId="1" priority="2" operator="containsText" text="CR-ACC">
      <formula>NOT(ISERROR(SEARCH("CR-ACC",Q1)))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86"/>
  <sheetViews>
    <sheetView zoomScale="90" zoomScaleNormal="90" workbookViewId="0">
      <selection activeCell="M9" sqref="M9"/>
    </sheetView>
  </sheetViews>
  <sheetFormatPr defaultRowHeight="14.5" x14ac:dyDescent="0.35"/>
  <cols>
    <col min="1" max="1" width="22.81640625" style="5" bestFit="1" customWidth="1"/>
    <col min="2" max="2" width="13.6328125" style="3" bestFit="1" customWidth="1"/>
    <col min="3" max="3" width="9.08984375" style="3"/>
    <col min="8" max="8" width="9.54296875" bestFit="1" customWidth="1"/>
    <col min="9" max="9" width="12.08984375" bestFit="1" customWidth="1"/>
    <col min="10" max="10" width="16.90625" bestFit="1" customWidth="1"/>
    <col min="11" max="11" width="11.453125" bestFit="1" customWidth="1"/>
    <col min="12" max="12" width="16.90625" bestFit="1" customWidth="1"/>
    <col min="13" max="13" width="11.54296875" bestFit="1" customWidth="1"/>
    <col min="15" max="15" width="11.36328125" bestFit="1" customWidth="1"/>
    <col min="16" max="16" width="16.90625" bestFit="1" customWidth="1"/>
  </cols>
  <sheetData>
    <row r="1" spans="1:16" x14ac:dyDescent="0.35">
      <c r="A1" s="121" t="s">
        <v>150</v>
      </c>
      <c r="B1" s="108"/>
      <c r="C1" s="108"/>
      <c r="M1" s="94"/>
      <c r="N1" s="94"/>
      <c r="O1" s="94"/>
      <c r="P1" s="94"/>
    </row>
    <row r="2" spans="1:16" x14ac:dyDescent="0.35">
      <c r="A2" s="122" t="s">
        <v>147</v>
      </c>
      <c r="B2" s="2" t="s">
        <v>3</v>
      </c>
      <c r="C2" s="2" t="s">
        <v>67</v>
      </c>
      <c r="H2" s="134"/>
      <c r="I2" s="8"/>
      <c r="K2" s="133"/>
      <c r="L2" s="94"/>
      <c r="M2" s="94"/>
      <c r="N2" s="94"/>
      <c r="O2" s="94"/>
      <c r="P2" s="94"/>
    </row>
    <row r="3" spans="1:16" ht="16.5" x14ac:dyDescent="0.35">
      <c r="A3" s="5" t="s">
        <v>100</v>
      </c>
      <c r="B3" s="3">
        <v>60</v>
      </c>
      <c r="C3" s="3" t="s">
        <v>104</v>
      </c>
      <c r="H3" s="134"/>
    </row>
    <row r="4" spans="1:16" ht="16.5" x14ac:dyDescent="0.35">
      <c r="A4" s="5" t="s">
        <v>101</v>
      </c>
      <c r="B4" s="106">
        <v>0.5</v>
      </c>
      <c r="C4" s="3" t="s">
        <v>65</v>
      </c>
      <c r="H4" s="134"/>
    </row>
    <row r="5" spans="1:16" x14ac:dyDescent="0.35">
      <c r="A5" s="5" t="s">
        <v>102</v>
      </c>
      <c r="B5" s="93">
        <v>5.5E-2</v>
      </c>
      <c r="H5" s="134"/>
    </row>
    <row r="6" spans="1:16" ht="16.5" x14ac:dyDescent="0.35">
      <c r="A6" s="55" t="s">
        <v>80</v>
      </c>
      <c r="B6" s="61">
        <v>-34.68</v>
      </c>
      <c r="C6" s="3" t="s">
        <v>103</v>
      </c>
      <c r="H6" s="134"/>
    </row>
    <row r="7" spans="1:16" ht="16.5" x14ac:dyDescent="0.35">
      <c r="A7" s="55" t="s">
        <v>81</v>
      </c>
      <c r="B7" s="61">
        <v>-6.64</v>
      </c>
      <c r="C7" s="3" t="s">
        <v>103</v>
      </c>
      <c r="H7" s="134"/>
    </row>
    <row r="8" spans="1:16" ht="16.5" x14ac:dyDescent="0.35">
      <c r="A8" s="55" t="s">
        <v>82</v>
      </c>
      <c r="B8" s="61">
        <v>-10</v>
      </c>
      <c r="C8" s="3" t="s">
        <v>103</v>
      </c>
      <c r="H8" s="134"/>
    </row>
    <row r="9" spans="1:16" x14ac:dyDescent="0.35">
      <c r="A9" s="55" t="s">
        <v>114</v>
      </c>
      <c r="B9" s="67">
        <v>5</v>
      </c>
      <c r="C9" s="3" t="s">
        <v>25</v>
      </c>
      <c r="H9" s="134"/>
    </row>
    <row r="10" spans="1:16" x14ac:dyDescent="0.35">
      <c r="A10" s="55" t="s">
        <v>122</v>
      </c>
      <c r="B10" s="67">
        <v>10</v>
      </c>
      <c r="C10" s="3" t="s">
        <v>25</v>
      </c>
      <c r="H10" s="134"/>
    </row>
    <row r="11" spans="1:16" ht="16.5" x14ac:dyDescent="0.35">
      <c r="A11" s="5" t="s">
        <v>63</v>
      </c>
      <c r="B11" s="106">
        <v>20.2</v>
      </c>
      <c r="C11" s="3" t="s">
        <v>103</v>
      </c>
      <c r="H11" s="134"/>
    </row>
    <row r="12" spans="1:16" ht="16.5" x14ac:dyDescent="0.35">
      <c r="A12" s="55" t="s">
        <v>140</v>
      </c>
      <c r="B12" s="106">
        <f>(B6+B7+B8)*5</f>
        <v>-256.60000000000002</v>
      </c>
      <c r="C12" s="3" t="s">
        <v>103</v>
      </c>
      <c r="H12" s="134"/>
    </row>
    <row r="13" spans="1:16" x14ac:dyDescent="0.35">
      <c r="H13" s="134"/>
    </row>
    <row r="14" spans="1:16" x14ac:dyDescent="0.35">
      <c r="E14" s="46"/>
      <c r="H14" s="134"/>
    </row>
    <row r="15" spans="1:16" x14ac:dyDescent="0.35">
      <c r="A15" s="121" t="s">
        <v>151</v>
      </c>
      <c r="B15" s="108"/>
      <c r="C15" s="108"/>
      <c r="H15" s="134"/>
    </row>
    <row r="16" spans="1:16" x14ac:dyDescent="0.35">
      <c r="A16" s="122" t="s">
        <v>147</v>
      </c>
      <c r="B16" s="2" t="s">
        <v>3</v>
      </c>
      <c r="C16" s="2" t="s">
        <v>67</v>
      </c>
      <c r="H16" s="134"/>
    </row>
    <row r="17" spans="1:8" ht="16.5" x14ac:dyDescent="0.35">
      <c r="A17" s="5" t="s">
        <v>100</v>
      </c>
      <c r="B17" s="91">
        <f>B3*'Conversion Factors'!B2*'Conversion Factors'!B4</f>
        <v>67.250910696000005</v>
      </c>
      <c r="C17" s="3" t="s">
        <v>153</v>
      </c>
      <c r="H17" s="134"/>
    </row>
    <row r="18" spans="1:8" ht="16.5" x14ac:dyDescent="0.35">
      <c r="A18" s="5" t="s">
        <v>101</v>
      </c>
      <c r="B18" s="106">
        <f>B4*'Conversion Factors'!B4</f>
        <v>0.226796</v>
      </c>
      <c r="C18" s="3" t="s">
        <v>156</v>
      </c>
      <c r="H18" s="134"/>
    </row>
    <row r="19" spans="1:8" x14ac:dyDescent="0.35">
      <c r="A19" s="5" t="s">
        <v>102</v>
      </c>
      <c r="B19" s="93">
        <v>5.5E-2</v>
      </c>
      <c r="H19" s="134"/>
    </row>
    <row r="20" spans="1:8" ht="16.5" x14ac:dyDescent="0.35">
      <c r="A20" s="55" t="s">
        <v>80</v>
      </c>
      <c r="B20" s="61">
        <f>B6*'Conversion Factors'!$B$2</f>
        <v>-85.696014000000005</v>
      </c>
      <c r="C20" s="3" t="s">
        <v>155</v>
      </c>
      <c r="H20" s="134"/>
    </row>
    <row r="21" spans="1:8" ht="16.5" x14ac:dyDescent="0.35">
      <c r="A21" s="55" t="s">
        <v>81</v>
      </c>
      <c r="B21" s="61">
        <f>B7*'Conversion Factors'!$B$2</f>
        <v>-16.407771999999998</v>
      </c>
      <c r="C21" s="3" t="s">
        <v>155</v>
      </c>
      <c r="H21" s="134"/>
    </row>
    <row r="22" spans="1:8" ht="16.5" x14ac:dyDescent="0.35">
      <c r="A22" s="55" t="s">
        <v>82</v>
      </c>
      <c r="B22" s="61">
        <f>B8*'Conversion Factors'!$B$2</f>
        <v>-24.7105</v>
      </c>
      <c r="C22" s="3" t="s">
        <v>155</v>
      </c>
      <c r="H22" s="134"/>
    </row>
    <row r="23" spans="1:8" x14ac:dyDescent="0.35">
      <c r="A23" s="55" t="s">
        <v>114</v>
      </c>
      <c r="B23" s="67">
        <v>5</v>
      </c>
      <c r="C23" s="3" t="s">
        <v>25</v>
      </c>
      <c r="H23" s="134"/>
    </row>
    <row r="24" spans="1:8" x14ac:dyDescent="0.35">
      <c r="A24" s="55" t="s">
        <v>122</v>
      </c>
      <c r="B24" s="67">
        <v>10</v>
      </c>
      <c r="C24" s="3" t="s">
        <v>25</v>
      </c>
      <c r="H24" s="134"/>
    </row>
    <row r="25" spans="1:8" ht="16.5" x14ac:dyDescent="0.35">
      <c r="A25" s="5" t="s">
        <v>63</v>
      </c>
      <c r="B25" s="106">
        <f>B11*'Conversion Factors'!B2</f>
        <v>49.915209999999995</v>
      </c>
      <c r="C25" s="3" t="s">
        <v>155</v>
      </c>
      <c r="H25" s="134"/>
    </row>
    <row r="26" spans="1:8" ht="16.5" x14ac:dyDescent="0.35">
      <c r="A26" s="55" t="s">
        <v>140</v>
      </c>
      <c r="B26" s="106">
        <f>(B20+B21+B22)*5</f>
        <v>-634.07142999999996</v>
      </c>
      <c r="C26" s="3" t="s">
        <v>155</v>
      </c>
      <c r="H26" s="134"/>
    </row>
    <row r="27" spans="1:8" x14ac:dyDescent="0.35">
      <c r="H27" s="134"/>
    </row>
    <row r="28" spans="1:8" x14ac:dyDescent="0.35">
      <c r="H28" s="134"/>
    </row>
    <row r="29" spans="1:8" x14ac:dyDescent="0.35">
      <c r="H29" s="134"/>
    </row>
    <row r="30" spans="1:8" x14ac:dyDescent="0.35">
      <c r="H30" s="134"/>
    </row>
    <row r="31" spans="1:8" x14ac:dyDescent="0.35">
      <c r="H31" s="134"/>
    </row>
    <row r="32" spans="1:8" x14ac:dyDescent="0.35">
      <c r="H32" s="134"/>
    </row>
    <row r="33" spans="1:8" x14ac:dyDescent="0.35">
      <c r="H33" s="134"/>
    </row>
    <row r="34" spans="1:8" x14ac:dyDescent="0.35">
      <c r="H34" s="134"/>
    </row>
    <row r="35" spans="1:8" x14ac:dyDescent="0.35">
      <c r="A35" s="5">
        <f>(B6+B7+B8)*5</f>
        <v>-256.60000000000002</v>
      </c>
      <c r="H35" s="134"/>
    </row>
    <row r="36" spans="1:8" x14ac:dyDescent="0.35">
      <c r="H36" s="134"/>
    </row>
    <row r="37" spans="1:8" x14ac:dyDescent="0.35">
      <c r="H37" s="134"/>
    </row>
    <row r="38" spans="1:8" ht="14.25" customHeight="1" x14ac:dyDescent="0.35">
      <c r="H38" s="134"/>
    </row>
    <row r="39" spans="1:8" x14ac:dyDescent="0.35">
      <c r="H39" s="134"/>
    </row>
    <row r="40" spans="1:8" x14ac:dyDescent="0.35">
      <c r="H40" s="134"/>
    </row>
    <row r="41" spans="1:8" x14ac:dyDescent="0.35">
      <c r="H41" s="134"/>
    </row>
    <row r="42" spans="1:8" x14ac:dyDescent="0.35">
      <c r="H42" s="134"/>
    </row>
    <row r="43" spans="1:8" x14ac:dyDescent="0.35">
      <c r="H43" s="134"/>
    </row>
    <row r="44" spans="1:8" x14ac:dyDescent="0.35">
      <c r="H44" s="134"/>
    </row>
    <row r="45" spans="1:8" x14ac:dyDescent="0.35">
      <c r="H45" s="134"/>
    </row>
    <row r="46" spans="1:8" x14ac:dyDescent="0.35">
      <c r="H46" s="134"/>
    </row>
    <row r="47" spans="1:8" x14ac:dyDescent="0.35">
      <c r="H47" s="134"/>
    </row>
    <row r="48" spans="1:8" x14ac:dyDescent="0.35">
      <c r="H48" s="134"/>
    </row>
    <row r="49" spans="8:8" x14ac:dyDescent="0.35">
      <c r="H49" s="134"/>
    </row>
    <row r="50" spans="8:8" x14ac:dyDescent="0.35">
      <c r="H50" s="134"/>
    </row>
    <row r="51" spans="8:8" x14ac:dyDescent="0.35">
      <c r="H51" s="134"/>
    </row>
    <row r="52" spans="8:8" x14ac:dyDescent="0.35">
      <c r="H52" s="134"/>
    </row>
    <row r="53" spans="8:8" x14ac:dyDescent="0.35">
      <c r="H53" s="134"/>
    </row>
    <row r="54" spans="8:8" x14ac:dyDescent="0.35">
      <c r="H54" s="134"/>
    </row>
    <row r="55" spans="8:8" x14ac:dyDescent="0.35">
      <c r="H55" s="134"/>
    </row>
    <row r="56" spans="8:8" x14ac:dyDescent="0.35">
      <c r="H56" s="134"/>
    </row>
    <row r="57" spans="8:8" x14ac:dyDescent="0.35">
      <c r="H57" s="134"/>
    </row>
    <row r="58" spans="8:8" x14ac:dyDescent="0.35">
      <c r="H58" s="134"/>
    </row>
    <row r="59" spans="8:8" x14ac:dyDescent="0.35">
      <c r="H59" s="134"/>
    </row>
    <row r="60" spans="8:8" x14ac:dyDescent="0.35">
      <c r="H60" s="134"/>
    </row>
    <row r="61" spans="8:8" x14ac:dyDescent="0.35">
      <c r="H61" s="134"/>
    </row>
    <row r="62" spans="8:8" x14ac:dyDescent="0.35">
      <c r="H62" s="134"/>
    </row>
    <row r="63" spans="8:8" x14ac:dyDescent="0.35">
      <c r="H63" s="134"/>
    </row>
    <row r="64" spans="8:8" x14ac:dyDescent="0.35">
      <c r="H64" s="134"/>
    </row>
    <row r="65" spans="8:8" x14ac:dyDescent="0.35">
      <c r="H65" s="134"/>
    </row>
    <row r="66" spans="8:8" x14ac:dyDescent="0.35">
      <c r="H66" s="134"/>
    </row>
    <row r="67" spans="8:8" x14ac:dyDescent="0.35">
      <c r="H67" s="134"/>
    </row>
    <row r="68" spans="8:8" x14ac:dyDescent="0.35">
      <c r="H68" s="134"/>
    </row>
    <row r="69" spans="8:8" x14ac:dyDescent="0.35">
      <c r="H69" s="134"/>
    </row>
    <row r="70" spans="8:8" x14ac:dyDescent="0.35">
      <c r="H70" s="134"/>
    </row>
    <row r="71" spans="8:8" x14ac:dyDescent="0.35">
      <c r="H71" s="134"/>
    </row>
    <row r="72" spans="8:8" x14ac:dyDescent="0.35">
      <c r="H72" s="134"/>
    </row>
    <row r="73" spans="8:8" x14ac:dyDescent="0.35">
      <c r="H73" s="134"/>
    </row>
    <row r="74" spans="8:8" x14ac:dyDescent="0.35">
      <c r="H74" s="134"/>
    </row>
    <row r="75" spans="8:8" x14ac:dyDescent="0.35">
      <c r="H75" s="134"/>
    </row>
    <row r="76" spans="8:8" x14ac:dyDescent="0.35">
      <c r="H76" s="134"/>
    </row>
    <row r="77" spans="8:8" x14ac:dyDescent="0.35">
      <c r="H77" s="134"/>
    </row>
    <row r="78" spans="8:8" x14ac:dyDescent="0.35">
      <c r="H78" s="134"/>
    </row>
    <row r="79" spans="8:8" x14ac:dyDescent="0.35">
      <c r="H79" s="134"/>
    </row>
    <row r="80" spans="8:8" x14ac:dyDescent="0.35">
      <c r="H80" s="134"/>
    </row>
    <row r="81" spans="7:16" x14ac:dyDescent="0.35">
      <c r="H81" s="134"/>
    </row>
    <row r="82" spans="7:16" x14ac:dyDescent="0.35">
      <c r="H82" s="134"/>
    </row>
    <row r="83" spans="7:16" x14ac:dyDescent="0.35">
      <c r="H83" s="134"/>
    </row>
    <row r="84" spans="7:16" x14ac:dyDescent="0.35">
      <c r="H84" s="134"/>
    </row>
    <row r="85" spans="7:16" x14ac:dyDescent="0.35">
      <c r="H85" s="134"/>
    </row>
    <row r="86" spans="7:16" x14ac:dyDescent="0.35">
      <c r="H86" s="134"/>
    </row>
    <row r="87" spans="7:16" x14ac:dyDescent="0.35">
      <c r="H87" s="134"/>
    </row>
    <row r="88" spans="7:16" x14ac:dyDescent="0.35">
      <c r="H88" s="134"/>
    </row>
    <row r="89" spans="7:16" x14ac:dyDescent="0.35">
      <c r="H89" s="134"/>
    </row>
    <row r="90" spans="7:16" x14ac:dyDescent="0.35">
      <c r="H90" s="134"/>
    </row>
    <row r="91" spans="7:16" x14ac:dyDescent="0.35">
      <c r="G91" s="46">
        <f>H91/5</f>
        <v>0</v>
      </c>
      <c r="H91" s="137"/>
      <c r="I91" s="131"/>
      <c r="J91" s="131"/>
      <c r="K91" s="131"/>
      <c r="L91" s="131"/>
      <c r="M91" s="131"/>
      <c r="N91" s="131"/>
      <c r="O91" s="131"/>
      <c r="P91" s="131"/>
    </row>
    <row r="92" spans="7:16" x14ac:dyDescent="0.35">
      <c r="H92" s="134"/>
    </row>
    <row r="93" spans="7:16" x14ac:dyDescent="0.35">
      <c r="H93" s="134"/>
    </row>
    <row r="94" spans="7:16" x14ac:dyDescent="0.35">
      <c r="H94" s="134"/>
    </row>
    <row r="95" spans="7:16" x14ac:dyDescent="0.35">
      <c r="H95" s="134"/>
    </row>
    <row r="96" spans="7:16" x14ac:dyDescent="0.35">
      <c r="H96" s="134"/>
    </row>
    <row r="97" spans="8:8" x14ac:dyDescent="0.35">
      <c r="H97" s="134"/>
    </row>
    <row r="98" spans="8:8" x14ac:dyDescent="0.35">
      <c r="H98" s="134"/>
    </row>
    <row r="99" spans="8:8" x14ac:dyDescent="0.35">
      <c r="H99" s="134"/>
    </row>
    <row r="100" spans="8:8" x14ac:dyDescent="0.35">
      <c r="H100" s="134"/>
    </row>
    <row r="101" spans="8:8" x14ac:dyDescent="0.35">
      <c r="H101" s="134"/>
    </row>
    <row r="102" spans="8:8" x14ac:dyDescent="0.35">
      <c r="H102" s="134"/>
    </row>
    <row r="103" spans="8:8" x14ac:dyDescent="0.35">
      <c r="H103" s="134"/>
    </row>
    <row r="104" spans="8:8" x14ac:dyDescent="0.35">
      <c r="H104" s="134"/>
    </row>
    <row r="105" spans="8:8" x14ac:dyDescent="0.35">
      <c r="H105" s="134"/>
    </row>
    <row r="106" spans="8:8" x14ac:dyDescent="0.35">
      <c r="H106" s="134"/>
    </row>
    <row r="107" spans="8:8" x14ac:dyDescent="0.35">
      <c r="H107" s="134"/>
    </row>
    <row r="108" spans="8:8" x14ac:dyDescent="0.35">
      <c r="H108" s="134"/>
    </row>
    <row r="109" spans="8:8" x14ac:dyDescent="0.35">
      <c r="H109" s="134"/>
    </row>
    <row r="110" spans="8:8" x14ac:dyDescent="0.35">
      <c r="H110" s="134"/>
    </row>
    <row r="111" spans="8:8" x14ac:dyDescent="0.35">
      <c r="H111" s="134"/>
    </row>
    <row r="112" spans="8:8" x14ac:dyDescent="0.35">
      <c r="H112" s="134"/>
    </row>
    <row r="113" spans="8:8" x14ac:dyDescent="0.35">
      <c r="H113" s="134"/>
    </row>
    <row r="114" spans="8:8" x14ac:dyDescent="0.35">
      <c r="H114" s="134"/>
    </row>
    <row r="115" spans="8:8" x14ac:dyDescent="0.35">
      <c r="H115" s="134"/>
    </row>
    <row r="116" spans="8:8" x14ac:dyDescent="0.35">
      <c r="H116" s="134"/>
    </row>
    <row r="117" spans="8:8" x14ac:dyDescent="0.35">
      <c r="H117" s="134"/>
    </row>
    <row r="118" spans="8:8" x14ac:dyDescent="0.35">
      <c r="H118" s="134"/>
    </row>
    <row r="119" spans="8:8" x14ac:dyDescent="0.35">
      <c r="H119" s="134"/>
    </row>
    <row r="120" spans="8:8" x14ac:dyDescent="0.35">
      <c r="H120" s="134"/>
    </row>
    <row r="121" spans="8:8" x14ac:dyDescent="0.35">
      <c r="H121" s="134"/>
    </row>
    <row r="122" spans="8:8" x14ac:dyDescent="0.35">
      <c r="H122" s="134"/>
    </row>
    <row r="123" spans="8:8" x14ac:dyDescent="0.35">
      <c r="H123" s="134"/>
    </row>
    <row r="124" spans="8:8" x14ac:dyDescent="0.35">
      <c r="H124" s="134"/>
    </row>
    <row r="125" spans="8:8" x14ac:dyDescent="0.35">
      <c r="H125" s="134"/>
    </row>
    <row r="126" spans="8:8" x14ac:dyDescent="0.35">
      <c r="H126" s="134"/>
    </row>
    <row r="127" spans="8:8" x14ac:dyDescent="0.35">
      <c r="H127" s="134"/>
    </row>
    <row r="128" spans="8:8" x14ac:dyDescent="0.35">
      <c r="H128" s="134"/>
    </row>
    <row r="129" spans="8:8" x14ac:dyDescent="0.35">
      <c r="H129" s="134"/>
    </row>
    <row r="130" spans="8:8" x14ac:dyDescent="0.35">
      <c r="H130" s="134"/>
    </row>
    <row r="131" spans="8:8" x14ac:dyDescent="0.35">
      <c r="H131" s="134"/>
    </row>
    <row r="132" spans="8:8" x14ac:dyDescent="0.35">
      <c r="H132" s="134"/>
    </row>
    <row r="133" spans="8:8" x14ac:dyDescent="0.35">
      <c r="H133" s="134"/>
    </row>
    <row r="134" spans="8:8" x14ac:dyDescent="0.35">
      <c r="H134" s="134"/>
    </row>
    <row r="135" spans="8:8" x14ac:dyDescent="0.35">
      <c r="H135" s="134"/>
    </row>
    <row r="136" spans="8:8" x14ac:dyDescent="0.35">
      <c r="H136" s="134"/>
    </row>
    <row r="137" spans="8:8" x14ac:dyDescent="0.35">
      <c r="H137" s="134"/>
    </row>
    <row r="138" spans="8:8" x14ac:dyDescent="0.35">
      <c r="H138" s="134"/>
    </row>
    <row r="139" spans="8:8" x14ac:dyDescent="0.35">
      <c r="H139" s="134"/>
    </row>
    <row r="140" spans="8:8" x14ac:dyDescent="0.35">
      <c r="H140" s="134"/>
    </row>
    <row r="141" spans="8:8" x14ac:dyDescent="0.35">
      <c r="H141" s="134"/>
    </row>
    <row r="142" spans="8:8" x14ac:dyDescent="0.35">
      <c r="H142" s="134"/>
    </row>
    <row r="143" spans="8:8" x14ac:dyDescent="0.35">
      <c r="H143" s="134"/>
    </row>
    <row r="144" spans="8:8" x14ac:dyDescent="0.35">
      <c r="H144" s="134"/>
    </row>
    <row r="145" spans="8:8" x14ac:dyDescent="0.35">
      <c r="H145" s="134"/>
    </row>
    <row r="146" spans="8:8" x14ac:dyDescent="0.35">
      <c r="H146" s="134"/>
    </row>
    <row r="147" spans="8:8" x14ac:dyDescent="0.35">
      <c r="H147" s="134"/>
    </row>
    <row r="148" spans="8:8" x14ac:dyDescent="0.35">
      <c r="H148" s="134"/>
    </row>
    <row r="149" spans="8:8" x14ac:dyDescent="0.35">
      <c r="H149" s="134"/>
    </row>
    <row r="150" spans="8:8" x14ac:dyDescent="0.35">
      <c r="H150" s="134"/>
    </row>
    <row r="151" spans="8:8" x14ac:dyDescent="0.35">
      <c r="H151" s="134"/>
    </row>
    <row r="152" spans="8:8" x14ac:dyDescent="0.35">
      <c r="H152" s="134"/>
    </row>
    <row r="153" spans="8:8" x14ac:dyDescent="0.35">
      <c r="H153" s="134"/>
    </row>
    <row r="154" spans="8:8" x14ac:dyDescent="0.35">
      <c r="H154" s="134"/>
    </row>
    <row r="155" spans="8:8" x14ac:dyDescent="0.35">
      <c r="H155" s="134"/>
    </row>
    <row r="156" spans="8:8" x14ac:dyDescent="0.35">
      <c r="H156" s="134"/>
    </row>
    <row r="157" spans="8:8" x14ac:dyDescent="0.35">
      <c r="H157" s="134"/>
    </row>
    <row r="158" spans="8:8" x14ac:dyDescent="0.35">
      <c r="H158" s="134"/>
    </row>
    <row r="159" spans="8:8" x14ac:dyDescent="0.35">
      <c r="H159" s="134"/>
    </row>
    <row r="160" spans="8:8" x14ac:dyDescent="0.35">
      <c r="H160" s="134"/>
    </row>
    <row r="161" spans="8:8" x14ac:dyDescent="0.35">
      <c r="H161" s="134"/>
    </row>
    <row r="162" spans="8:8" x14ac:dyDescent="0.35">
      <c r="H162" s="134"/>
    </row>
    <row r="163" spans="8:8" x14ac:dyDescent="0.35">
      <c r="H163" s="134"/>
    </row>
    <row r="164" spans="8:8" x14ac:dyDescent="0.35">
      <c r="H164" s="134"/>
    </row>
    <row r="165" spans="8:8" x14ac:dyDescent="0.35">
      <c r="H165" s="134"/>
    </row>
    <row r="166" spans="8:8" x14ac:dyDescent="0.35">
      <c r="H166" s="134"/>
    </row>
    <row r="167" spans="8:8" x14ac:dyDescent="0.35">
      <c r="H167" s="134"/>
    </row>
    <row r="168" spans="8:8" x14ac:dyDescent="0.35">
      <c r="H168" s="134"/>
    </row>
    <row r="169" spans="8:8" x14ac:dyDescent="0.35">
      <c r="H169" s="134"/>
    </row>
    <row r="170" spans="8:8" x14ac:dyDescent="0.35">
      <c r="H170" s="134"/>
    </row>
    <row r="171" spans="8:8" x14ac:dyDescent="0.35">
      <c r="H171" s="134"/>
    </row>
    <row r="172" spans="8:8" x14ac:dyDescent="0.35">
      <c r="H172" s="134"/>
    </row>
    <row r="173" spans="8:8" x14ac:dyDescent="0.35">
      <c r="H173" s="134"/>
    </row>
    <row r="174" spans="8:8" x14ac:dyDescent="0.35">
      <c r="H174" s="134"/>
    </row>
    <row r="175" spans="8:8" x14ac:dyDescent="0.35">
      <c r="H175" s="134"/>
    </row>
    <row r="176" spans="8:8" x14ac:dyDescent="0.35">
      <c r="H176" s="134"/>
    </row>
    <row r="177" spans="8:8" x14ac:dyDescent="0.35">
      <c r="H177" s="134"/>
    </row>
    <row r="178" spans="8:8" x14ac:dyDescent="0.35">
      <c r="H178" s="134"/>
    </row>
    <row r="179" spans="8:8" x14ac:dyDescent="0.35">
      <c r="H179" s="134"/>
    </row>
    <row r="180" spans="8:8" x14ac:dyDescent="0.35">
      <c r="H180" s="134"/>
    </row>
    <row r="181" spans="8:8" x14ac:dyDescent="0.35">
      <c r="H181" s="134"/>
    </row>
    <row r="182" spans="8:8" x14ac:dyDescent="0.35">
      <c r="H182" s="134"/>
    </row>
    <row r="183" spans="8:8" x14ac:dyDescent="0.35">
      <c r="H183" s="134"/>
    </row>
    <row r="184" spans="8:8" x14ac:dyDescent="0.35">
      <c r="H184" s="134"/>
    </row>
    <row r="185" spans="8:8" x14ac:dyDescent="0.35">
      <c r="H185" s="134"/>
    </row>
    <row r="186" spans="8:8" x14ac:dyDescent="0.35">
      <c r="H186" s="134"/>
    </row>
  </sheetData>
  <conditionalFormatting sqref="I1:P2">
    <cfRule type="containsText" dxfId="0" priority="1" operator="containsText" text="CR-ACC">
      <formula>NOT(ISERROR(SEARCH("CR-ACC",I1)))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F21" sqref="F21"/>
    </sheetView>
  </sheetViews>
  <sheetFormatPr defaultRowHeight="14.5" x14ac:dyDescent="0.35"/>
  <cols>
    <col min="1" max="1" width="11.6328125" bestFit="1" customWidth="1"/>
    <col min="2" max="2" width="11.7265625" style="3" customWidth="1"/>
  </cols>
  <sheetData>
    <row r="1" spans="1:3" x14ac:dyDescent="0.35">
      <c r="A1" s="1" t="s">
        <v>157</v>
      </c>
      <c r="B1" s="2" t="s">
        <v>3</v>
      </c>
      <c r="C1" s="1" t="s">
        <v>158</v>
      </c>
    </row>
    <row r="2" spans="1:3" x14ac:dyDescent="0.35">
      <c r="A2" t="s">
        <v>93</v>
      </c>
      <c r="B2" s="123">
        <v>2.47105</v>
      </c>
      <c r="C2" t="s">
        <v>92</v>
      </c>
    </row>
    <row r="3" spans="1:3" x14ac:dyDescent="0.35">
      <c r="A3" t="s">
        <v>94</v>
      </c>
      <c r="B3" s="123">
        <v>56</v>
      </c>
      <c r="C3" t="s">
        <v>95</v>
      </c>
    </row>
    <row r="4" spans="1:3" x14ac:dyDescent="0.35">
      <c r="A4" t="s">
        <v>96</v>
      </c>
      <c r="B4" s="123">
        <v>0.453592</v>
      </c>
      <c r="C4" t="s">
        <v>97</v>
      </c>
    </row>
    <row r="5" spans="1:3" x14ac:dyDescent="0.35">
      <c r="A5" t="s">
        <v>98</v>
      </c>
      <c r="B5" s="123">
        <v>1000</v>
      </c>
      <c r="C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Conservationist</vt:lpstr>
      <vt:lpstr>Deliberative</vt:lpstr>
      <vt:lpstr>Productivist</vt:lpstr>
      <vt:lpstr>Traditionalist</vt:lpstr>
      <vt:lpstr>Alternative Values</vt:lpstr>
      <vt:lpstr>General Assumptions</vt:lpstr>
      <vt:lpstr>PGC Assumptions</vt:lpstr>
      <vt:lpstr>Cereal Rye Assumptions</vt:lpstr>
      <vt:lpstr>Conversion Factors</vt:lpstr>
      <vt:lpstr>VF-Max Yield</vt:lpstr>
      <vt:lpstr>VF-Crop Insurance</vt:lpstr>
      <vt:lpstr>VF - Cost</vt:lpstr>
      <vt:lpstr>VF-Field Passes</vt:lpstr>
      <vt:lpstr>VF-Conflict</vt:lpstr>
      <vt:lpstr>VF-N Losses</vt:lpstr>
      <vt:lpstr>VF-P Losses</vt:lpstr>
      <vt:lpstr>VF- Soil Erosion</vt:lpstr>
      <vt:lpstr>VF- Soil Health</vt:lpstr>
      <vt:lpstr>VF-Ops Emissions</vt:lpstr>
      <vt:lpstr>VF- N2O Emissions</vt:lpstr>
      <vt:lpstr>VF- Soil Carbon</vt:lpstr>
      <vt:lpstr>Constructed 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Myers-Bailey, Gabrielle - REE-ARS</cp:lastModifiedBy>
  <dcterms:created xsi:type="dcterms:W3CDTF">2024-02-16T19:26:20Z</dcterms:created>
  <dcterms:modified xsi:type="dcterms:W3CDTF">2024-09-25T17:57:35Z</dcterms:modified>
</cp:coreProperties>
</file>