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myers\Downloads\"/>
    </mc:Choice>
  </mc:AlternateContent>
  <bookViews>
    <workbookView xWindow="0" yWindow="0" windowWidth="28800" windowHeight="11970" firstSheet="8" activeTab="11"/>
  </bookViews>
  <sheets>
    <sheet name="Cost Review Chart" sheetId="1" r:id="rId1"/>
    <sheet name="Combined Areal Productivity" sheetId="7" r:id="rId2"/>
    <sheet name="Protein Areal Productivity" sheetId="5" r:id="rId3"/>
    <sheet name="Calorie Areal Productivity" sheetId="6" r:id="rId4"/>
    <sheet name="Animals Recoverable N" sheetId="16" r:id="rId5"/>
    <sheet name="Spent Media N Handling" sheetId="12" r:id="rId6"/>
    <sheet name="Spent Media Carbon" sheetId="13" r:id="rId7"/>
    <sheet name="Soybean Land Partition" sheetId="10" r:id="rId8"/>
    <sheet name="Corn Land Partition" sheetId="11" r:id="rId9"/>
    <sheet name="Growth Parameters" sheetId="15" r:id="rId10"/>
    <sheet name="Animal Areal Productivity" sheetId="17" r:id="rId11"/>
    <sheet name="Table 1" sheetId="14" r:id="rId12"/>
  </sheets>
  <externalReferences>
    <externalReference r:id="rId13"/>
    <externalReference r:id="rId14"/>
  </externalReferences>
  <definedNames>
    <definedName name="beefkcalpkg">[1]Assumptions!$B$35</definedName>
    <definedName name="beefprotein">[1]Assumptions!$B$34</definedName>
    <definedName name="cellmass">[1]Assumptions!$B$3</definedName>
    <definedName name="cmpC">[2]Phys!$C$8:$C$51</definedName>
    <definedName name="cmpH">[2]Phys!$D$8:$D$51</definedName>
    <definedName name="cmpMW">[2]Phys!$B$8:$B$51</definedName>
    <definedName name="cmpN">[2]Phys!$F$8:$F$51</definedName>
    <definedName name="cmpO">[2]Phys!$E$8:$E$51</definedName>
    <definedName name="Components">[2]Phys!$A$8:$A$51</definedName>
    <definedName name="cornyield">[1]Assumptions!$B$36</definedName>
    <definedName name="daypyr">[1]Conversions!$A$15</definedName>
    <definedName name="diffmasincrease">[1]Assumptions!$B$4</definedName>
    <definedName name="gperkg">[1]Conversions!$A$17</definedName>
    <definedName name="growthtime">[1]Assumptions!$B$46</definedName>
    <definedName name="hrpday">[1]Conversions!$A$11</definedName>
    <definedName name="indensity">[1]Assumptions!$B$47</definedName>
    <definedName name="kilo">[1]Conversions!$A$5</definedName>
    <definedName name="lbsperkg">[1]Conversions!$A$3</definedName>
    <definedName name="literpgal">[1]Conversions!$A$13</definedName>
    <definedName name="mjperkcal">[1]Conversions!$A$16</definedName>
    <definedName name="MW_C">[2]Phys!$C$4</definedName>
    <definedName name="MW_H">[2]Phys!$D$4</definedName>
    <definedName name="MW_N">[2]Phys!$F$4</definedName>
    <definedName name="MW_O">[2]Phys!$E$4</definedName>
    <definedName name="proliftime">[1]Assumptions!$B$48</definedName>
    <definedName name="soyyield">[1]Assumptions!$B$37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4" l="1"/>
  <c r="B41" i="14"/>
  <c r="B42" i="14"/>
  <c r="B39" i="14"/>
  <c r="B31" i="14" l="1"/>
  <c r="B32" i="14"/>
  <c r="B33" i="14"/>
  <c r="B30" i="14"/>
  <c r="D19" i="17" l="1"/>
  <c r="D21" i="17"/>
  <c r="D20" i="17"/>
  <c r="D17" i="17"/>
  <c r="D16" i="17"/>
  <c r="D15" i="17"/>
  <c r="D13" i="17"/>
  <c r="D12" i="17"/>
  <c r="D11" i="17"/>
  <c r="B36" i="17"/>
  <c r="B37" i="17"/>
  <c r="B35" i="17"/>
  <c r="B33" i="17"/>
  <c r="B32" i="17"/>
  <c r="B26" i="17"/>
  <c r="B51" i="17"/>
  <c r="B52" i="17"/>
  <c r="B53" i="17"/>
  <c r="B47" i="17"/>
  <c r="B48" i="17"/>
  <c r="B49" i="17"/>
  <c r="C11" i="17"/>
  <c r="E13" i="15" l="1"/>
  <c r="E12" i="15"/>
  <c r="B45" i="17" l="1"/>
  <c r="B29" i="17"/>
  <c r="B42" i="17"/>
  <c r="C12" i="17"/>
  <c r="B31" i="17" l="1"/>
  <c r="B12" i="17"/>
  <c r="B13" i="17"/>
  <c r="C13" i="17"/>
  <c r="B11" i="17"/>
  <c r="C15" i="17" l="1"/>
  <c r="B15" i="17"/>
  <c r="B17" i="17"/>
  <c r="C17" i="17"/>
  <c r="C16" i="17"/>
  <c r="B16" i="17"/>
  <c r="B31" i="7" l="1"/>
  <c r="B30" i="7"/>
  <c r="B11" i="7"/>
  <c r="B22" i="7"/>
  <c r="B21" i="7"/>
  <c r="B10" i="7"/>
  <c r="B49" i="12"/>
  <c r="C22" i="12"/>
  <c r="C44" i="12"/>
  <c r="C43" i="12"/>
  <c r="B16" i="6"/>
  <c r="B7" i="6"/>
  <c r="B46" i="15" l="1"/>
  <c r="B45" i="15"/>
  <c r="B15" i="16" l="1"/>
  <c r="B16" i="16" s="1"/>
  <c r="B13" i="16"/>
  <c r="B39" i="16"/>
  <c r="B32" i="16"/>
  <c r="B33" i="16" s="1"/>
  <c r="B31" i="16"/>
  <c r="B2" i="16"/>
  <c r="B44" i="15"/>
  <c r="B38" i="15"/>
  <c r="B30" i="15"/>
  <c r="C34" i="13"/>
  <c r="C49" i="13"/>
  <c r="C25" i="13"/>
  <c r="C23" i="13"/>
  <c r="C37" i="12"/>
  <c r="E14" i="15"/>
  <c r="E14" i="6"/>
  <c r="E16" i="15"/>
  <c r="I12" i="15"/>
  <c r="I9" i="15"/>
  <c r="I6" i="15"/>
  <c r="I10" i="15" s="1"/>
  <c r="E11" i="15" s="1"/>
  <c r="D9" i="15"/>
  <c r="B9" i="15"/>
  <c r="B14" i="15"/>
  <c r="C3" i="15"/>
  <c r="B37" i="15"/>
  <c r="B39" i="15" s="1"/>
  <c r="B29" i="15"/>
  <c r="B22" i="15"/>
  <c r="B18" i="16" l="1"/>
  <c r="B41" i="16"/>
  <c r="B40" i="16"/>
  <c r="C10" i="15"/>
  <c r="B11" i="15"/>
  <c r="D11" i="15"/>
  <c r="E15" i="15"/>
  <c r="D6" i="15"/>
  <c r="B31" i="15"/>
  <c r="D10" i="15"/>
  <c r="E6" i="15"/>
  <c r="E17" i="15" s="1"/>
  <c r="B16" i="15"/>
  <c r="B13" i="15"/>
  <c r="D14" i="15"/>
  <c r="C14" i="15"/>
  <c r="B6" i="15"/>
  <c r="B40" i="15" s="1"/>
  <c r="E10" i="15"/>
  <c r="C6" i="15"/>
  <c r="C11" i="15"/>
  <c r="B10" i="15"/>
  <c r="B19" i="16" l="1"/>
  <c r="B23" i="16"/>
  <c r="B24" i="16" s="1"/>
  <c r="B25" i="16" s="1"/>
  <c r="B26" i="16"/>
  <c r="B36" i="16"/>
  <c r="B37" i="16" s="1"/>
  <c r="D20" i="15"/>
  <c r="B42" i="16"/>
  <c r="B20" i="16"/>
  <c r="B21" i="16" s="1"/>
  <c r="B32" i="15"/>
  <c r="B17" i="15"/>
  <c r="C16" i="15"/>
  <c r="B9" i="16" s="1"/>
  <c r="B10" i="16" s="1"/>
  <c r="C13" i="15"/>
  <c r="C17" i="15"/>
  <c r="D13" i="15"/>
  <c r="D16" i="15"/>
  <c r="B22" i="16" l="1"/>
  <c r="D17" i="15"/>
  <c r="B28" i="16"/>
  <c r="B29" i="16" s="1"/>
  <c r="B34" i="16" s="1"/>
  <c r="B9" i="14"/>
  <c r="B10" i="14" s="1"/>
  <c r="B12" i="14" s="1"/>
  <c r="B6" i="14"/>
  <c r="B5" i="14"/>
  <c r="B18" i="14" l="1"/>
  <c r="B19" i="14" s="1"/>
  <c r="B14" i="14"/>
  <c r="B16" i="14" s="1"/>
  <c r="C50" i="12" l="1"/>
  <c r="B50" i="12"/>
  <c r="C49" i="12"/>
  <c r="B46" i="12"/>
  <c r="B45" i="12"/>
  <c r="B43" i="12"/>
  <c r="C42" i="12"/>
  <c r="B42" i="12"/>
  <c r="C41" i="12"/>
  <c r="B41" i="12"/>
  <c r="C51" i="13"/>
  <c r="C16" i="13"/>
  <c r="C43" i="13"/>
  <c r="C44" i="13" s="1"/>
  <c r="C45" i="13" s="1"/>
  <c r="C8" i="13"/>
  <c r="C40" i="13"/>
  <c r="C41" i="13" s="1"/>
  <c r="C30" i="13"/>
  <c r="C26" i="13"/>
  <c r="C27" i="13"/>
  <c r="C28" i="13" s="1"/>
  <c r="C32" i="13" s="1"/>
  <c r="C33" i="13" s="1"/>
  <c r="C22" i="13"/>
  <c r="C24" i="13"/>
  <c r="C35" i="13" l="1"/>
  <c r="C36" i="13" s="1"/>
  <c r="C37" i="13" s="1"/>
  <c r="C38" i="13" s="1"/>
  <c r="C42" i="13" s="1"/>
  <c r="C56" i="13" s="1"/>
  <c r="C57" i="13"/>
  <c r="C46" i="13" l="1"/>
  <c r="C58" i="13"/>
  <c r="C59" i="13" s="1"/>
  <c r="C48" i="13"/>
  <c r="C52" i="13" l="1"/>
  <c r="C53" i="13" s="1"/>
  <c r="C28" i="12"/>
  <c r="C29" i="12" s="1"/>
  <c r="C32" i="12" s="1"/>
  <c r="B28" i="12"/>
  <c r="B29" i="12" s="1"/>
  <c r="C23" i="12"/>
  <c r="C24" i="12" s="1"/>
  <c r="C51" i="12" l="1"/>
  <c r="C52" i="12" s="1"/>
  <c r="B51" i="12"/>
  <c r="B52" i="12" s="1"/>
  <c r="B31" i="12"/>
  <c r="C31" i="12"/>
  <c r="C33" i="12" s="1"/>
  <c r="C30" i="12"/>
  <c r="C35" i="12" s="1"/>
  <c r="C36" i="12" s="1"/>
  <c r="B30" i="12"/>
  <c r="B35" i="12" s="1"/>
  <c r="B36" i="12" s="1"/>
  <c r="B32" i="12"/>
  <c r="B33" i="12" s="1"/>
  <c r="B37" i="12" l="1"/>
  <c r="B38" i="12" s="1"/>
  <c r="B39" i="12" s="1"/>
  <c r="B34" i="12"/>
  <c r="C34" i="12"/>
  <c r="C38" i="12"/>
  <c r="C39" i="12" s="1"/>
  <c r="C45" i="12" s="1"/>
  <c r="C46" i="12" s="1"/>
  <c r="B17" i="5"/>
  <c r="B20" i="5" l="1"/>
  <c r="B19" i="5"/>
  <c r="B9" i="6" l="1"/>
  <c r="L16" i="11"/>
  <c r="B11" i="11" s="1"/>
  <c r="L10" i="11"/>
  <c r="L11" i="11" s="1"/>
  <c r="L12" i="11" s="1"/>
  <c r="B10" i="11" s="1"/>
  <c r="B9" i="11"/>
  <c r="B5" i="11"/>
  <c r="B7" i="11" s="1"/>
  <c r="B17" i="11" s="1"/>
  <c r="H2" i="11"/>
  <c r="H3" i="11" s="1"/>
  <c r="H4" i="11" s="1"/>
  <c r="H5" i="11" s="1"/>
  <c r="H6" i="11" s="1"/>
  <c r="H2" i="10"/>
  <c r="H3" i="10" s="1"/>
  <c r="H4" i="10" s="1"/>
  <c r="H5" i="10" s="1"/>
  <c r="H6" i="10" s="1"/>
  <c r="B8" i="6"/>
  <c r="B12" i="11" l="1"/>
  <c r="B14" i="11" s="1"/>
  <c r="B18" i="11"/>
  <c r="B9" i="10" l="1"/>
  <c r="B5" i="10"/>
  <c r="B7" i="10" s="1"/>
  <c r="B17" i="10" s="1"/>
  <c r="B12" i="10" l="1"/>
  <c r="B15" i="10" s="1"/>
  <c r="B9" i="5"/>
  <c r="B4" i="5"/>
  <c r="B14" i="10" l="1"/>
  <c r="B18" i="10" s="1"/>
  <c r="B10" i="5"/>
  <c r="B11" i="5" s="1"/>
  <c r="B4" i="6"/>
  <c r="B6" i="6" s="1"/>
  <c r="B10" i="6" s="1"/>
  <c r="B3" i="7" l="1"/>
  <c r="B4" i="7" s="1"/>
  <c r="B18" i="6"/>
  <c r="B2" i="7"/>
  <c r="B13" i="5"/>
  <c r="D41" i="1" l="1"/>
  <c r="D40" i="1" l="1"/>
  <c r="D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sz val="9"/>
            <color rgb="FF000000"/>
            <rFont val="Tahoma"/>
            <family val="2"/>
          </rPr>
          <t>Rose et al., (2015)</t>
        </r>
      </text>
    </comment>
    <comment ref="A6" authorId="0" shapeId="0">
      <text>
        <r>
          <rPr>
            <sz val="9"/>
            <color rgb="FF000000"/>
            <rFont val="Tahoma"/>
            <family val="2"/>
          </rPr>
          <t xml:space="preserve">Sum of 10.95 g/person/day urinary and 1.8 g/person/day fecal per Rose et al., (2015)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http://themanurescoop.blogspot.com/2016/05/what-does-manure-application-cost.html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Shimadzu Europa GmbH. Comparison of different sum parameters – COD, BOD and TOC. https://www.ssi.shimadzu.com/sites/ssi.shimadzu.com/files/pim/pim_document_file/ssi/applications/application_note/16225/TOC Application - TOC - Comparison of different sum parameters – COD%2C BOD and TOC.pdf [Accessed January 12, 2023]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https://www.extension.iastate.edu/agdm/crops/pdf/a1-14.pdf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http://agebb.missouri.edu/dairy/byprod/allcompanies.asp 
November 10, 2022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https://biotechnologyforbiofuels.biomedcentral.com/articles/10.1186/1754-6834-2-2</t>
        </r>
      </text>
    </comment>
  </commentList>
</comments>
</file>

<file path=xl/comments6.xml><?xml version="1.0" encoding="utf-8"?>
<comments xmlns="http://schemas.openxmlformats.org/spreadsheetml/2006/main">
  <authors>
    <author>tc={0427EA0A-5457-4CCD-95EE-CC0AC0D7FF82}</author>
    <author>tc={7D9E391A-4D32-4886-8334-2DE6A05B165C}</author>
    <author>tc={18D74A18-B58F-41AE-A2FE-F39EB0FAC8CE}</author>
    <author>Administrator</author>
  </authors>
  <commentList>
    <comment ref="B3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Cheng et al., 2018
</t>
        </r>
      </text>
    </comment>
    <comment ref="C3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Yin and Konig, 2018
</t>
        </r>
      </text>
    </comment>
    <comment ref="D3" authorId="2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Penn State Extension
https://extension.psu.edu/modern-meat-chicken-industry
</t>
        </r>
      </text>
    </comment>
    <comment ref="B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https://www.pork.org/facts/stats/consumption-and-expenditures/typical-market-pig-today/
</t>
        </r>
        <r>
          <rPr>
            <sz val="9"/>
            <color rgb="FF000000"/>
            <rFont val="Tahoma"/>
            <family val="2"/>
          </rPr>
          <t>Pork Checkoff, 2017</t>
        </r>
      </text>
    </comment>
    <comment ref="C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https://www.ams.usda.gov/mnreports/lsddcbs.pdf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USDA National Daily Cattle &amp; Beef Summary, 2019</t>
        </r>
      </text>
    </comment>
    <comment ref="D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https://www.nationalchickencouncil.org/about-the-industry/statistics/u-s-broiler-performance/
</t>
        </r>
        <r>
          <rPr>
            <sz val="9"/>
            <color rgb="FF000000"/>
            <rFont val="Tahoma"/>
            <family val="2"/>
          </rPr>
          <t>NCC, 2019</t>
        </r>
      </text>
    </comment>
    <comment ref="B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al., 2016</t>
        </r>
      </text>
    </comment>
    <comment ref="C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al., 2016</t>
        </r>
      </text>
    </comment>
    <comment ref="D5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Shepon et al., 2016</t>
        </r>
      </text>
    </comment>
    <comment ref="B7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https://fdc.nal.usda.gov/fdc-app.html#/food-details/167902/nutrients
</t>
        </r>
        <r>
          <rPr>
            <sz val="9"/>
            <color rgb="FF000000"/>
            <rFont val="Tahoma"/>
            <family val="2"/>
          </rPr>
          <t>USDA, 2019</t>
        </r>
      </text>
    </comment>
    <comment ref="C7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https://ndb.nal.usda.gov/ndb/beef/show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97/3 lean ground beef, USDA 2019</t>
        </r>
      </text>
    </comment>
    <comment ref="D7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https://fdc.nal.usda.gov/fdc-app.html#/food-details/171116/nutrients
USDA, 2019</t>
        </r>
      </text>
    </comment>
    <comment ref="B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https://fdc.nal.usda.gov/fdc-app.html#/food-details/167902/nutrients
USDA, 2019</t>
        </r>
      </text>
    </comment>
    <comment ref="C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https://ndb.nal.usda.gov/ndb/beef/show
97/3 ground beef, USDA 2019</t>
        </r>
      </text>
    </comment>
    <comment ref="D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https://fdc.nal.usda.gov/fdc-app.html#/food-details/171116/nutrients</t>
        </r>
      </text>
    </comment>
    <comment ref="D9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https://www.nationalchickencouncil.org/about-the-industry/statistics/u-s-broiler-performance/
</t>
        </r>
        <r>
          <rPr>
            <sz val="9"/>
            <color rgb="FF000000"/>
            <rFont val="Tahoma"/>
            <family val="2"/>
          </rPr>
          <t>NCC, 2019</t>
        </r>
      </text>
    </comment>
    <comment ref="B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C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D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B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C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D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</commentList>
</comments>
</file>

<file path=xl/sharedStrings.xml><?xml version="1.0" encoding="utf-8"?>
<sst xmlns="http://schemas.openxmlformats.org/spreadsheetml/2006/main" count="906" uniqueCount="506">
  <si>
    <t xml:space="preserve">Vergeer a </t>
  </si>
  <si>
    <t>Vergeer b</t>
  </si>
  <si>
    <t>Vergeer c</t>
  </si>
  <si>
    <t>$/kg</t>
  </si>
  <si>
    <t>Vergeer d</t>
  </si>
  <si>
    <t>Vergeer e</t>
  </si>
  <si>
    <t>Vergeer f</t>
  </si>
  <si>
    <t>Vergeer g</t>
  </si>
  <si>
    <t>Vergeer h</t>
  </si>
  <si>
    <t>Vergeer i</t>
  </si>
  <si>
    <t>Source</t>
  </si>
  <si>
    <t>Type</t>
  </si>
  <si>
    <t>White paper</t>
  </si>
  <si>
    <t>Risner a</t>
  </si>
  <si>
    <t xml:space="preserve">Risner b </t>
  </si>
  <si>
    <t>Risner d</t>
  </si>
  <si>
    <t xml:space="preserve">Risner c </t>
  </si>
  <si>
    <t>Source_i</t>
  </si>
  <si>
    <t>Specht</t>
  </si>
  <si>
    <t>log(cost)</t>
  </si>
  <si>
    <t>Humbird a</t>
  </si>
  <si>
    <t>Humbird b</t>
  </si>
  <si>
    <t>Garrison</t>
  </si>
  <si>
    <t>Journal Article</t>
  </si>
  <si>
    <t>Vergeer et al. (2021)</t>
  </si>
  <si>
    <t>Risner et al. (2020)</t>
  </si>
  <si>
    <t>Specht (2018)</t>
  </si>
  <si>
    <t>Humbird (2021)</t>
  </si>
  <si>
    <t>Garrison et al. (2022)</t>
  </si>
  <si>
    <t>Humbird</t>
  </si>
  <si>
    <t>g/mol</t>
  </si>
  <si>
    <t>Value</t>
  </si>
  <si>
    <t>Unit</t>
  </si>
  <si>
    <t>Humbird (2020)</t>
  </si>
  <si>
    <t>Hydrolysate Protein Recovery Rate</t>
  </si>
  <si>
    <t>Soybean Avg. Yields</t>
  </si>
  <si>
    <t>bu/ac</t>
  </si>
  <si>
    <t>ISU Extension</t>
  </si>
  <si>
    <t>lbs</t>
  </si>
  <si>
    <t>lbs -- &gt; kg</t>
  </si>
  <si>
    <t>lbs/kg</t>
  </si>
  <si>
    <t>lbs/bu</t>
  </si>
  <si>
    <t>Soybean Bushel</t>
  </si>
  <si>
    <t>Soybean Yields</t>
  </si>
  <si>
    <t>kg/acre</t>
  </si>
  <si>
    <t>Soybean protein content</t>
  </si>
  <si>
    <t>acres --&gt; m2</t>
  </si>
  <si>
    <t>m2/kg meat</t>
  </si>
  <si>
    <t>Wet meat protein content</t>
  </si>
  <si>
    <t>Protein Areal Productivity</t>
  </si>
  <si>
    <t>Caloric Conversion Efficiency</t>
  </si>
  <si>
    <t>kg glucose / kg meat</t>
  </si>
  <si>
    <t>kg starch/ kg corn</t>
  </si>
  <si>
    <t>Avg Corn Yields</t>
  </si>
  <si>
    <t>Corn Bushel</t>
  </si>
  <si>
    <t>Corn Yield</t>
  </si>
  <si>
    <t>kg/ac</t>
  </si>
  <si>
    <t>kg/m2</t>
  </si>
  <si>
    <t>kcal --&gt; MJ</t>
  </si>
  <si>
    <t>Glucose calorie content</t>
  </si>
  <si>
    <t>kcal/kg meat</t>
  </si>
  <si>
    <t>Meat calorie content</t>
  </si>
  <si>
    <t xml:space="preserve">Variable </t>
  </si>
  <si>
    <t>Comment</t>
  </si>
  <si>
    <t>Protein feed conversion efficiency</t>
  </si>
  <si>
    <t>Alexander et al. (2017)</t>
  </si>
  <si>
    <t>Protein feed requirement</t>
  </si>
  <si>
    <t>kg protein in meat / kg protein in feed</t>
  </si>
  <si>
    <t>kg protein in meat/kg meat</t>
  </si>
  <si>
    <t>kg protein fed / kg meat</t>
  </si>
  <si>
    <t>Soybean requirement</t>
  </si>
  <si>
    <t>kg soy / kg meat</t>
  </si>
  <si>
    <t>calculated</t>
  </si>
  <si>
    <t>After accounting for hydrolysate recovery losses</t>
  </si>
  <si>
    <t>kg recoverable protein / kg soy</t>
  </si>
  <si>
    <t>caclulated</t>
  </si>
  <si>
    <t>conversion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</si>
  <si>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/acre</t>
    </r>
  </si>
  <si>
    <r>
      <t>g protein/m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</si>
  <si>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Alexander (2017); Humbird presents 26-33%</t>
  </si>
  <si>
    <t>kcal/g meat</t>
  </si>
  <si>
    <t>kcal in meat / kcal fed</t>
  </si>
  <si>
    <t>Fed Calorie Requirement</t>
  </si>
  <si>
    <t>kcal fed / kg meat</t>
  </si>
  <si>
    <t>Glucose fed requirement</t>
  </si>
  <si>
    <t>kcal/kg glucose</t>
  </si>
  <si>
    <t>Corn Starch Yield</t>
  </si>
  <si>
    <r>
      <t>kg corn/m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</si>
  <si>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/acre</t>
    </r>
  </si>
  <si>
    <t>Calorie Areal Productivity</t>
  </si>
  <si>
    <r>
      <t>kcal/m</t>
    </r>
    <r>
      <rPr>
        <vertAlign val="superscript"/>
        <sz val="12"/>
        <color theme="1"/>
        <rFont val="Calibri"/>
        <family val="2"/>
        <scheme val="minor"/>
      </rPr>
      <t>2</t>
    </r>
  </si>
  <si>
    <t>Energy Areal Productivity</t>
  </si>
  <si>
    <t>MJ/kcal</t>
  </si>
  <si>
    <r>
      <t>MJ/m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</si>
  <si>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Soybean Land Use</t>
  </si>
  <si>
    <t>Corn Land Use</t>
  </si>
  <si>
    <t>Combined Land Use</t>
  </si>
  <si>
    <t>sum above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</si>
  <si>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/kg meat</t>
    </r>
  </si>
  <si>
    <r>
      <t>g protein / 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</si>
  <si>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only accounting for soybean land req</t>
  </si>
  <si>
    <t>Only accounting for corn land req</t>
  </si>
  <si>
    <t>kg protein / kg soybean meal</t>
  </si>
  <si>
    <t>Soybean oil yield</t>
  </si>
  <si>
    <t>kg oil/kg soy</t>
  </si>
  <si>
    <t>Soybean meal yield</t>
  </si>
  <si>
    <t>kg meal/kg soy</t>
  </si>
  <si>
    <t xml:space="preserve">of soy meal protein </t>
  </si>
  <si>
    <t>Soybean yield</t>
  </si>
  <si>
    <t>48 lbs per bushel</t>
  </si>
  <si>
    <t>Soybean oil value</t>
  </si>
  <si>
    <t>per kg</t>
  </si>
  <si>
    <t>2019-2021 average; data in box folder</t>
  </si>
  <si>
    <t>Soybean meal value</t>
  </si>
  <si>
    <t>Weight average value</t>
  </si>
  <si>
    <t>per kg soy</t>
  </si>
  <si>
    <t>Soybean meal partition</t>
  </si>
  <si>
    <t>Soybean oil partition</t>
  </si>
  <si>
    <t>of soy land to meal</t>
  </si>
  <si>
    <t>of soy land to oil</t>
  </si>
  <si>
    <t>Soybean land use</t>
  </si>
  <si>
    <t>Soybean land use for meal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</si>
  <si>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</t>
    </r>
  </si>
  <si>
    <t>Land use for protein requirement</t>
  </si>
  <si>
    <t>after attributing some land use to oil</t>
  </si>
  <si>
    <t>Corn Gluten Meal Yield</t>
  </si>
  <si>
    <t>kg corn gluten meal/kg corn</t>
  </si>
  <si>
    <t>Corn Gluten Meal Value</t>
  </si>
  <si>
    <t>Corn Starch Value</t>
  </si>
  <si>
    <t>Weighted Average value</t>
  </si>
  <si>
    <t>Corn Gluten Meal partition</t>
  </si>
  <si>
    <t>Corn Starch partition</t>
  </si>
  <si>
    <t>Corn Gluten Meal</t>
  </si>
  <si>
    <t>P1</t>
  </si>
  <si>
    <t>P2</t>
  </si>
  <si>
    <t>P3</t>
  </si>
  <si>
    <t>P4</t>
  </si>
  <si>
    <t>P5</t>
  </si>
  <si>
    <t>Average</t>
  </si>
  <si>
    <t>$/ton</t>
  </si>
  <si>
    <t>$/lb</t>
  </si>
  <si>
    <t>High Fructose Corn Syrup</t>
  </si>
  <si>
    <t>October 2022 Price</t>
  </si>
  <si>
    <t>Corn land use for starch</t>
  </si>
  <si>
    <t>Corn starch content</t>
  </si>
  <si>
    <t>kg starch/kg corn</t>
  </si>
  <si>
    <t>Corn requirement</t>
  </si>
  <si>
    <t>equating glucose and starch</t>
  </si>
  <si>
    <t>Corn land use - starch portion only</t>
  </si>
  <si>
    <t>m2/kg corn</t>
  </si>
  <si>
    <t>Glucose land requirement</t>
  </si>
  <si>
    <t>kg corn/ kg meat</t>
  </si>
  <si>
    <t>lbs/ac</t>
  </si>
  <si>
    <t>Mg/m2</t>
  </si>
  <si>
    <t>Mg/ha</t>
  </si>
  <si>
    <t>Mattick et al. (2015)</t>
  </si>
  <si>
    <t>Reactor Size</t>
  </si>
  <si>
    <t>kg/m3</t>
  </si>
  <si>
    <t>hours</t>
  </si>
  <si>
    <t>cells/mL</t>
  </si>
  <si>
    <t>m3</t>
  </si>
  <si>
    <t xml:space="preserve">from mattick model </t>
  </si>
  <si>
    <t>Treatment Cost</t>
  </si>
  <si>
    <t>Waste Protein</t>
  </si>
  <si>
    <t>kg waste protein/kg meat</t>
  </si>
  <si>
    <t>N content</t>
  </si>
  <si>
    <t>kg N waste/kg meat</t>
  </si>
  <si>
    <t>Waste N</t>
  </si>
  <si>
    <t>$/kg meat</t>
  </si>
  <si>
    <t>kg/ha</t>
  </si>
  <si>
    <t>Waste</t>
  </si>
  <si>
    <t>Scenario</t>
  </si>
  <si>
    <t>Waste N (kg/yr)</t>
  </si>
  <si>
    <t xml:space="preserve">water density </t>
  </si>
  <si>
    <t>N Application Rate</t>
  </si>
  <si>
    <t>m/mi</t>
  </si>
  <si>
    <t>Water Use</t>
  </si>
  <si>
    <t>m3/batch</t>
  </si>
  <si>
    <t>Meat produced per batch</t>
  </si>
  <si>
    <t>kg/batch</t>
  </si>
  <si>
    <t>Meat protein content</t>
  </si>
  <si>
    <t>kg protein/kg wet meat</t>
  </si>
  <si>
    <t>Protein conversion efficiency</t>
  </si>
  <si>
    <t>kg protein in meat/kg protein fed</t>
  </si>
  <si>
    <t>Meat Moisture Content</t>
  </si>
  <si>
    <t>kg water/kg wet meat</t>
  </si>
  <si>
    <t>Revenue Requirement</t>
  </si>
  <si>
    <t>$/yr</t>
  </si>
  <si>
    <t>assumption</t>
  </si>
  <si>
    <t>typical (150 lbs/ac)</t>
  </si>
  <si>
    <t>Conversions</t>
  </si>
  <si>
    <t>m--&gt; mi</t>
  </si>
  <si>
    <t>Intermediate Calculations</t>
  </si>
  <si>
    <t>Protein production</t>
  </si>
  <si>
    <t>kg protein/batch</t>
  </si>
  <si>
    <t>Protein fed requirement</t>
  </si>
  <si>
    <t>kg fed/batch</t>
  </si>
  <si>
    <t>kg waste/batch</t>
  </si>
  <si>
    <t>High Price Meat</t>
  </si>
  <si>
    <t>Low Price Meat</t>
  </si>
  <si>
    <t>CM Price ($/kg)</t>
  </si>
  <si>
    <t>Production Required (kg/yr)</t>
  </si>
  <si>
    <t>Batches Required</t>
  </si>
  <si>
    <t>Protein N content</t>
  </si>
  <si>
    <t>kg N / Kg protein</t>
  </si>
  <si>
    <t>Waste N Concentration (kg/m3)</t>
  </si>
  <si>
    <t>Iowa Corn Land Coverage</t>
  </si>
  <si>
    <t>ha corn/ha land</t>
  </si>
  <si>
    <t>NASS</t>
  </si>
  <si>
    <t>m2 --&gt; ha</t>
  </si>
  <si>
    <t>m2/ha</t>
  </si>
  <si>
    <t>not adjusted</t>
  </si>
  <si>
    <t>adjusted for land use</t>
  </si>
  <si>
    <t>Revenue requirement / price</t>
  </si>
  <si>
    <t>production / production per batch</t>
  </si>
  <si>
    <t>waste N per batch * number of batches</t>
  </si>
  <si>
    <t>water use per batch * number of batches</t>
  </si>
  <si>
    <t>N waste / water use</t>
  </si>
  <si>
    <t>Water in CM (kg /yr)</t>
  </si>
  <si>
    <t>Total water use - water volume in meat</t>
  </si>
  <si>
    <t>Moisture content * meat produced</t>
  </si>
  <si>
    <t>Total Water Use (m3/yr)</t>
  </si>
  <si>
    <t>Waste Water (m3/yr)</t>
  </si>
  <si>
    <t>Land Requirement (ha/yr)</t>
  </si>
  <si>
    <t>Land Requirement (m2/yr)</t>
  </si>
  <si>
    <t>Application Area Radius (m)</t>
  </si>
  <si>
    <t>sqrt(area/pi)</t>
  </si>
  <si>
    <t>Application Area Radius (mi)</t>
  </si>
  <si>
    <t>days</t>
  </si>
  <si>
    <t>Assumptions</t>
  </si>
  <si>
    <t>Comments</t>
  </si>
  <si>
    <t>Assumption</t>
  </si>
  <si>
    <t>Oxygen Uptake Rate</t>
  </si>
  <si>
    <t>nmol/hr - million cell</t>
  </si>
  <si>
    <t>Mattick et al. (2015); Table S-5</t>
  </si>
  <si>
    <t xml:space="preserve">Final Cell Concentration </t>
  </si>
  <si>
    <t>cells / mL</t>
  </si>
  <si>
    <t>Conversion</t>
  </si>
  <si>
    <t>ml/m3</t>
  </si>
  <si>
    <t>cells / batch</t>
  </si>
  <si>
    <t>Initial Cell Concentration</t>
  </si>
  <si>
    <t>Final Cell Count</t>
  </si>
  <si>
    <t>Initial Cell Count</t>
  </si>
  <si>
    <t>cells/batch</t>
  </si>
  <si>
    <t>Initial Oxygen Uptake</t>
  </si>
  <si>
    <t>nmol/hr</t>
  </si>
  <si>
    <t>Final Oxygen Uptake</t>
  </si>
  <si>
    <t>Proliferation Phase Length</t>
  </si>
  <si>
    <t>Proliferation Oxygen Uptake - Final</t>
  </si>
  <si>
    <t>Proliferation Oxygen Uptake - Initial</t>
  </si>
  <si>
    <t>nmol / proliferation phase</t>
  </si>
  <si>
    <t>Differentiation Phase Length</t>
  </si>
  <si>
    <t>Mattich et al. (2015)</t>
  </si>
  <si>
    <t>Differentiation Oxygen Uptake</t>
  </si>
  <si>
    <t>nmol/differentitation phase</t>
  </si>
  <si>
    <t>Total Oxygen Uptake</t>
  </si>
  <si>
    <t>nmol/batch</t>
  </si>
  <si>
    <t>Glucose Respired for this oxygen uptake</t>
  </si>
  <si>
    <t>mol/batch</t>
  </si>
  <si>
    <t>g/batch</t>
  </si>
  <si>
    <t>Initial density * reactor size</t>
  </si>
  <si>
    <t>Final density * reactor size</t>
  </si>
  <si>
    <t>Oxygen uptake rate * initial cell count</t>
  </si>
  <si>
    <t xml:space="preserve">Oxygen Uptake rate * final cell count </t>
  </si>
  <si>
    <t>Initial uptake rate * length of prolif phase</t>
  </si>
  <si>
    <t>Final uptake rate * length of prolif phase</t>
  </si>
  <si>
    <t>Average of final and initial</t>
  </si>
  <si>
    <t>Final density uptake rate * lenth of prolif phase</t>
  </si>
  <si>
    <t>nano*</t>
  </si>
  <si>
    <t>glucose molar mass</t>
  </si>
  <si>
    <t>kilo*</t>
  </si>
  <si>
    <t>Glucose fed</t>
  </si>
  <si>
    <t>kg glucose/kg meat</t>
  </si>
  <si>
    <t>CCE Page</t>
  </si>
  <si>
    <t>kg glucose/batch</t>
  </si>
  <si>
    <t>Batch size</t>
  </si>
  <si>
    <t>kg CM/batch</t>
  </si>
  <si>
    <t>Glucose Respired</t>
  </si>
  <si>
    <t>Glucose in meat</t>
  </si>
  <si>
    <t>prolif + diff phases</t>
  </si>
  <si>
    <t>1 mol glucose to 6 mol o2</t>
  </si>
  <si>
    <t>coversion</t>
  </si>
  <si>
    <t>for 345 kg CM batch</t>
  </si>
  <si>
    <t>above</t>
  </si>
  <si>
    <t>CM calorie content</t>
  </si>
  <si>
    <t xml:space="preserve">CCE page </t>
  </si>
  <si>
    <t>CM equivalent glucose contnent</t>
  </si>
  <si>
    <t>CM calorie content/glucose calorie content</t>
  </si>
  <si>
    <t>345 kg batch</t>
  </si>
  <si>
    <t>Glucose Waste</t>
  </si>
  <si>
    <t>fed - respired - in meat</t>
  </si>
  <si>
    <t>Carbon molar mass</t>
  </si>
  <si>
    <t>Glucose carbon %</t>
  </si>
  <si>
    <t>Carbon Waste</t>
  </si>
  <si>
    <t>kg carbon/batch</t>
  </si>
  <si>
    <t>Respired</t>
  </si>
  <si>
    <t>Retained</t>
  </si>
  <si>
    <t>Glucose fate</t>
  </si>
  <si>
    <t>COD Waste</t>
  </si>
  <si>
    <t>kg COD/batch</t>
  </si>
  <si>
    <t>COD Cost</t>
  </si>
  <si>
    <t>lbs --&gt; kg</t>
  </si>
  <si>
    <t>COD Treatment Cost</t>
  </si>
  <si>
    <t>$/batch</t>
  </si>
  <si>
    <t>kg O2/batch</t>
  </si>
  <si>
    <t>gal --&gt; m3</t>
  </si>
  <si>
    <t>gal/m3</t>
  </si>
  <si>
    <t>Manure application price</t>
  </si>
  <si>
    <t>$/gal</t>
  </si>
  <si>
    <t>Assumed from a range of values; &lt;=1 mile</t>
  </si>
  <si>
    <t>Volume of spent media (gal)</t>
  </si>
  <si>
    <t>Baseline application cost ($/yr)</t>
  </si>
  <si>
    <t>volume * app cost</t>
  </si>
  <si>
    <t>How much area within 1 mile?</t>
  </si>
  <si>
    <t>Additional cost</t>
  </si>
  <si>
    <t>Additional manure application price</t>
  </si>
  <si>
    <t>&gt;1 mi haul; step function</t>
  </si>
  <si>
    <t>Total Application Cost ($/yr)</t>
  </si>
  <si>
    <t>Total Application Cost ($/kg)</t>
  </si>
  <si>
    <t>Nitrogen WWT ($/yr)</t>
  </si>
  <si>
    <t>N Waste Water Treatment Cost</t>
  </si>
  <si>
    <t>$/kg N</t>
  </si>
  <si>
    <t>City of Ames</t>
  </si>
  <si>
    <t>$/kg CM</t>
  </si>
  <si>
    <t>COD WWT ($/kg CM)</t>
  </si>
  <si>
    <t>Nitrogen WWT ($/kg CM)</t>
  </si>
  <si>
    <t>Total WWT ($/kg CM)</t>
  </si>
  <si>
    <t>wet cell mass</t>
  </si>
  <si>
    <t>pg</t>
  </si>
  <si>
    <t>g</t>
  </si>
  <si>
    <t>kg</t>
  </si>
  <si>
    <t>cells/m3</t>
  </si>
  <si>
    <t>reactor size</t>
  </si>
  <si>
    <t>Initial in final reactor</t>
  </si>
  <si>
    <t>Final mass in final reactor</t>
  </si>
  <si>
    <t xml:space="preserve">wet </t>
  </si>
  <si>
    <t>Initial Density</t>
  </si>
  <si>
    <t>Final Density</t>
  </si>
  <si>
    <t>pg--&gt;g</t>
  </si>
  <si>
    <t>g--&gt;kg</t>
  </si>
  <si>
    <t>ml--&gt;m3</t>
  </si>
  <si>
    <t>Manure Application Cost</t>
  </si>
  <si>
    <t>/gal</t>
  </si>
  <si>
    <t>Animals - ASAE D384.2 MAR2005</t>
  </si>
  <si>
    <t>Cows</t>
  </si>
  <si>
    <t>Manure Production (Gowing Calf)</t>
  </si>
  <si>
    <t>L/day/animal</t>
  </si>
  <si>
    <t>Growing Calf Length</t>
  </si>
  <si>
    <t>Manure Production (Finishing Cattle)</t>
  </si>
  <si>
    <t>L/finished animal</t>
  </si>
  <si>
    <t>Total Manure</t>
  </si>
  <si>
    <t>L/animal</t>
  </si>
  <si>
    <t>gal/animal</t>
  </si>
  <si>
    <t>/animal</t>
  </si>
  <si>
    <t>/kg meat</t>
  </si>
  <si>
    <t>Pigs</t>
  </si>
  <si>
    <t>Manure Production (Nursery Pig)</t>
  </si>
  <si>
    <t>Manure Production (Grow-Finish)</t>
  </si>
  <si>
    <t xml:space="preserve">Total Manure </t>
  </si>
  <si>
    <t xml:space="preserve">Manure Application Cost </t>
  </si>
  <si>
    <t>Broiler</t>
  </si>
  <si>
    <t>Manure Production</t>
  </si>
  <si>
    <t>Animal Characteristic Table</t>
  </si>
  <si>
    <t>Quantity (units)</t>
  </si>
  <si>
    <t>Swine</t>
  </si>
  <si>
    <t xml:space="preserve">Beef </t>
  </si>
  <si>
    <t>Birth weight (kg)</t>
  </si>
  <si>
    <t>Live weight (kg)</t>
  </si>
  <si>
    <t>Edible meat (%)</t>
  </si>
  <si>
    <t>Meat output wb (kg)</t>
  </si>
  <si>
    <r>
      <t>Meat protein content (kg protein/kg meat</t>
    </r>
    <r>
      <rPr>
        <vertAlign val="subscript"/>
        <sz val="12"/>
        <color theme="1"/>
        <rFont val="Calibri"/>
        <family val="2"/>
        <scheme val="minor"/>
      </rPr>
      <t>wb</t>
    </r>
    <r>
      <rPr>
        <sz val="12"/>
        <color theme="1"/>
        <rFont val="Calibri"/>
        <family val="2"/>
        <scheme val="minor"/>
      </rPr>
      <t>)</t>
    </r>
  </si>
  <si>
    <t>Meat moisture content (%)</t>
  </si>
  <si>
    <t>Growth time (days)</t>
  </si>
  <si>
    <t>Average weight gain (kg/day)</t>
  </si>
  <si>
    <r>
      <t>Specific growth rate (days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</si>
  <si>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t>Feed conversion ratio (kg feed/kg LW)</t>
  </si>
  <si>
    <t>Feed conversion ratio (kg feed/kg weight gain)</t>
  </si>
  <si>
    <t xml:space="preserve">Total feed mass (kg feed) </t>
  </si>
  <si>
    <t>Protein in diet (%)</t>
  </si>
  <si>
    <t>Protein fed (kg)</t>
  </si>
  <si>
    <t>Initial cell density</t>
  </si>
  <si>
    <t>Cell mass</t>
  </si>
  <si>
    <t>Reactor volume</t>
  </si>
  <si>
    <t>Initial meat mass</t>
  </si>
  <si>
    <t>Proliferation time</t>
  </si>
  <si>
    <t>End of proliferation density</t>
  </si>
  <si>
    <t>End of proliferation mass</t>
  </si>
  <si>
    <r>
      <t xml:space="preserve">Specific Growth Rate, </t>
    </r>
    <r>
      <rPr>
        <sz val="12"/>
        <color theme="1"/>
        <rFont val="Calibri"/>
        <family val="2"/>
      </rPr>
      <t>µ</t>
    </r>
  </si>
  <si>
    <t>Mass inc. during differentiation</t>
  </si>
  <si>
    <t>Final meat mass</t>
  </si>
  <si>
    <t>Mattick</t>
  </si>
  <si>
    <t>mL</t>
  </si>
  <si>
    <r>
      <t>days</t>
    </r>
    <r>
      <rPr>
        <vertAlign val="superscript"/>
        <sz val="12"/>
        <color theme="1"/>
        <rFont val="Calibri"/>
        <family val="2"/>
        <scheme val="minor"/>
      </rPr>
      <t>-1</t>
    </r>
  </si>
  <si>
    <t>kaj</t>
  </si>
  <si>
    <t>CM</t>
  </si>
  <si>
    <t>given</t>
  </si>
  <si>
    <t>calculated on this sheet</t>
  </si>
  <si>
    <t>mL --&gt; m3 or *million</t>
  </si>
  <si>
    <t>O2 molar mass</t>
  </si>
  <si>
    <t>Carbon --&gt; COD</t>
  </si>
  <si>
    <t>from glucose</t>
  </si>
  <si>
    <t>Liters--&gt; gallons</t>
  </si>
  <si>
    <t>liter/gal</t>
  </si>
  <si>
    <t>Animals Waste Management</t>
  </si>
  <si>
    <t>Misc. CM Calculations</t>
  </si>
  <si>
    <t xml:space="preserve">Protein N Content </t>
  </si>
  <si>
    <t>Leaching loss</t>
  </si>
  <si>
    <t>Volitalization Factor PMR 1003 Direct Injection</t>
  </si>
  <si>
    <t>CCM Nitrogen Availability after Treatment</t>
  </si>
  <si>
    <t>Total Daily N Excretion</t>
  </si>
  <si>
    <t>g/person/day</t>
  </si>
  <si>
    <t>N Land Application Rate</t>
  </si>
  <si>
    <t>lb/ac</t>
  </si>
  <si>
    <t>Beef</t>
  </si>
  <si>
    <t>Protein Fed</t>
  </si>
  <si>
    <t>kg/head/day</t>
  </si>
  <si>
    <t>N Fed</t>
  </si>
  <si>
    <t>Beef, Cow/Finishing Cattle Nitrogen Emissions</t>
  </si>
  <si>
    <t>ASABE Length of Finishing Cattle Phase</t>
  </si>
  <si>
    <t xml:space="preserve">Share of Life </t>
  </si>
  <si>
    <t>Nitrogen available for application</t>
  </si>
  <si>
    <t>Length of growing calf phase</t>
  </si>
  <si>
    <t>Average Nitrogen Available for Land Application</t>
  </si>
  <si>
    <t>Available After Volatilization</t>
  </si>
  <si>
    <t>Lost to Leaching</t>
  </si>
  <si>
    <t>Recoverable</t>
  </si>
  <si>
    <t>Recoverable (% fed)</t>
  </si>
  <si>
    <t>Total Nitrogen Available for Application</t>
  </si>
  <si>
    <t>kg/head</t>
  </si>
  <si>
    <t>kg/head/yr</t>
  </si>
  <si>
    <t>Human Equivalent</t>
  </si>
  <si>
    <t>people/head/yr</t>
  </si>
  <si>
    <t>people/kg meat output</t>
  </si>
  <si>
    <t>/head/day</t>
  </si>
  <si>
    <t xml:space="preserve">N Fed </t>
  </si>
  <si>
    <t>Nitrogen Available for Application After Storage</t>
  </si>
  <si>
    <t xml:space="preserve">Recoverable </t>
  </si>
  <si>
    <t xml:space="preserve">Protein Fed  </t>
  </si>
  <si>
    <t>days per yr</t>
  </si>
  <si>
    <t>Protein page</t>
  </si>
  <si>
    <t>calorie page</t>
  </si>
  <si>
    <t>Cost to treat N</t>
  </si>
  <si>
    <t>Mattick Land Use</t>
  </si>
  <si>
    <t>Mattick CM</t>
  </si>
  <si>
    <r>
      <t>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/kg meat</t>
    </r>
  </si>
  <si>
    <t>g/kg</t>
  </si>
  <si>
    <t>Sinke and Odegard</t>
  </si>
  <si>
    <t>Sinke and Odegard (2021)</t>
  </si>
  <si>
    <t>Sinke and Odegard Land Use</t>
  </si>
  <si>
    <t>Beef Protein</t>
  </si>
  <si>
    <t>kcal/kg</t>
  </si>
  <si>
    <t>MJ/kg</t>
  </si>
  <si>
    <t>Beef Production Types</t>
  </si>
  <si>
    <t>Land Use</t>
  </si>
  <si>
    <r>
      <t>Minimum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/kg/yr)</t>
    </r>
  </si>
  <si>
    <r>
      <t>Maximum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/kg/yr)</t>
    </r>
  </si>
  <si>
    <t>Extensive</t>
  </si>
  <si>
    <t>Intermediate</t>
  </si>
  <si>
    <t>Intensive</t>
  </si>
  <si>
    <t>Energy Productivity</t>
  </si>
  <si>
    <r>
      <t>Minimum (kcal/m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</si>
  <si>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(kcal/m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</si>
  <si>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Minimum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</si>
  <si>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</si>
  <si>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t>Protein Productivity</t>
  </si>
  <si>
    <r>
      <t>Minimum (g/m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</si>
  <si>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</si>
  <si>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t>Broilers</t>
  </si>
  <si>
    <t>High</t>
  </si>
  <si>
    <t>m2/kg/yr</t>
  </si>
  <si>
    <t>Low</t>
  </si>
  <si>
    <t>Chicken Protein Content</t>
  </si>
  <si>
    <t>kg/kg meat</t>
  </si>
  <si>
    <t>Chicken Energy Content</t>
  </si>
  <si>
    <t>Maximum</t>
  </si>
  <si>
    <t>MJ/m2/yr</t>
  </si>
  <si>
    <t>Minimum</t>
  </si>
  <si>
    <t>g/m2/yr</t>
  </si>
  <si>
    <t>Pork</t>
  </si>
  <si>
    <t>Pork Protein Content</t>
  </si>
  <si>
    <t>Pork Energy Content</t>
  </si>
  <si>
    <t>Median</t>
  </si>
  <si>
    <t>mj/kcal</t>
  </si>
  <si>
    <t>Beef Energy Content</t>
  </si>
  <si>
    <t>Max</t>
  </si>
  <si>
    <t>Median (kcal/m2/yr)</t>
  </si>
  <si>
    <t>Median (MJ/m2/yr)</t>
  </si>
  <si>
    <t>Median (g/m2/yr)</t>
  </si>
  <si>
    <t>Humbird Densities</t>
  </si>
  <si>
    <t>Risner</t>
  </si>
  <si>
    <t>Bioreactor volume</t>
  </si>
  <si>
    <t>Seed reactor volume</t>
  </si>
  <si>
    <t>Seed concentrations</t>
  </si>
  <si>
    <t>L</t>
  </si>
  <si>
    <t>cells/ml</t>
  </si>
  <si>
    <t>Initial cell concentation</t>
  </si>
  <si>
    <t>Maturation time Calcs</t>
  </si>
  <si>
    <t>1 - Doubling Time</t>
  </si>
  <si>
    <t>2 - Doubling Time</t>
  </si>
  <si>
    <t>3 - Doubling Time</t>
  </si>
  <si>
    <t>4 - Doubling Time</t>
  </si>
  <si>
    <t>1- Growth phase time</t>
  </si>
  <si>
    <t>2- Growth phase time</t>
  </si>
  <si>
    <t>3- Growth phase time</t>
  </si>
  <si>
    <t>4- Growth phase time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</si>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</sst>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"/>
    <numFmt numFmtId="166" formatCode="0.000"/>
    <numFmt numFmtId="167" formatCode="0.0%"/>
    <numFmt numFmtId="168" formatCode="&quot;$&quot;#,##0.0000"/>
    <numFmt numFmtId="169" formatCode="&quot;$&quot;#,##0.000"/>
    <numFmt numFmtId="170" formatCode="&quot;$&quot;#,##0"/>
    <numFmt numFmtId="171" formatCode="0.0"/>
    <numFmt numFmtId="172" formatCode="_(* #,##0_);_(* \(#,##0\);_(* &quot;-&quot;??_);_(@_)"/>
    <numFmt numFmtId="173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202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9" fontId="0" fillId="0" borderId="0" xfId="1" applyFon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/>
    </xf>
    <xf numFmtId="9" fontId="7" fillId="0" borderId="0" xfId="1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164" fontId="7" fillId="0" borderId="0" xfId="2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11" fontId="0" fillId="2" borderId="0" xfId="0" applyNumberFormat="1" applyFill="1"/>
    <xf numFmtId="167" fontId="0" fillId="0" borderId="0" xfId="1" applyNumberFormat="1" applyFont="1"/>
    <xf numFmtId="11" fontId="0" fillId="0" borderId="0" xfId="0" applyNumberFormat="1" applyFill="1"/>
    <xf numFmtId="37" fontId="0" fillId="0" borderId="0" xfId="0" applyNumberFormat="1" applyFill="1"/>
    <xf numFmtId="37" fontId="0" fillId="0" borderId="0" xfId="0" applyNumberFormat="1"/>
    <xf numFmtId="164" fontId="0" fillId="0" borderId="0" xfId="2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/>
    <xf numFmtId="2" fontId="3" fillId="3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4" borderId="0" xfId="0" applyFont="1" applyFill="1" applyBorder="1"/>
    <xf numFmtId="2" fontId="7" fillId="4" borderId="0" xfId="0" applyNumberFormat="1" applyFont="1" applyFill="1" applyBorder="1" applyAlignment="1">
      <alignment horizontal="center"/>
    </xf>
    <xf numFmtId="0" fontId="7" fillId="5" borderId="0" xfId="0" applyFont="1" applyFill="1" applyBorder="1"/>
    <xf numFmtId="2" fontId="7" fillId="5" borderId="0" xfId="0" applyNumberFormat="1" applyFont="1" applyFill="1" applyBorder="1" applyAlignment="1">
      <alignment horizontal="center"/>
    </xf>
    <xf numFmtId="171" fontId="7" fillId="5" borderId="0" xfId="0" applyNumberFormat="1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center"/>
    </xf>
    <xf numFmtId="0" fontId="3" fillId="6" borderId="0" xfId="0" applyFont="1" applyFill="1" applyBorder="1"/>
    <xf numFmtId="164" fontId="3" fillId="6" borderId="0" xfId="0" applyNumberFormat="1" applyFont="1" applyFill="1" applyBorder="1" applyAlignment="1">
      <alignment horizontal="center"/>
    </xf>
    <xf numFmtId="171" fontId="3" fillId="6" borderId="0" xfId="0" applyNumberFormat="1" applyFont="1" applyFill="1" applyBorder="1" applyAlignment="1">
      <alignment horizontal="center"/>
    </xf>
    <xf numFmtId="43" fontId="3" fillId="3" borderId="0" xfId="3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2" fontId="7" fillId="4" borderId="0" xfId="3" applyNumberFormat="1" applyFont="1" applyFill="1" applyBorder="1" applyAlignment="1">
      <alignment horizontal="center" vertical="center"/>
    </xf>
    <xf numFmtId="43" fontId="7" fillId="4" borderId="0" xfId="3" applyFont="1" applyFill="1" applyBorder="1" applyAlignment="1">
      <alignment horizontal="center" vertical="center"/>
    </xf>
    <xf numFmtId="43" fontId="7" fillId="0" borderId="0" xfId="3" applyFont="1" applyFill="1" applyBorder="1" applyAlignment="1">
      <alignment horizontal="center" vertical="center"/>
    </xf>
    <xf numFmtId="2" fontId="7" fillId="4" borderId="0" xfId="3" applyNumberFormat="1" applyFont="1" applyFill="1" applyBorder="1" applyAlignment="1">
      <alignment horizontal="center"/>
    </xf>
    <xf numFmtId="43" fontId="7" fillId="4" borderId="0" xfId="3" applyFont="1" applyFill="1" applyBorder="1" applyAlignment="1">
      <alignment horizontal="center"/>
    </xf>
    <xf numFmtId="43" fontId="3" fillId="0" borderId="0" xfId="3" applyFont="1" applyFill="1" applyBorder="1" applyAlignment="1">
      <alignment horizontal="center"/>
    </xf>
    <xf numFmtId="2" fontId="7" fillId="5" borderId="0" xfId="3" applyNumberFormat="1" applyFont="1" applyFill="1" applyBorder="1" applyAlignment="1">
      <alignment horizontal="center"/>
    </xf>
    <xf numFmtId="43" fontId="7" fillId="5" borderId="0" xfId="3" applyFont="1" applyFill="1" applyBorder="1" applyAlignment="1">
      <alignment horizontal="center"/>
    </xf>
    <xf numFmtId="168" fontId="3" fillId="6" borderId="0" xfId="0" applyNumberFormat="1" applyFont="1" applyFill="1" applyBorder="1"/>
    <xf numFmtId="168" fontId="3" fillId="6" borderId="0" xfId="3" applyNumberFormat="1" applyFont="1" applyFill="1" applyBorder="1" applyAlignment="1">
      <alignment horizontal="center"/>
    </xf>
    <xf numFmtId="43" fontId="7" fillId="3" borderId="0" xfId="3" applyFont="1" applyFill="1" applyBorder="1" applyAlignment="1">
      <alignment horizontal="center"/>
    </xf>
    <xf numFmtId="0" fontId="3" fillId="2" borderId="0" xfId="0" applyFont="1" applyFill="1" applyBorder="1"/>
    <xf numFmtId="43" fontId="3" fillId="2" borderId="0" xfId="3" applyFont="1" applyFill="1" applyBorder="1" applyAlignment="1">
      <alignment horizontal="center"/>
    </xf>
    <xf numFmtId="0" fontId="3" fillId="0" borderId="1" xfId="0" applyFont="1" applyFill="1" applyBorder="1"/>
    <xf numFmtId="0" fontId="7" fillId="0" borderId="1" xfId="0" applyFont="1" applyBorder="1"/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7" fillId="8" borderId="0" xfId="0" applyFont="1" applyFill="1"/>
    <xf numFmtId="2" fontId="7" fillId="4" borderId="0" xfId="0" applyNumberFormat="1" applyFont="1" applyFill="1" applyAlignment="1">
      <alignment horizontal="right"/>
    </xf>
    <xf numFmtId="171" fontId="7" fillId="4" borderId="0" xfId="0" applyNumberFormat="1" applyFont="1" applyFill="1" applyAlignment="1">
      <alignment horizontal="right"/>
    </xf>
    <xf numFmtId="2" fontId="7" fillId="9" borderId="0" xfId="0" applyNumberFormat="1" applyFont="1" applyFill="1" applyAlignment="1">
      <alignment horizontal="right"/>
    </xf>
    <xf numFmtId="172" fontId="7" fillId="9" borderId="0" xfId="0" applyNumberFormat="1" applyFont="1" applyFill="1" applyAlignment="1">
      <alignment horizontal="right"/>
    </xf>
    <xf numFmtId="1" fontId="7" fillId="4" borderId="0" xfId="0" applyNumberFormat="1" applyFont="1" applyFill="1" applyAlignment="1">
      <alignment horizontal="right"/>
    </xf>
    <xf numFmtId="9" fontId="7" fillId="4" borderId="0" xfId="1" applyNumberFormat="1" applyFont="1" applyFill="1" applyAlignment="1">
      <alignment horizontal="right"/>
    </xf>
    <xf numFmtId="9" fontId="7" fillId="4" borderId="0" xfId="0" applyNumberFormat="1" applyFont="1" applyFill="1" applyAlignment="1">
      <alignment horizontal="right"/>
    </xf>
    <xf numFmtId="167" fontId="7" fillId="4" borderId="0" xfId="0" applyNumberFormat="1" applyFont="1" applyFill="1" applyAlignment="1">
      <alignment horizontal="right"/>
    </xf>
    <xf numFmtId="1" fontId="7" fillId="9" borderId="0" xfId="0" applyNumberFormat="1" applyFont="1" applyFill="1" applyAlignment="1">
      <alignment horizontal="right"/>
    </xf>
    <xf numFmtId="171" fontId="7" fillId="9" borderId="0" xfId="0" applyNumberFormat="1" applyFont="1" applyFill="1" applyAlignment="1">
      <alignment horizontal="right"/>
    </xf>
    <xf numFmtId="2" fontId="7" fillId="4" borderId="0" xfId="1" applyNumberFormat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0" fontId="7" fillId="4" borderId="0" xfId="0" applyFont="1" applyFill="1" applyAlignment="1">
      <alignment horizontal="right"/>
    </xf>
    <xf numFmtId="166" fontId="7" fillId="9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0" fontId="7" fillId="8" borderId="1" xfId="0" applyFont="1" applyFill="1" applyBorder="1"/>
    <xf numFmtId="9" fontId="7" fillId="9" borderId="1" xfId="1" applyFont="1" applyFill="1" applyBorder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12" fillId="4" borderId="0" xfId="4" applyNumberFormat="1" applyFont="1" applyFill="1"/>
    <xf numFmtId="11" fontId="12" fillId="4" borderId="0" xfId="0" applyNumberFormat="1" applyFont="1" applyFill="1" applyAlignment="1">
      <alignment horizontal="right"/>
    </xf>
    <xf numFmtId="172" fontId="12" fillId="4" borderId="0" xfId="3" applyNumberFormat="1" applyFont="1" applyFill="1" applyAlignment="1">
      <alignment horizontal="right"/>
    </xf>
    <xf numFmtId="0" fontId="15" fillId="9" borderId="0" xfId="4" applyNumberFormat="1" applyFont="1" applyFill="1"/>
    <xf numFmtId="172" fontId="15" fillId="9" borderId="0" xfId="4" applyNumberFormat="1" applyFont="1" applyFill="1" applyAlignment="1">
      <alignment horizontal="right"/>
    </xf>
    <xf numFmtId="0" fontId="15" fillId="4" borderId="0" xfId="4" applyNumberFormat="1" applyFont="1" applyFill="1"/>
    <xf numFmtId="171" fontId="12" fillId="4" borderId="0" xfId="4" applyNumberFormat="1" applyFont="1" applyFill="1" applyAlignment="1">
      <alignment horizontal="right"/>
    </xf>
    <xf numFmtId="11" fontId="7" fillId="4" borderId="0" xfId="0" applyNumberFormat="1" applyFont="1" applyFill="1" applyAlignment="1">
      <alignment horizontal="right"/>
    </xf>
    <xf numFmtId="0" fontId="7" fillId="9" borderId="0" xfId="0" applyFont="1" applyFill="1"/>
    <xf numFmtId="9" fontId="12" fillId="4" borderId="0" xfId="1" applyFont="1" applyFill="1" applyAlignment="1">
      <alignment horizontal="right"/>
    </xf>
    <xf numFmtId="11" fontId="12" fillId="4" borderId="0" xfId="4" applyNumberFormat="1" applyFont="1" applyFill="1" applyAlignment="1">
      <alignment horizontal="right"/>
    </xf>
    <xf numFmtId="0" fontId="7" fillId="4" borderId="0" xfId="0" applyFont="1" applyFill="1"/>
    <xf numFmtId="0" fontId="7" fillId="0" borderId="0" xfId="0" applyFont="1" applyFill="1"/>
    <xf numFmtId="0" fontId="7" fillId="0" borderId="1" xfId="0" applyFont="1" applyBorder="1" applyAlignment="1">
      <alignment horizontal="center"/>
    </xf>
    <xf numFmtId="2" fontId="7" fillId="9" borderId="0" xfId="0" applyNumberFormat="1" applyFont="1" applyFill="1" applyAlignment="1">
      <alignment horizontal="center"/>
    </xf>
    <xf numFmtId="2" fontId="7" fillId="4" borderId="0" xfId="1" applyNumberFormat="1" applyFont="1" applyFill="1" applyAlignment="1">
      <alignment horizontal="center"/>
    </xf>
    <xf numFmtId="2" fontId="7" fillId="1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left"/>
    </xf>
    <xf numFmtId="2" fontId="7" fillId="9" borderId="0" xfId="3" applyNumberFormat="1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2" fontId="7" fillId="9" borderId="0" xfId="3" applyNumberFormat="1" applyFont="1" applyFill="1" applyAlignment="1">
      <alignment horizontal="center" vertical="center"/>
    </xf>
    <xf numFmtId="2" fontId="7" fillId="9" borderId="0" xfId="1" applyNumberFormat="1" applyFont="1" applyFill="1" applyAlignment="1">
      <alignment horizontal="center"/>
    </xf>
    <xf numFmtId="2" fontId="7" fillId="9" borderId="1" xfId="1" applyNumberFormat="1" applyFont="1" applyFill="1" applyBorder="1" applyAlignment="1">
      <alignment horizontal="center"/>
    </xf>
    <xf numFmtId="2" fontId="7" fillId="0" borderId="0" xfId="0" applyNumberFormat="1" applyFont="1"/>
    <xf numFmtId="9" fontId="7" fillId="4" borderId="0" xfId="1" applyFont="1" applyFill="1" applyAlignment="1">
      <alignment horizontal="center"/>
    </xf>
    <xf numFmtId="0" fontId="1" fillId="7" borderId="0" xfId="0" applyFont="1" applyFill="1"/>
    <xf numFmtId="0" fontId="1" fillId="0" borderId="0" xfId="0" applyFont="1" applyFill="1"/>
    <xf numFmtId="9" fontId="0" fillId="0" borderId="0" xfId="0" applyNumberFormat="1" applyFill="1"/>
    <xf numFmtId="9" fontId="0" fillId="0" borderId="0" xfId="1" applyFont="1" applyFill="1"/>
    <xf numFmtId="2" fontId="0" fillId="0" borderId="0" xfId="0" applyNumberFormat="1" applyFill="1"/>
    <xf numFmtId="0" fontId="0" fillId="0" borderId="0" xfId="0" applyFont="1" applyFill="1"/>
    <xf numFmtId="0" fontId="0" fillId="0" borderId="0" xfId="0" applyFill="1" applyAlignment="1">
      <alignment horizontal="left" indent="1"/>
    </xf>
    <xf numFmtId="10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  <xf numFmtId="166" fontId="0" fillId="0" borderId="0" xfId="1" applyNumberFormat="1" applyFont="1" applyFill="1"/>
    <xf numFmtId="165" fontId="0" fillId="0" borderId="0" xfId="1" applyNumberFormat="1" applyFont="1" applyFill="1"/>
    <xf numFmtId="0" fontId="17" fillId="0" borderId="0" xfId="0" applyFont="1" applyFill="1"/>
    <xf numFmtId="1" fontId="17" fillId="0" borderId="0" xfId="1" applyNumberFormat="1" applyFont="1" applyFill="1"/>
    <xf numFmtId="0" fontId="6" fillId="0" borderId="0" xfId="0" applyFont="1" applyFill="1"/>
    <xf numFmtId="1" fontId="6" fillId="0" borderId="0" xfId="1" applyNumberFormat="1" applyFont="1" applyFill="1"/>
    <xf numFmtId="165" fontId="6" fillId="0" borderId="0" xfId="1" applyNumberFormat="1" applyFont="1" applyFill="1"/>
    <xf numFmtId="166" fontId="0" fillId="0" borderId="0" xfId="0" applyNumberFormat="1" applyFill="1"/>
    <xf numFmtId="173" fontId="0" fillId="0" borderId="0" xfId="1" applyNumberFormat="1" applyFont="1" applyFill="1"/>
    <xf numFmtId="0" fontId="0" fillId="0" borderId="0" xfId="1" applyNumberFormat="1" applyFont="1" applyFill="1"/>
    <xf numFmtId="2" fontId="0" fillId="0" borderId="0" xfId="1" applyNumberFormat="1" applyFont="1" applyFill="1"/>
    <xf numFmtId="0" fontId="1" fillId="2" borderId="0" xfId="0" applyFont="1" applyFill="1"/>
    <xf numFmtId="10" fontId="1" fillId="2" borderId="0" xfId="1" applyNumberFormat="1" applyFont="1" applyFill="1"/>
    <xf numFmtId="10" fontId="1" fillId="2" borderId="0" xfId="0" applyNumberFormat="1" applyFont="1" applyFill="1"/>
    <xf numFmtId="167" fontId="7" fillId="9" borderId="0" xfId="0" applyNumberFormat="1" applyFont="1" applyFill="1" applyAlignment="1">
      <alignment horizontal="right"/>
    </xf>
    <xf numFmtId="167" fontId="7" fillId="9" borderId="1" xfId="1" applyNumberFormat="1" applyFont="1" applyFill="1" applyBorder="1" applyAlignment="1">
      <alignment horizontal="right"/>
    </xf>
    <xf numFmtId="164" fontId="3" fillId="2" borderId="0" xfId="3" applyNumberFormat="1" applyFont="1" applyFill="1" applyBorder="1" applyAlignment="1">
      <alignment horizontal="center"/>
    </xf>
    <xf numFmtId="164" fontId="3" fillId="6" borderId="0" xfId="3" applyNumberFormat="1" applyFont="1" applyFill="1" applyBorder="1" applyAlignment="1">
      <alignment horizontal="center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1" fillId="7" borderId="0" xfId="0" applyFont="1" applyFill="1" applyAlignment="1">
      <alignment horizontal="left"/>
    </xf>
    <xf numFmtId="171" fontId="0" fillId="7" borderId="0" xfId="0" applyNumberFormat="1" applyFont="1" applyFill="1" applyAlignment="1">
      <alignment horizontal="center"/>
    </xf>
    <xf numFmtId="171" fontId="1" fillId="7" borderId="0" xfId="0" applyNumberFormat="1" applyFont="1" applyFill="1" applyAlignment="1">
      <alignment horizontal="center"/>
    </xf>
    <xf numFmtId="10" fontId="0" fillId="0" borderId="0" xfId="1" applyNumberFormat="1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71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 indent="1"/>
    </xf>
    <xf numFmtId="171" fontId="0" fillId="0" borderId="0" xfId="0" applyNumberFormat="1" applyFill="1"/>
    <xf numFmtId="0" fontId="1" fillId="5" borderId="0" xfId="0" applyFont="1" applyFill="1"/>
    <xf numFmtId="0" fontId="0" fillId="5" borderId="0" xfId="0" applyFill="1"/>
    <xf numFmtId="11" fontId="0" fillId="5" borderId="0" xfId="0" applyNumberFormat="1" applyFill="1"/>
    <xf numFmtId="11" fontId="1" fillId="5" borderId="0" xfId="0" applyNumberFormat="1" applyFont="1" applyFill="1"/>
    <xf numFmtId="0" fontId="0" fillId="11" borderId="0" xfId="0" applyFill="1"/>
    <xf numFmtId="0" fontId="0" fillId="11" borderId="0" xfId="0" applyFill="1" applyAlignment="1">
      <alignment horizontal="left"/>
    </xf>
    <xf numFmtId="11" fontId="0" fillId="11" borderId="0" xfId="0" applyNumberFormat="1" applyFill="1"/>
    <xf numFmtId="0" fontId="1" fillId="11" borderId="0" xfId="0" applyFont="1" applyFill="1"/>
    <xf numFmtId="2" fontId="0" fillId="11" borderId="0" xfId="0" applyNumberFormat="1" applyFill="1"/>
  </cellXfs>
  <cellStyles count="5">
    <cellStyle name="Comma" xfId="3" builtinId="3"/>
    <cellStyle name="Currency" xfId="2" builtinId="4"/>
    <cellStyle name="Normal" xfId="0" builtinId="0"/>
    <cellStyle name="Normal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591164</xdr:colOff>
      <xdr:row>2</xdr:row>
      <xdr:rowOff>47625</xdr:rowOff>
    </xdr:from>
    <xdr:to>
      <xdr:col>17</xdr:col>
      <xdr:colOff>218308</xdr:colOff>
      <xdr:row>18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0014" y="428625"/>
          <a:ext cx="5113544" cy="301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2</xdr:row>
      <xdr:rowOff>133349</xdr:rowOff>
    </xdr:from>
    <xdr:to>
      <xdr:col>13</xdr:col>
      <xdr:colOff>448291</xdr:colOff>
      <xdr:row>14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61974"/>
          <a:ext cx="4839316" cy="2857501"/>
        </a:xfrm>
        <a:prstGeom prst="rect">
          <a:avLst/>
        </a:prstGeom>
      </xdr:spPr>
    </xdr:pic>
    <xdr:clientData/>
  </xdr:twoCellAnchor>
  <xdr:twoCellAnchor editAs="oneCell">
    <xdr:from>
      <xdr:col>14</xdr:col>
      <xdr:colOff>454800</xdr:colOff>
      <xdr:row>0</xdr:row>
      <xdr:rowOff>197625</xdr:rowOff>
    </xdr:from>
    <xdr:to>
      <xdr:col>22</xdr:col>
      <xdr:colOff>469773</xdr:colOff>
      <xdr:row>12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9025" y="197625"/>
          <a:ext cx="4891773" cy="2888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518475</xdr:colOff>
      <xdr:row>3</xdr:row>
      <xdr:rowOff>180975</xdr:rowOff>
    </xdr:from>
    <xdr:to>
      <xdr:col>8</xdr:col>
      <xdr:colOff>28575</xdr:colOff>
      <xdr:row>17</xdr:row>
      <xdr:rowOff>147560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8850" y="752475"/>
          <a:ext cx="2558100" cy="2633585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295274</xdr:colOff>
      <xdr:row>21</xdr:row>
      <xdr:rowOff>17925</xdr:rowOff>
    </xdr:from>
    <xdr:to>
      <xdr:col>12</xdr:col>
      <xdr:colOff>18613</xdr:colOff>
      <xdr:row>32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49" y="4018425"/>
          <a:ext cx="5209739" cy="22299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266699</xdr:colOff>
      <xdr:row>35</xdr:row>
      <xdr:rowOff>12747</xdr:rowOff>
    </xdr:from>
    <xdr:to>
      <xdr:col>10</xdr:col>
      <xdr:colOff>114300</xdr:colOff>
      <xdr:row>40</xdr:row>
      <xdr:rowOff>149308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7074" y="6680247"/>
          <a:ext cx="4114801" cy="1089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M%20Econ%20March%202021%20-%201%25%20working%20SA%20cod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bird%202020%20Excel%20Model%20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Capital Costs"/>
      <sheetName val="Labor Costs"/>
      <sheetName val="Energy"/>
      <sheetName val="Feed"/>
      <sheetName val="Feed Scratch"/>
      <sheetName val="Oxygen"/>
      <sheetName val="Waste Management"/>
      <sheetName val="Model Results"/>
      <sheetName val="Assumptions"/>
      <sheetName val="Mattick PCE"/>
      <sheetName val="Protein Conversion"/>
      <sheetName val="Cost Comparison"/>
      <sheetName val="ACT"/>
      <sheetName val="Areal Prod"/>
      <sheetName val="PC Chart"/>
      <sheetName val="Areal Prod Chart"/>
      <sheetName val="Cost Comparison Chart"/>
      <sheetName val="Optimistic Sensitivity "/>
      <sheetName val="Midline Sensitivity "/>
      <sheetName val="Pessimistic Sensitivity"/>
      <sheetName val="Conver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>
            <v>3.5E-12</v>
          </cell>
        </row>
        <row r="4">
          <cell r="B4">
            <v>0.64</v>
          </cell>
        </row>
        <row r="34">
          <cell r="B34">
            <v>0.2195</v>
          </cell>
        </row>
        <row r="35">
          <cell r="B35">
            <v>1210</v>
          </cell>
        </row>
        <row r="36">
          <cell r="B36">
            <v>196</v>
          </cell>
        </row>
        <row r="37">
          <cell r="B37">
            <v>57</v>
          </cell>
        </row>
        <row r="46">
          <cell r="B46">
            <v>8</v>
          </cell>
        </row>
        <row r="47">
          <cell r="B47">
            <v>200000</v>
          </cell>
        </row>
        <row r="48">
          <cell r="B48">
            <v>118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>
        <row r="3">
          <cell r="A3">
            <v>2.2040000000000002</v>
          </cell>
        </row>
        <row r="5">
          <cell r="A5">
            <v>1000</v>
          </cell>
        </row>
        <row r="11">
          <cell r="A11">
            <v>24</v>
          </cell>
        </row>
        <row r="13">
          <cell r="A13">
            <v>3.7854100000000002</v>
          </cell>
        </row>
        <row r="15">
          <cell r="A15">
            <v>365</v>
          </cell>
        </row>
        <row r="16">
          <cell r="A16">
            <v>4.1999999999999997E-3</v>
          </cell>
        </row>
        <row r="17">
          <cell r="A17">
            <v>1000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.2"/>
      <sheetName val="Fig1.3"/>
      <sheetName val="1.2-3"/>
      <sheetName val="2.1WT"/>
      <sheetName val="2.1IMP"/>
      <sheetName val="2.3fedB"/>
      <sheetName val="2.3Perf"/>
      <sheetName val="2.3FBA"/>
      <sheetName val="2.3FBB"/>
      <sheetName val="2.3FBB-O2"/>
      <sheetName val="2.3FBC"/>
      <sheetName val="2.3FBD"/>
      <sheetName val="3.1"/>
      <sheetName val="3.2"/>
      <sheetName val="4FB-005"/>
      <sheetName val="4FB-010"/>
      <sheetName val="4FB-020"/>
      <sheetName val="4FB-050"/>
      <sheetName val="4FB-100"/>
      <sheetName val="4FB-200"/>
      <sheetName val="4FB-020 Soy"/>
      <sheetName val="4FB-020 WT"/>
      <sheetName val="4FB-020 WT Soy"/>
      <sheetName val="4FB-Sens"/>
      <sheetName val="4P-001"/>
      <sheetName val="4P-002"/>
      <sheetName val="4P-002 WT"/>
      <sheetName val="4.summ"/>
      <sheetName val="A.1"/>
      <sheetName val="A.2"/>
      <sheetName val="A.3"/>
      <sheetName val="Phys"/>
      <sheetName val="RawUtil"/>
      <sheetName val="Equ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C4">
            <v>12.010999999999999</v>
          </cell>
          <cell r="D4">
            <v>1.0079</v>
          </cell>
          <cell r="E4">
            <v>15.9994</v>
          </cell>
          <cell r="F4">
            <v>14.0067</v>
          </cell>
        </row>
        <row r="8">
          <cell r="A8" t="str">
            <v>O2 (aq)</v>
          </cell>
          <cell r="B8">
            <v>31.998799999999999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</row>
        <row r="9">
          <cell r="A9" t="str">
            <v>O2 (g)</v>
          </cell>
          <cell r="B9">
            <v>31.998799999999999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</row>
        <row r="10">
          <cell r="A10" t="str">
            <v>NH3 (g)</v>
          </cell>
          <cell r="B10">
            <v>17.0304</v>
          </cell>
          <cell r="C10">
            <v>0</v>
          </cell>
          <cell r="D10">
            <v>3</v>
          </cell>
          <cell r="E10">
            <v>0</v>
          </cell>
          <cell r="F10">
            <v>1</v>
          </cell>
        </row>
        <row r="11">
          <cell r="A11" t="str">
            <v>NH3 (aq)</v>
          </cell>
          <cell r="B11">
            <v>17.0304</v>
          </cell>
          <cell r="C11">
            <v>0</v>
          </cell>
          <cell r="D11">
            <v>3</v>
          </cell>
          <cell r="E11">
            <v>0</v>
          </cell>
          <cell r="F11">
            <v>1</v>
          </cell>
        </row>
        <row r="12">
          <cell r="A12" t="str">
            <v>NH4+ (aq)</v>
          </cell>
          <cell r="B12">
            <v>18.0383</v>
          </cell>
          <cell r="C12">
            <v>0</v>
          </cell>
          <cell r="D12">
            <v>4</v>
          </cell>
          <cell r="E12">
            <v>0</v>
          </cell>
          <cell r="F12">
            <v>1</v>
          </cell>
        </row>
        <row r="13">
          <cell r="A13" t="str">
            <v>CO2 (g)</v>
          </cell>
          <cell r="B13">
            <v>44.009799999999998</v>
          </cell>
          <cell r="C13">
            <v>1</v>
          </cell>
          <cell r="D13">
            <v>0</v>
          </cell>
          <cell r="E13">
            <v>2</v>
          </cell>
          <cell r="F13">
            <v>0</v>
          </cell>
        </row>
        <row r="14">
          <cell r="A14" t="str">
            <v>CO2 (aq)</v>
          </cell>
          <cell r="B14">
            <v>44.009799999999998</v>
          </cell>
          <cell r="C14">
            <v>1</v>
          </cell>
          <cell r="D14">
            <v>0</v>
          </cell>
          <cell r="E14">
            <v>2</v>
          </cell>
          <cell r="F14">
            <v>0</v>
          </cell>
        </row>
        <row r="15">
          <cell r="A15" t="str">
            <v>HCO3- (aq)</v>
          </cell>
          <cell r="B15">
            <v>61.017099999999999</v>
          </cell>
          <cell r="C15">
            <v>1</v>
          </cell>
          <cell r="D15">
            <v>1</v>
          </cell>
          <cell r="E15">
            <v>3</v>
          </cell>
          <cell r="F15">
            <v>0</v>
          </cell>
        </row>
        <row r="16">
          <cell r="A16" t="str">
            <v>H2O (l)</v>
          </cell>
          <cell r="B16">
            <v>18.0152</v>
          </cell>
          <cell r="C16">
            <v>0</v>
          </cell>
          <cell r="D16">
            <v>2</v>
          </cell>
          <cell r="E16">
            <v>1</v>
          </cell>
          <cell r="F16">
            <v>0</v>
          </cell>
        </row>
        <row r="17">
          <cell r="A17" t="str">
            <v>H+ (aq)</v>
          </cell>
          <cell r="B17">
            <v>1.0079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</row>
        <row r="18">
          <cell r="A18" t="str">
            <v>OH- (aq)</v>
          </cell>
          <cell r="B18">
            <v>17.007300000000001</v>
          </cell>
          <cell r="C18">
            <v>0</v>
          </cell>
          <cell r="D18">
            <v>1</v>
          </cell>
          <cell r="E18">
            <v>1</v>
          </cell>
          <cell r="F18">
            <v>0</v>
          </cell>
        </row>
        <row r="19">
          <cell r="A19" t="str">
            <v>Glucose (s)</v>
          </cell>
          <cell r="B19">
            <v>180.15719999999999</v>
          </cell>
          <cell r="C19">
            <v>6</v>
          </cell>
          <cell r="D19">
            <v>12</v>
          </cell>
          <cell r="E19">
            <v>6</v>
          </cell>
          <cell r="F19">
            <v>0</v>
          </cell>
        </row>
        <row r="20">
          <cell r="A20" t="str">
            <v>Sucrose (s)</v>
          </cell>
          <cell r="B20">
            <v>342.29920000000004</v>
          </cell>
          <cell r="C20">
            <v>12</v>
          </cell>
          <cell r="D20">
            <v>22</v>
          </cell>
          <cell r="E20">
            <v>11</v>
          </cell>
          <cell r="F20">
            <v>0</v>
          </cell>
        </row>
        <row r="21">
          <cell r="A21" t="str">
            <v>Lactate</v>
          </cell>
          <cell r="B21">
            <v>90.078599999999994</v>
          </cell>
          <cell r="C21">
            <v>3</v>
          </cell>
          <cell r="D21">
            <v>6</v>
          </cell>
          <cell r="E21">
            <v>3</v>
          </cell>
          <cell r="F21">
            <v>0</v>
          </cell>
        </row>
        <row r="22">
          <cell r="A22" t="str">
            <v>Palmitate</v>
          </cell>
          <cell r="B22">
            <v>256.42759999999998</v>
          </cell>
          <cell r="C22">
            <v>16</v>
          </cell>
          <cell r="D22">
            <v>32</v>
          </cell>
          <cell r="E22">
            <v>2</v>
          </cell>
          <cell r="F22">
            <v>0</v>
          </cell>
        </row>
        <row r="23">
          <cell r="A23" t="str">
            <v>Alanine</v>
          </cell>
          <cell r="B23">
            <v>89.093800000000002</v>
          </cell>
          <cell r="C23">
            <v>3</v>
          </cell>
          <cell r="D23">
            <v>7</v>
          </cell>
          <cell r="E23">
            <v>2</v>
          </cell>
          <cell r="F23">
            <v>1</v>
          </cell>
        </row>
        <row r="24">
          <cell r="A24" t="str">
            <v>Arginine</v>
          </cell>
          <cell r="B24">
            <v>174.2022</v>
          </cell>
          <cell r="C24">
            <v>6</v>
          </cell>
          <cell r="D24">
            <v>14</v>
          </cell>
          <cell r="E24">
            <v>2</v>
          </cell>
          <cell r="F24">
            <v>4</v>
          </cell>
        </row>
        <row r="25">
          <cell r="A25" t="str">
            <v>Asparagine</v>
          </cell>
          <cell r="B25">
            <v>132.11879999999999</v>
          </cell>
          <cell r="C25">
            <v>4</v>
          </cell>
          <cell r="D25">
            <v>8</v>
          </cell>
          <cell r="E25">
            <v>3</v>
          </cell>
          <cell r="F25">
            <v>2</v>
          </cell>
        </row>
        <row r="26">
          <cell r="A26" t="str">
            <v>Aspartic acid</v>
          </cell>
          <cell r="B26">
            <v>133.1036</v>
          </cell>
          <cell r="C26">
            <v>4</v>
          </cell>
          <cell r="D26">
            <v>7</v>
          </cell>
          <cell r="E26">
            <v>4</v>
          </cell>
          <cell r="F26">
            <v>1</v>
          </cell>
        </row>
        <row r="27">
          <cell r="A27" t="str">
            <v>Cysteine</v>
          </cell>
          <cell r="B27">
            <v>89.093800000000002</v>
          </cell>
          <cell r="C27">
            <v>3</v>
          </cell>
          <cell r="D27">
            <v>7</v>
          </cell>
          <cell r="E27">
            <v>2</v>
          </cell>
          <cell r="F27">
            <v>1</v>
          </cell>
        </row>
        <row r="28">
          <cell r="A28" t="str">
            <v>Glutamine</v>
          </cell>
          <cell r="B28">
            <v>146.14559999999997</v>
          </cell>
          <cell r="C28">
            <v>5</v>
          </cell>
          <cell r="D28">
            <v>10</v>
          </cell>
          <cell r="E28">
            <v>3</v>
          </cell>
          <cell r="F28">
            <v>2</v>
          </cell>
        </row>
        <row r="29">
          <cell r="A29" t="str">
            <v>Glutamic acid</v>
          </cell>
          <cell r="B29">
            <v>147.13039999999998</v>
          </cell>
          <cell r="C29">
            <v>5</v>
          </cell>
          <cell r="D29">
            <v>9</v>
          </cell>
          <cell r="E29">
            <v>4</v>
          </cell>
          <cell r="F29">
            <v>1</v>
          </cell>
        </row>
        <row r="30">
          <cell r="A30" t="str">
            <v>Glycine</v>
          </cell>
          <cell r="B30">
            <v>75.066999999999993</v>
          </cell>
          <cell r="C30">
            <v>2</v>
          </cell>
          <cell r="D30">
            <v>5</v>
          </cell>
          <cell r="E30">
            <v>2</v>
          </cell>
          <cell r="F30">
            <v>1</v>
          </cell>
        </row>
        <row r="31">
          <cell r="A31" t="str">
            <v>Histidine</v>
          </cell>
          <cell r="B31">
            <v>155.15600000000001</v>
          </cell>
          <cell r="C31">
            <v>6</v>
          </cell>
          <cell r="D31">
            <v>9</v>
          </cell>
          <cell r="E31">
            <v>2</v>
          </cell>
          <cell r="F31">
            <v>3</v>
          </cell>
        </row>
        <row r="32">
          <cell r="A32" t="str">
            <v>Isoleucine</v>
          </cell>
          <cell r="B32">
            <v>131.17420000000001</v>
          </cell>
          <cell r="C32">
            <v>6</v>
          </cell>
          <cell r="D32">
            <v>13</v>
          </cell>
          <cell r="E32">
            <v>2</v>
          </cell>
          <cell r="F32">
            <v>1</v>
          </cell>
        </row>
        <row r="33">
          <cell r="A33" t="str">
            <v>Leucine</v>
          </cell>
          <cell r="B33">
            <v>131.17420000000001</v>
          </cell>
          <cell r="C33">
            <v>6</v>
          </cell>
          <cell r="D33">
            <v>13</v>
          </cell>
          <cell r="E33">
            <v>2</v>
          </cell>
          <cell r="F33">
            <v>1</v>
          </cell>
        </row>
        <row r="34">
          <cell r="A34" t="str">
            <v>Lysine</v>
          </cell>
          <cell r="B34">
            <v>146.18880000000001</v>
          </cell>
          <cell r="C34">
            <v>6</v>
          </cell>
          <cell r="D34">
            <v>14</v>
          </cell>
          <cell r="E34">
            <v>2</v>
          </cell>
          <cell r="F34">
            <v>2</v>
          </cell>
        </row>
        <row r="35">
          <cell r="A35" t="str">
            <v>Methionine</v>
          </cell>
          <cell r="B35">
            <v>117.14739999999999</v>
          </cell>
          <cell r="C35">
            <v>5</v>
          </cell>
          <cell r="D35">
            <v>11</v>
          </cell>
          <cell r="E35">
            <v>2</v>
          </cell>
          <cell r="F35">
            <v>1</v>
          </cell>
        </row>
        <row r="36">
          <cell r="A36" t="str">
            <v>Phenylalanine</v>
          </cell>
          <cell r="B36">
            <v>165.19139999999999</v>
          </cell>
          <cell r="C36">
            <v>9</v>
          </cell>
          <cell r="D36">
            <v>11</v>
          </cell>
          <cell r="E36">
            <v>2</v>
          </cell>
          <cell r="F36">
            <v>1</v>
          </cell>
        </row>
        <row r="37">
          <cell r="A37" t="str">
            <v>Proline</v>
          </cell>
          <cell r="B37">
            <v>115.13159999999999</v>
          </cell>
          <cell r="C37">
            <v>5</v>
          </cell>
          <cell r="D37">
            <v>9</v>
          </cell>
          <cell r="E37">
            <v>2</v>
          </cell>
          <cell r="F37">
            <v>1</v>
          </cell>
        </row>
        <row r="38">
          <cell r="A38" t="str">
            <v>Serine</v>
          </cell>
          <cell r="B38">
            <v>105.0932</v>
          </cell>
          <cell r="C38">
            <v>3</v>
          </cell>
          <cell r="D38">
            <v>7</v>
          </cell>
          <cell r="E38">
            <v>3</v>
          </cell>
          <cell r="F38">
            <v>1</v>
          </cell>
        </row>
        <row r="39">
          <cell r="A39" t="str">
            <v>Threonine</v>
          </cell>
          <cell r="B39">
            <v>119.11999999999999</v>
          </cell>
          <cell r="C39">
            <v>4</v>
          </cell>
          <cell r="D39">
            <v>9</v>
          </cell>
          <cell r="E39">
            <v>3</v>
          </cell>
          <cell r="F39">
            <v>1</v>
          </cell>
        </row>
        <row r="40">
          <cell r="A40" t="str">
            <v>Tryptophan</v>
          </cell>
          <cell r="B40">
            <v>204.22799999999995</v>
          </cell>
          <cell r="C40">
            <v>11</v>
          </cell>
          <cell r="D40">
            <v>12</v>
          </cell>
          <cell r="E40">
            <v>2</v>
          </cell>
          <cell r="F40">
            <v>2</v>
          </cell>
        </row>
        <row r="41">
          <cell r="A41" t="str">
            <v>Tyrosine</v>
          </cell>
          <cell r="B41">
            <v>181.1908</v>
          </cell>
          <cell r="C41">
            <v>9</v>
          </cell>
          <cell r="D41">
            <v>11</v>
          </cell>
          <cell r="E41">
            <v>3</v>
          </cell>
          <cell r="F41">
            <v>1</v>
          </cell>
        </row>
        <row r="42">
          <cell r="A42" t="str">
            <v>Valine</v>
          </cell>
          <cell r="B42">
            <v>117.14739999999999</v>
          </cell>
          <cell r="C42">
            <v>5</v>
          </cell>
          <cell r="D42">
            <v>11</v>
          </cell>
          <cell r="E42">
            <v>2</v>
          </cell>
          <cell r="F42">
            <v>1</v>
          </cell>
        </row>
        <row r="43">
          <cell r="A43" t="str">
            <v>Complex amino acids</v>
          </cell>
          <cell r="B43">
            <v>121.68329770770873</v>
          </cell>
          <cell r="C43">
            <v>4.3406860459018475</v>
          </cell>
          <cell r="D43">
            <v>8.5521529410910251</v>
          </cell>
          <cell r="E43">
            <v>2.9218686846243074</v>
          </cell>
          <cell r="F43">
            <v>1.0123338708102452</v>
          </cell>
        </row>
        <row r="44">
          <cell r="A44" t="str">
            <v>1-4 Butanediol</v>
          </cell>
          <cell r="B44">
            <v>90.121799999999993</v>
          </cell>
          <cell r="C44">
            <v>4</v>
          </cell>
          <cell r="D44">
            <v>10</v>
          </cell>
          <cell r="E44">
            <v>2</v>
          </cell>
          <cell r="F44">
            <v>0</v>
          </cell>
        </row>
        <row r="45">
          <cell r="A45" t="str">
            <v>1,3-propanediol</v>
          </cell>
          <cell r="B45">
            <v>76.094999999999999</v>
          </cell>
          <cell r="C45">
            <v>3</v>
          </cell>
          <cell r="D45">
            <v>8</v>
          </cell>
          <cell r="E45">
            <v>2</v>
          </cell>
          <cell r="F45">
            <v>0</v>
          </cell>
        </row>
        <row r="46">
          <cell r="A46" t="str">
            <v>Methanol</v>
          </cell>
          <cell r="B46">
            <v>32.042000000000002</v>
          </cell>
          <cell r="C46">
            <v>1</v>
          </cell>
          <cell r="D46">
            <v>4</v>
          </cell>
          <cell r="E46">
            <v>1</v>
          </cell>
          <cell r="F46">
            <v>0</v>
          </cell>
        </row>
        <row r="47">
          <cell r="A47" t="str">
            <v>Ethanol</v>
          </cell>
          <cell r="B47">
            <v>46.068799999999996</v>
          </cell>
          <cell r="C47">
            <v>2</v>
          </cell>
          <cell r="D47">
            <v>6</v>
          </cell>
          <cell r="E47">
            <v>1</v>
          </cell>
          <cell r="F47">
            <v>0</v>
          </cell>
        </row>
        <row r="48">
          <cell r="A48" t="str">
            <v>Isobutanol</v>
          </cell>
          <cell r="B48">
            <v>74.122399999999999</v>
          </cell>
          <cell r="C48">
            <v>4</v>
          </cell>
          <cell r="D48">
            <v>10</v>
          </cell>
          <cell r="E48">
            <v>1</v>
          </cell>
          <cell r="F48">
            <v>0</v>
          </cell>
        </row>
        <row r="49">
          <cell r="A49" t="str">
            <v>Glycerol</v>
          </cell>
          <cell r="B49">
            <v>92.094400000000007</v>
          </cell>
          <cell r="C49">
            <v>3</v>
          </cell>
          <cell r="D49">
            <v>8</v>
          </cell>
          <cell r="E49">
            <v>3</v>
          </cell>
          <cell r="F49">
            <v>0</v>
          </cell>
        </row>
        <row r="50">
          <cell r="A50" t="str">
            <v>C15H32</v>
          </cell>
          <cell r="B50">
            <v>212.4178</v>
          </cell>
          <cell r="C50">
            <v>15</v>
          </cell>
          <cell r="D50">
            <v>32</v>
          </cell>
          <cell r="E50">
            <v>0</v>
          </cell>
          <cell r="F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30" sqref="G30"/>
    </sheetView>
  </sheetViews>
  <sheetFormatPr defaultRowHeight="15" x14ac:dyDescent="0.25"/>
  <cols>
    <col min="1" max="1" width="13.42578125" customWidth="1"/>
    <col min="2" max="2" width="18.85546875" customWidth="1"/>
    <col min="3" max="4" width="10.85546875" customWidth="1"/>
  </cols>
  <sheetData>
    <row r="1" spans="1:5" x14ac:dyDescent="0.25">
      <c r="A1" s="1" t="s">
        <v>10</v>
      </c>
      <c r="B1" s="1" t="s">
        <v>17</v>
      </c>
      <c r="C1" s="3" t="s">
        <v>3</v>
      </c>
      <c r="D1" s="3" t="s">
        <v>19</v>
      </c>
      <c r="E1" s="1" t="s">
        <v>11</v>
      </c>
    </row>
    <row r="2" spans="1:5" x14ac:dyDescent="0.25">
      <c r="A2" t="s">
        <v>0</v>
      </c>
      <c r="B2" t="s">
        <v>24</v>
      </c>
      <c r="C2" s="2">
        <v>22423</v>
      </c>
      <c r="D2" s="2">
        <f>LOG(C2)</f>
        <v>4.3506937169246394</v>
      </c>
      <c r="E2" t="s">
        <v>12</v>
      </c>
    </row>
    <row r="3" spans="1:5" x14ac:dyDescent="0.25">
      <c r="A3" t="s">
        <v>1</v>
      </c>
      <c r="B3" t="s">
        <v>24</v>
      </c>
      <c r="C3" s="2">
        <v>1707</v>
      </c>
      <c r="D3" s="2">
        <f t="shared" ref="D3:D41" si="0">LOG(C3)</f>
        <v>3.2322335211147335</v>
      </c>
      <c r="E3" t="s">
        <v>12</v>
      </c>
    </row>
    <row r="4" spans="1:5" x14ac:dyDescent="0.25">
      <c r="A4" t="s">
        <v>2</v>
      </c>
      <c r="B4" t="s">
        <v>24</v>
      </c>
      <c r="C4" s="2">
        <v>149</v>
      </c>
      <c r="D4" s="2">
        <f t="shared" si="0"/>
        <v>2.173186268412274</v>
      </c>
      <c r="E4" t="s">
        <v>12</v>
      </c>
    </row>
    <row r="5" spans="1:5" x14ac:dyDescent="0.25">
      <c r="A5" t="s">
        <v>4</v>
      </c>
      <c r="B5" t="s">
        <v>24</v>
      </c>
      <c r="C5" s="2">
        <v>116</v>
      </c>
      <c r="D5" s="2">
        <f t="shared" si="0"/>
        <v>2.0644579892269186</v>
      </c>
      <c r="E5" t="s">
        <v>12</v>
      </c>
    </row>
    <row r="6" spans="1:5" x14ac:dyDescent="0.25">
      <c r="A6" t="s">
        <v>5</v>
      </c>
      <c r="B6" t="s">
        <v>24</v>
      </c>
      <c r="C6" s="2">
        <v>17</v>
      </c>
      <c r="D6" s="2">
        <f t="shared" si="0"/>
        <v>1.2304489213782739</v>
      </c>
      <c r="E6" t="s">
        <v>12</v>
      </c>
    </row>
    <row r="7" spans="1:5" x14ac:dyDescent="0.25">
      <c r="A7" t="s">
        <v>6</v>
      </c>
      <c r="B7" t="s">
        <v>24</v>
      </c>
      <c r="C7" s="2">
        <v>8</v>
      </c>
      <c r="D7" s="2">
        <f t="shared" si="0"/>
        <v>0.90308998699194354</v>
      </c>
      <c r="E7" t="s">
        <v>12</v>
      </c>
    </row>
    <row r="8" spans="1:5" x14ac:dyDescent="0.25">
      <c r="A8" t="s">
        <v>7</v>
      </c>
      <c r="B8" t="s">
        <v>24</v>
      </c>
      <c r="C8" s="2">
        <v>6.52</v>
      </c>
      <c r="D8" s="2">
        <f t="shared" si="0"/>
        <v>0.81424759573192018</v>
      </c>
      <c r="E8" t="s">
        <v>12</v>
      </c>
    </row>
    <row r="9" spans="1:5" x14ac:dyDescent="0.25">
      <c r="A9" t="s">
        <v>8</v>
      </c>
      <c r="B9" t="s">
        <v>24</v>
      </c>
      <c r="C9" s="2">
        <v>5.74</v>
      </c>
      <c r="D9" s="2">
        <f t="shared" si="0"/>
        <v>0.75891189239797352</v>
      </c>
      <c r="E9" t="s">
        <v>12</v>
      </c>
    </row>
    <row r="10" spans="1:5" x14ac:dyDescent="0.25">
      <c r="A10" t="s">
        <v>9</v>
      </c>
      <c r="B10" t="s">
        <v>24</v>
      </c>
      <c r="C10" s="2">
        <v>5.66</v>
      </c>
      <c r="D10" s="2">
        <f t="shared" si="0"/>
        <v>0.75281643118827146</v>
      </c>
      <c r="E10" t="s">
        <v>12</v>
      </c>
    </row>
    <row r="11" spans="1:5" x14ac:dyDescent="0.25">
      <c r="A11" t="s">
        <v>13</v>
      </c>
      <c r="B11" t="s">
        <v>25</v>
      </c>
      <c r="C11" s="2">
        <v>437000</v>
      </c>
      <c r="D11" s="2">
        <f t="shared" si="0"/>
        <v>5.6404814369704219</v>
      </c>
      <c r="E11" t="s">
        <v>23</v>
      </c>
    </row>
    <row r="12" spans="1:5" x14ac:dyDescent="0.25">
      <c r="A12" t="s">
        <v>14</v>
      </c>
      <c r="B12" t="s">
        <v>25</v>
      </c>
      <c r="C12" s="2">
        <v>57200</v>
      </c>
      <c r="D12" s="2">
        <f t="shared" si="0"/>
        <v>4.7573960287930239</v>
      </c>
      <c r="E12" t="s">
        <v>23</v>
      </c>
    </row>
    <row r="13" spans="1:5" x14ac:dyDescent="0.25">
      <c r="A13" t="s">
        <v>16</v>
      </c>
      <c r="B13" t="s">
        <v>25</v>
      </c>
      <c r="C13" s="2">
        <v>44600</v>
      </c>
      <c r="D13" s="2">
        <f t="shared" si="0"/>
        <v>4.6493348587121419</v>
      </c>
      <c r="E13" t="s">
        <v>23</v>
      </c>
    </row>
    <row r="14" spans="1:5" x14ac:dyDescent="0.25">
      <c r="A14" t="s">
        <v>15</v>
      </c>
      <c r="B14" t="s">
        <v>25</v>
      </c>
      <c r="C14" s="2">
        <v>1.95</v>
      </c>
      <c r="D14" s="2">
        <f t="shared" si="0"/>
        <v>0.29003461136251801</v>
      </c>
      <c r="E14" t="s">
        <v>23</v>
      </c>
    </row>
    <row r="15" spans="1:5" x14ac:dyDescent="0.25">
      <c r="A15" t="s">
        <v>18</v>
      </c>
      <c r="B15" t="s">
        <v>26</v>
      </c>
      <c r="C15" s="2">
        <v>15072</v>
      </c>
      <c r="D15" s="2">
        <f t="shared" si="0"/>
        <v>4.178170885448802</v>
      </c>
      <c r="E15" t="s">
        <v>12</v>
      </c>
    </row>
    <row r="16" spans="1:5" x14ac:dyDescent="0.25">
      <c r="A16" t="s">
        <v>18</v>
      </c>
      <c r="B16" t="s">
        <v>26</v>
      </c>
      <c r="C16" s="2">
        <v>1637.6</v>
      </c>
      <c r="D16" s="2">
        <f t="shared" si="0"/>
        <v>3.2142078296544492</v>
      </c>
      <c r="E16" t="s">
        <v>12</v>
      </c>
    </row>
    <row r="17" spans="1:5" x14ac:dyDescent="0.25">
      <c r="A17" t="s">
        <v>18</v>
      </c>
      <c r="B17" t="s">
        <v>26</v>
      </c>
      <c r="C17" s="2">
        <v>581.6</v>
      </c>
      <c r="D17" s="2">
        <f t="shared" si="0"/>
        <v>2.7646243978509815</v>
      </c>
      <c r="E17" t="s">
        <v>12</v>
      </c>
    </row>
    <row r="18" spans="1:5" x14ac:dyDescent="0.25">
      <c r="A18" t="s">
        <v>18</v>
      </c>
      <c r="B18" t="s">
        <v>26</v>
      </c>
      <c r="C18" s="2">
        <v>188.4</v>
      </c>
      <c r="D18" s="2">
        <f t="shared" si="0"/>
        <v>2.2750808984568587</v>
      </c>
      <c r="E18" t="s">
        <v>12</v>
      </c>
    </row>
    <row r="19" spans="1:5" x14ac:dyDescent="0.25">
      <c r="A19" t="s">
        <v>18</v>
      </c>
      <c r="B19" t="s">
        <v>26</v>
      </c>
      <c r="C19" s="2">
        <v>149.6</v>
      </c>
      <c r="D19" s="2">
        <f t="shared" si="0"/>
        <v>2.1749315935284423</v>
      </c>
      <c r="E19" t="s">
        <v>12</v>
      </c>
    </row>
    <row r="20" spans="1:5" x14ac:dyDescent="0.25">
      <c r="A20" t="s">
        <v>18</v>
      </c>
      <c r="B20" t="s">
        <v>26</v>
      </c>
      <c r="C20" s="2">
        <v>34</v>
      </c>
      <c r="D20" s="2">
        <f t="shared" si="0"/>
        <v>1.5314789170422551</v>
      </c>
      <c r="E20" t="s">
        <v>12</v>
      </c>
    </row>
    <row r="21" spans="1:5" x14ac:dyDescent="0.25">
      <c r="A21" t="s">
        <v>18</v>
      </c>
      <c r="B21" t="s">
        <v>26</v>
      </c>
      <c r="C21" s="2">
        <v>14</v>
      </c>
      <c r="D21" s="2">
        <f t="shared" si="0"/>
        <v>1.146128035678238</v>
      </c>
      <c r="E21" t="s">
        <v>12</v>
      </c>
    </row>
    <row r="22" spans="1:5" x14ac:dyDescent="0.25">
      <c r="A22" t="s">
        <v>18</v>
      </c>
      <c r="B22" t="s">
        <v>26</v>
      </c>
      <c r="C22" s="2">
        <v>9.6</v>
      </c>
      <c r="D22" s="2">
        <f t="shared" si="0"/>
        <v>0.98227123303956843</v>
      </c>
      <c r="E22" t="s">
        <v>12</v>
      </c>
    </row>
    <row r="23" spans="1:5" x14ac:dyDescent="0.25">
      <c r="A23" t="s">
        <v>18</v>
      </c>
      <c r="B23" t="s">
        <v>26</v>
      </c>
      <c r="C23" s="2">
        <v>8612.57</v>
      </c>
      <c r="D23" s="2">
        <f t="shared" si="0"/>
        <v>3.9351327647258638</v>
      </c>
      <c r="E23" t="s">
        <v>12</v>
      </c>
    </row>
    <row r="24" spans="1:5" x14ac:dyDescent="0.25">
      <c r="A24" t="s">
        <v>18</v>
      </c>
      <c r="B24" t="s">
        <v>26</v>
      </c>
      <c r="C24" s="2">
        <v>935.77</v>
      </c>
      <c r="D24" s="2">
        <f t="shared" si="0"/>
        <v>2.971169117963127</v>
      </c>
      <c r="E24" t="s">
        <v>12</v>
      </c>
    </row>
    <row r="25" spans="1:5" x14ac:dyDescent="0.25">
      <c r="A25" t="s">
        <v>18</v>
      </c>
      <c r="B25" t="s">
        <v>26</v>
      </c>
      <c r="C25" s="2">
        <v>332.34</v>
      </c>
      <c r="D25" s="2">
        <f t="shared" si="0"/>
        <v>2.5215826155303271</v>
      </c>
      <c r="E25" t="s">
        <v>12</v>
      </c>
    </row>
    <row r="26" spans="1:5" x14ac:dyDescent="0.25">
      <c r="A26" t="s">
        <v>18</v>
      </c>
      <c r="B26" t="s">
        <v>26</v>
      </c>
      <c r="C26" s="2">
        <v>107.66</v>
      </c>
      <c r="D26" s="2">
        <f t="shared" si="0"/>
        <v>2.0320543754796692</v>
      </c>
      <c r="E26" t="s">
        <v>12</v>
      </c>
    </row>
    <row r="27" spans="1:5" x14ac:dyDescent="0.25">
      <c r="A27" t="s">
        <v>18</v>
      </c>
      <c r="B27" t="s">
        <v>26</v>
      </c>
      <c r="C27" s="2">
        <v>85.49</v>
      </c>
      <c r="D27" s="2">
        <f t="shared" si="0"/>
        <v>1.931915317081246</v>
      </c>
      <c r="E27" t="s">
        <v>12</v>
      </c>
    </row>
    <row r="28" spans="1:5" x14ac:dyDescent="0.25">
      <c r="A28" t="s">
        <v>18</v>
      </c>
      <c r="B28" t="s">
        <v>26</v>
      </c>
      <c r="C28" s="2">
        <v>19.45</v>
      </c>
      <c r="D28" s="2">
        <f t="shared" si="0"/>
        <v>1.2889196056617265</v>
      </c>
      <c r="E28" t="s">
        <v>12</v>
      </c>
    </row>
    <row r="29" spans="1:5" x14ac:dyDescent="0.25">
      <c r="A29" t="s">
        <v>18</v>
      </c>
      <c r="B29" t="s">
        <v>26</v>
      </c>
      <c r="C29" s="2">
        <v>8</v>
      </c>
      <c r="D29" s="2">
        <f t="shared" si="0"/>
        <v>0.90308998699194354</v>
      </c>
      <c r="E29" t="s">
        <v>12</v>
      </c>
    </row>
    <row r="30" spans="1:5" x14ac:dyDescent="0.25">
      <c r="A30" t="s">
        <v>18</v>
      </c>
      <c r="B30" t="s">
        <v>26</v>
      </c>
      <c r="C30" s="2">
        <v>5.49</v>
      </c>
      <c r="D30" s="2">
        <f t="shared" si="0"/>
        <v>0.7395723444500919</v>
      </c>
      <c r="E30" t="s">
        <v>12</v>
      </c>
    </row>
    <row r="31" spans="1:5" x14ac:dyDescent="0.25">
      <c r="A31" t="s">
        <v>18</v>
      </c>
      <c r="B31" t="s">
        <v>26</v>
      </c>
      <c r="C31" s="2">
        <v>2153.14</v>
      </c>
      <c r="D31" s="2">
        <f t="shared" si="0"/>
        <v>3.3330722691410606</v>
      </c>
      <c r="E31" t="s">
        <v>12</v>
      </c>
    </row>
    <row r="32" spans="1:5" x14ac:dyDescent="0.25">
      <c r="A32" t="s">
        <v>18</v>
      </c>
      <c r="B32" t="s">
        <v>26</v>
      </c>
      <c r="C32" s="2">
        <v>233.94</v>
      </c>
      <c r="D32" s="2">
        <f t="shared" si="0"/>
        <v>2.3691044855716292</v>
      </c>
      <c r="E32" t="s">
        <v>12</v>
      </c>
    </row>
    <row r="33" spans="1:5" x14ac:dyDescent="0.25">
      <c r="A33" t="s">
        <v>18</v>
      </c>
      <c r="B33" t="s">
        <v>26</v>
      </c>
      <c r="C33" s="2">
        <v>83.09</v>
      </c>
      <c r="D33" s="2">
        <f t="shared" si="0"/>
        <v>1.919548758968848</v>
      </c>
      <c r="E33" t="s">
        <v>12</v>
      </c>
    </row>
    <row r="34" spans="1:5" x14ac:dyDescent="0.25">
      <c r="A34" t="s">
        <v>18</v>
      </c>
      <c r="B34" t="s">
        <v>26</v>
      </c>
      <c r="C34" s="2">
        <v>26.91</v>
      </c>
      <c r="D34" s="2">
        <f t="shared" si="0"/>
        <v>1.4299136977637545</v>
      </c>
      <c r="E34" t="s">
        <v>12</v>
      </c>
    </row>
    <row r="35" spans="1:5" x14ac:dyDescent="0.25">
      <c r="A35" t="s">
        <v>18</v>
      </c>
      <c r="B35" t="s">
        <v>26</v>
      </c>
      <c r="C35" s="2">
        <v>21.37</v>
      </c>
      <c r="D35" s="2">
        <f t="shared" si="0"/>
        <v>1.3298045221640695</v>
      </c>
      <c r="E35" t="s">
        <v>12</v>
      </c>
    </row>
    <row r="36" spans="1:5" x14ac:dyDescent="0.25">
      <c r="A36" t="s">
        <v>18</v>
      </c>
      <c r="B36" t="s">
        <v>26</v>
      </c>
      <c r="C36" s="2">
        <v>4.8600000000000003</v>
      </c>
      <c r="D36" s="2">
        <f t="shared" si="0"/>
        <v>0.68663626926229337</v>
      </c>
      <c r="E36" t="s">
        <v>12</v>
      </c>
    </row>
    <row r="37" spans="1:5" x14ac:dyDescent="0.25">
      <c r="A37" t="s">
        <v>18</v>
      </c>
      <c r="B37" t="s">
        <v>26</v>
      </c>
      <c r="C37" s="2">
        <v>2</v>
      </c>
      <c r="D37" s="2">
        <f t="shared" si="0"/>
        <v>0.3010299956639812</v>
      </c>
      <c r="E37" t="s">
        <v>12</v>
      </c>
    </row>
    <row r="38" spans="1:5" x14ac:dyDescent="0.25">
      <c r="A38" t="s">
        <v>18</v>
      </c>
      <c r="B38" t="s">
        <v>26</v>
      </c>
      <c r="C38" s="2">
        <v>1.37</v>
      </c>
      <c r="D38" s="2">
        <f t="shared" si="0"/>
        <v>0.13672056715640679</v>
      </c>
      <c r="E38" t="s">
        <v>12</v>
      </c>
    </row>
    <row r="39" spans="1:5" x14ac:dyDescent="0.25">
      <c r="A39" t="s">
        <v>20</v>
      </c>
      <c r="B39" t="s">
        <v>27</v>
      </c>
      <c r="C39" s="2">
        <v>37</v>
      </c>
      <c r="D39" s="2">
        <f t="shared" si="0"/>
        <v>1.568201724066995</v>
      </c>
      <c r="E39" t="s">
        <v>23</v>
      </c>
    </row>
    <row r="40" spans="1:5" x14ac:dyDescent="0.25">
      <c r="A40" t="s">
        <v>21</v>
      </c>
      <c r="B40" t="s">
        <v>27</v>
      </c>
      <c r="C40" s="2">
        <v>51</v>
      </c>
      <c r="D40" s="2">
        <f t="shared" si="0"/>
        <v>1.7075701760979363</v>
      </c>
      <c r="E40" t="s">
        <v>23</v>
      </c>
    </row>
    <row r="41" spans="1:5" x14ac:dyDescent="0.25">
      <c r="A41" t="s">
        <v>22</v>
      </c>
      <c r="B41" t="s">
        <v>28</v>
      </c>
      <c r="C41" s="2">
        <v>63.69</v>
      </c>
      <c r="D41" s="2">
        <f t="shared" si="0"/>
        <v>1.8040712488856612</v>
      </c>
      <c r="E41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topLeftCell="A22" workbookViewId="0">
      <selection activeCell="B3" sqref="B3"/>
    </sheetView>
  </sheetViews>
  <sheetFormatPr defaultRowHeight="15" x14ac:dyDescent="0.25"/>
  <cols>
    <col min="1" max="1" width="45.28515625" bestFit="1" customWidth="1"/>
    <col min="2" max="2" width="9.5703125" bestFit="1" customWidth="1"/>
    <col min="3" max="3" width="18.85546875" bestFit="1" customWidth="1"/>
    <col min="4" max="4" width="35.7109375" customWidth="1"/>
    <col min="5" max="5" width="17.42578125" style="64" customWidth="1"/>
    <col min="8" max="8" width="19.140625" customWidth="1"/>
    <col min="9" max="9" width="12.7109375" bestFit="1" customWidth="1"/>
  </cols>
  <sheetData>
    <row r="1" spans="1:16" ht="16.5" thickBot="1" x14ac:dyDescent="0.3">
      <c r="A1" s="96" t="s">
        <v>362</v>
      </c>
      <c r="B1" s="97"/>
      <c r="C1" s="97"/>
      <c r="D1" s="97"/>
      <c r="E1" s="133"/>
    </row>
    <row r="2" spans="1:16" ht="16.5" thickTop="1" x14ac:dyDescent="0.25">
      <c r="A2" s="98" t="s">
        <v>363</v>
      </c>
      <c r="B2" s="99" t="s">
        <v>364</v>
      </c>
      <c r="C2" s="99" t="s">
        <v>365</v>
      </c>
      <c r="D2" s="99" t="s">
        <v>360</v>
      </c>
      <c r="E2" s="99" t="s">
        <v>394</v>
      </c>
      <c r="H2" s="98" t="s">
        <v>404</v>
      </c>
      <c r="I2" s="98" t="s">
        <v>390</v>
      </c>
      <c r="J2" s="98" t="s">
        <v>390</v>
      </c>
      <c r="L2" s="131" t="s">
        <v>395</v>
      </c>
      <c r="P2" s="132" t="s">
        <v>393</v>
      </c>
    </row>
    <row r="3" spans="1:16" ht="15.75" x14ac:dyDescent="0.25">
      <c r="A3" s="100" t="s">
        <v>366</v>
      </c>
      <c r="B3" s="101">
        <v>1.360776</v>
      </c>
      <c r="C3" s="102">
        <f>(36.09+33.3)/2</f>
        <v>34.695</v>
      </c>
      <c r="D3" s="101">
        <v>4.3999999999999997E-2</v>
      </c>
      <c r="E3" s="134">
        <v>10.5</v>
      </c>
      <c r="H3" s="120" t="s">
        <v>380</v>
      </c>
      <c r="I3" s="121">
        <v>200000</v>
      </c>
      <c r="J3" s="120" t="s">
        <v>159</v>
      </c>
      <c r="L3" s="137" t="s">
        <v>396</v>
      </c>
    </row>
    <row r="4" spans="1:16" ht="15.75" x14ac:dyDescent="0.25">
      <c r="A4" s="100" t="s">
        <v>367</v>
      </c>
      <c r="B4" s="105">
        <v>127.94918330308529</v>
      </c>
      <c r="C4" s="105">
        <v>599.36479128856615</v>
      </c>
      <c r="D4" s="101">
        <v>2.8402903811252265</v>
      </c>
      <c r="E4" s="138">
        <v>345</v>
      </c>
      <c r="H4" s="120" t="s">
        <v>381</v>
      </c>
      <c r="I4" s="130">
        <v>3.5E-12</v>
      </c>
      <c r="J4" s="120" t="s">
        <v>330</v>
      </c>
    </row>
    <row r="5" spans="1:16" ht="15.75" x14ac:dyDescent="0.25">
      <c r="A5" s="100" t="s">
        <v>368</v>
      </c>
      <c r="B5" s="106">
        <v>0.51700000000000002</v>
      </c>
      <c r="C5" s="106">
        <v>0.39600000000000002</v>
      </c>
      <c r="D5" s="107">
        <v>0.45800000000000002</v>
      </c>
      <c r="E5" s="144">
        <v>1</v>
      </c>
      <c r="H5" s="120" t="s">
        <v>382</v>
      </c>
      <c r="I5" s="122">
        <v>15000000</v>
      </c>
      <c r="J5" s="120" t="s">
        <v>391</v>
      </c>
    </row>
    <row r="6" spans="1:16" ht="15.75" x14ac:dyDescent="0.25">
      <c r="A6" s="100" t="s">
        <v>369</v>
      </c>
      <c r="B6" s="109">
        <f>B4*B5</f>
        <v>66.149727767695097</v>
      </c>
      <c r="C6" s="109">
        <f>C4*C5</f>
        <v>237.34845735027221</v>
      </c>
      <c r="D6" s="110">
        <f t="shared" ref="D6:E6" si="0">D4*D5</f>
        <v>1.3008529945553537</v>
      </c>
      <c r="E6" s="138">
        <f t="shared" si="0"/>
        <v>345</v>
      </c>
      <c r="H6" s="123" t="s">
        <v>383</v>
      </c>
      <c r="I6" s="124">
        <f>I5*I3*I4</f>
        <v>10.5</v>
      </c>
      <c r="J6" s="123" t="s">
        <v>330</v>
      </c>
    </row>
    <row r="7" spans="1:16" ht="18.75" x14ac:dyDescent="0.35">
      <c r="A7" s="100" t="s">
        <v>370</v>
      </c>
      <c r="B7" s="111">
        <v>0.16880000000000001</v>
      </c>
      <c r="C7" s="111">
        <v>0.2195</v>
      </c>
      <c r="D7" s="111">
        <v>0.1744</v>
      </c>
      <c r="E7" s="135">
        <v>0.18</v>
      </c>
      <c r="H7" s="125" t="s">
        <v>384</v>
      </c>
      <c r="I7" s="126">
        <v>4.916666666666667</v>
      </c>
      <c r="J7" s="125" t="s">
        <v>228</v>
      </c>
    </row>
    <row r="8" spans="1:16" ht="15.75" x14ac:dyDescent="0.25">
      <c r="A8" s="100" t="s">
        <v>371</v>
      </c>
      <c r="B8" s="112">
        <v>0.61060000000000003</v>
      </c>
      <c r="C8" s="112">
        <v>0.74729999999999996</v>
      </c>
      <c r="D8" s="112">
        <v>0.73240000000000005</v>
      </c>
      <c r="E8" s="135">
        <v>0.7</v>
      </c>
      <c r="H8" s="125" t="s">
        <v>385</v>
      </c>
      <c r="I8" s="127">
        <v>4000000</v>
      </c>
      <c r="J8" s="131" t="s">
        <v>159</v>
      </c>
    </row>
    <row r="9" spans="1:16" ht="15.75" x14ac:dyDescent="0.25">
      <c r="A9" s="100" t="s">
        <v>372</v>
      </c>
      <c r="B9" s="113">
        <f>6*30</f>
        <v>180</v>
      </c>
      <c r="C9" s="113">
        <v>639</v>
      </c>
      <c r="D9" s="113">
        <f>47</f>
        <v>47</v>
      </c>
      <c r="E9" s="139">
        <v>8</v>
      </c>
      <c r="H9" s="123" t="s">
        <v>386</v>
      </c>
      <c r="I9" s="104">
        <f>I8*I5*I4</f>
        <v>210</v>
      </c>
      <c r="J9" s="128" t="s">
        <v>330</v>
      </c>
    </row>
    <row r="10" spans="1:16" ht="18" x14ac:dyDescent="0.25">
      <c r="A10" s="100" t="s">
        <v>373</v>
      </c>
      <c r="B10" s="103">
        <f>(B4-B3)/B9</f>
        <v>0.70326892946158492</v>
      </c>
      <c r="C10" s="103">
        <f t="shared" ref="C10" si="1">(C4-C3)/C9</f>
        <v>0.88367729466129286</v>
      </c>
      <c r="D10" s="103">
        <f>(D4-D3)/D9</f>
        <v>5.9495540023940988E-2</v>
      </c>
      <c r="E10" s="134">
        <f>(E4-E3)/E9</f>
        <v>41.8125</v>
      </c>
      <c r="H10" s="128" t="s">
        <v>387</v>
      </c>
      <c r="I10" s="114">
        <f>(LN(I9/I6))/I7</f>
        <v>0.60930147936691337</v>
      </c>
      <c r="J10" s="128" t="s">
        <v>392</v>
      </c>
    </row>
    <row r="11" spans="1:16" ht="18" x14ac:dyDescent="0.25">
      <c r="A11" s="100" t="s">
        <v>374</v>
      </c>
      <c r="B11" s="114">
        <f>(LN((B4*B5)/(B5*B3)))/(B9)</f>
        <v>2.5242100302154232E-2</v>
      </c>
      <c r="C11" s="114">
        <f>(LN((C4*C5)/(C5*C3)))/(C9)</f>
        <v>4.4589590436308994E-3</v>
      </c>
      <c r="D11" s="114">
        <f>(LN((D4*D5)/(D5*D3)))/(D9)</f>
        <v>8.8669615720962019E-2</v>
      </c>
      <c r="E11" s="134">
        <f>I10</f>
        <v>0.60930147936691337</v>
      </c>
      <c r="H11" s="125" t="s">
        <v>388</v>
      </c>
      <c r="I11" s="129">
        <v>0.64</v>
      </c>
      <c r="J11" s="131"/>
    </row>
    <row r="12" spans="1:16" ht="15.75" x14ac:dyDescent="0.25">
      <c r="A12" s="100" t="s">
        <v>375</v>
      </c>
      <c r="B12" s="101">
        <v>3.1</v>
      </c>
      <c r="C12" s="105">
        <v>14</v>
      </c>
      <c r="D12" s="113">
        <v>1.9</v>
      </c>
      <c r="E12" s="134">
        <f>E14/E4</f>
        <v>2.8088235294117645</v>
      </c>
      <c r="H12" s="123" t="s">
        <v>389</v>
      </c>
      <c r="I12" s="104">
        <f>I8*(1+I11)*I4*I5</f>
        <v>344.40000000000003</v>
      </c>
      <c r="J12" s="128" t="s">
        <v>330</v>
      </c>
    </row>
    <row r="13" spans="1:16" ht="15.75" x14ac:dyDescent="0.25">
      <c r="A13" s="100" t="s">
        <v>376</v>
      </c>
      <c r="B13" s="115">
        <f>B14/(B4-B3)</f>
        <v>3.1333237907788831</v>
      </c>
      <c r="C13" s="115">
        <f t="shared" ref="C13" si="2">C14/(C4-C3)</f>
        <v>14.860201851584044</v>
      </c>
      <c r="D13" s="115">
        <f>D14/(D4-D3)</f>
        <v>1.9298967519840908</v>
      </c>
      <c r="E13" s="136">
        <f>E14/(E4-E3)</f>
        <v>2.896992877868636</v>
      </c>
    </row>
    <row r="14" spans="1:16" ht="15.75" x14ac:dyDescent="0.25">
      <c r="A14" s="100" t="s">
        <v>377</v>
      </c>
      <c r="B14" s="109">
        <f>B12*(B4)</f>
        <v>396.64246823956444</v>
      </c>
      <c r="C14" s="104">
        <f>C12*(C4)</f>
        <v>8391.1070780399259</v>
      </c>
      <c r="D14" s="103">
        <f>D12*D4</f>
        <v>5.3965517241379297</v>
      </c>
      <c r="E14" s="140">
        <f>E4*('Protein Areal Productivity'!B4+'Calorie Areal Productivity'!B6)</f>
        <v>969.04411764705878</v>
      </c>
    </row>
    <row r="15" spans="1:16" ht="15.75" x14ac:dyDescent="0.25">
      <c r="A15" s="100" t="s">
        <v>378</v>
      </c>
      <c r="B15" s="108">
        <v>0.17</v>
      </c>
      <c r="C15" s="108">
        <v>0.12</v>
      </c>
      <c r="D15" s="107">
        <v>0.17</v>
      </c>
      <c r="E15" s="141">
        <f>E16/E14</f>
        <v>0.26701570680628273</v>
      </c>
    </row>
    <row r="16" spans="1:16" ht="15.75" x14ac:dyDescent="0.25">
      <c r="A16" s="100" t="s">
        <v>379</v>
      </c>
      <c r="B16" s="169">
        <f>B14*B15</f>
        <v>67.429219600725958</v>
      </c>
      <c r="C16" s="169">
        <f>C14*C15</f>
        <v>1006.9328493647911</v>
      </c>
      <c r="D16" s="103">
        <f>D14*D15</f>
        <v>0.91741379310344817</v>
      </c>
      <c r="E16" s="138">
        <f>'Spent Media N Handling'!C23</f>
        <v>258.75</v>
      </c>
    </row>
    <row r="17" spans="1:5" ht="16.5" thickBot="1" x14ac:dyDescent="0.3">
      <c r="A17" s="116" t="s">
        <v>182</v>
      </c>
      <c r="B17" s="170">
        <f>(B6*B7)/B16</f>
        <v>0.16559696394686907</v>
      </c>
      <c r="C17" s="170">
        <f>(C6*C7)/C16</f>
        <v>5.1739285714285724E-2</v>
      </c>
      <c r="D17" s="117">
        <f>(D6*D7)/D16</f>
        <v>0.24729164086687305</v>
      </c>
      <c r="E17" s="142">
        <f>(E6*E7)/E16</f>
        <v>0.24</v>
      </c>
    </row>
    <row r="18" spans="1:5" ht="15.75" thickTop="1" x14ac:dyDescent="0.25"/>
    <row r="20" spans="1:5" x14ac:dyDescent="0.25">
      <c r="D20">
        <f>B16/B9</f>
        <v>0.37460677555958866</v>
      </c>
    </row>
    <row r="21" spans="1:5" ht="15.75" x14ac:dyDescent="0.25">
      <c r="A21" s="65" t="s">
        <v>403</v>
      </c>
      <c r="B21" s="66"/>
      <c r="C21" s="66"/>
      <c r="D21" s="66"/>
    </row>
    <row r="22" spans="1:5" ht="15.75" x14ac:dyDescent="0.25">
      <c r="A22" s="65" t="s">
        <v>341</v>
      </c>
      <c r="B22" s="66">
        <f>0.0125</f>
        <v>1.2500000000000001E-2</v>
      </c>
      <c r="C22" s="66" t="s">
        <v>342</v>
      </c>
      <c r="D22" s="66"/>
    </row>
    <row r="23" spans="1:5" ht="15.75" x14ac:dyDescent="0.25">
      <c r="A23" s="65" t="s">
        <v>401</v>
      </c>
      <c r="B23" s="66">
        <v>3.7850000000000001</v>
      </c>
      <c r="C23" s="66" t="s">
        <v>402</v>
      </c>
      <c r="D23" s="66"/>
    </row>
    <row r="24" spans="1:5" ht="15.75" x14ac:dyDescent="0.25">
      <c r="A24" s="67" t="s">
        <v>343</v>
      </c>
      <c r="B24" s="68"/>
      <c r="C24" s="68"/>
      <c r="D24" s="68"/>
    </row>
    <row r="25" spans="1:5" ht="15.75" x14ac:dyDescent="0.25">
      <c r="A25" s="69" t="s">
        <v>344</v>
      </c>
      <c r="B25" s="70"/>
      <c r="C25" s="70"/>
      <c r="D25" s="71"/>
    </row>
    <row r="26" spans="1:5" ht="15.75" x14ac:dyDescent="0.25">
      <c r="A26" s="72" t="s">
        <v>345</v>
      </c>
      <c r="B26" s="73">
        <v>22</v>
      </c>
      <c r="C26" s="73" t="s">
        <v>346</v>
      </c>
      <c r="D26" s="71"/>
    </row>
    <row r="27" spans="1:5" ht="15.75" x14ac:dyDescent="0.25">
      <c r="A27" s="72" t="s">
        <v>347</v>
      </c>
      <c r="B27" s="73">
        <v>240</v>
      </c>
      <c r="C27" s="73" t="s">
        <v>228</v>
      </c>
      <c r="D27" s="71"/>
    </row>
    <row r="28" spans="1:5" ht="15.75" x14ac:dyDescent="0.25">
      <c r="A28" s="72" t="s">
        <v>348</v>
      </c>
      <c r="B28" s="73">
        <v>4500</v>
      </c>
      <c r="C28" s="73" t="s">
        <v>349</v>
      </c>
      <c r="D28" s="71"/>
    </row>
    <row r="29" spans="1:5" ht="15.75" x14ac:dyDescent="0.25">
      <c r="A29" s="74" t="s">
        <v>350</v>
      </c>
      <c r="B29" s="75">
        <f>B26*B27+B28</f>
        <v>9780</v>
      </c>
      <c r="C29" s="75" t="s">
        <v>351</v>
      </c>
      <c r="D29" s="71"/>
    </row>
    <row r="30" spans="1:5" ht="15.75" x14ac:dyDescent="0.25">
      <c r="A30" s="74" t="s">
        <v>350</v>
      </c>
      <c r="B30" s="76">
        <f>B29/B23</f>
        <v>2583.8837516512549</v>
      </c>
      <c r="C30" s="76" t="s">
        <v>352</v>
      </c>
      <c r="D30" s="77"/>
    </row>
    <row r="31" spans="1:5" ht="15.75" x14ac:dyDescent="0.25">
      <c r="A31" s="74" t="s">
        <v>341</v>
      </c>
      <c r="B31" s="76">
        <f>B30*B22</f>
        <v>32.29854689564069</v>
      </c>
      <c r="C31" s="76" t="s">
        <v>353</v>
      </c>
      <c r="D31" s="77"/>
    </row>
    <row r="32" spans="1:5" ht="15.75" x14ac:dyDescent="0.25">
      <c r="A32" s="78" t="s">
        <v>341</v>
      </c>
      <c r="B32" s="79">
        <f>B31/C6</f>
        <v>0.13608071127243687</v>
      </c>
      <c r="C32" s="80" t="s">
        <v>354</v>
      </c>
      <c r="D32" s="77"/>
    </row>
    <row r="33" spans="1:4" ht="15.75" x14ac:dyDescent="0.25">
      <c r="A33" s="67"/>
      <c r="B33" s="77"/>
      <c r="C33" s="77"/>
      <c r="D33" s="77"/>
    </row>
    <row r="34" spans="1:4" ht="15.75" x14ac:dyDescent="0.25">
      <c r="A34" s="69" t="s">
        <v>355</v>
      </c>
      <c r="B34" s="81"/>
      <c r="C34" s="81"/>
      <c r="D34" s="82"/>
    </row>
    <row r="35" spans="1:4" ht="15.75" x14ac:dyDescent="0.25">
      <c r="A35" s="72" t="s">
        <v>356</v>
      </c>
      <c r="B35" s="83">
        <v>48</v>
      </c>
      <c r="C35" s="84" t="s">
        <v>349</v>
      </c>
      <c r="D35" s="85"/>
    </row>
    <row r="36" spans="1:4" ht="15.75" x14ac:dyDescent="0.25">
      <c r="A36" s="72" t="s">
        <v>357</v>
      </c>
      <c r="B36" s="86">
        <v>560</v>
      </c>
      <c r="C36" s="87" t="s">
        <v>349</v>
      </c>
      <c r="D36" s="88"/>
    </row>
    <row r="37" spans="1:4" ht="15.75" x14ac:dyDescent="0.25">
      <c r="A37" s="74" t="s">
        <v>350</v>
      </c>
      <c r="B37" s="89">
        <f>B36+B35</f>
        <v>608</v>
      </c>
      <c r="C37" s="90" t="s">
        <v>349</v>
      </c>
      <c r="D37" s="88"/>
    </row>
    <row r="38" spans="1:4" ht="15.75" x14ac:dyDescent="0.25">
      <c r="A38" s="74" t="s">
        <v>358</v>
      </c>
      <c r="B38" s="89">
        <f>B37/B23</f>
        <v>160.6340819022457</v>
      </c>
      <c r="C38" s="90" t="s">
        <v>352</v>
      </c>
      <c r="D38" s="88"/>
    </row>
    <row r="39" spans="1:4" ht="15.75" x14ac:dyDescent="0.25">
      <c r="A39" s="74" t="s">
        <v>341</v>
      </c>
      <c r="B39" s="89">
        <f>B38*B22</f>
        <v>2.0079260237780714</v>
      </c>
      <c r="C39" s="90" t="s">
        <v>353</v>
      </c>
      <c r="D39" s="88"/>
    </row>
    <row r="40" spans="1:4" ht="15.75" x14ac:dyDescent="0.25">
      <c r="A40" s="91" t="s">
        <v>359</v>
      </c>
      <c r="B40" s="172">
        <f>B39/B6</f>
        <v>3.0354259821438946E-2</v>
      </c>
      <c r="C40" s="92" t="s">
        <v>354</v>
      </c>
      <c r="D40" s="88"/>
    </row>
    <row r="41" spans="1:4" ht="15.75" x14ac:dyDescent="0.25">
      <c r="A41" s="67"/>
      <c r="B41" s="88"/>
      <c r="C41" s="88"/>
      <c r="D41" s="88"/>
    </row>
    <row r="42" spans="1:4" ht="15.75" x14ac:dyDescent="0.25">
      <c r="A42" s="69" t="s">
        <v>360</v>
      </c>
      <c r="B42" s="93"/>
      <c r="C42" s="93"/>
      <c r="D42" s="82"/>
    </row>
    <row r="43" spans="1:4" ht="15.75" x14ac:dyDescent="0.25">
      <c r="A43" s="72" t="s">
        <v>361</v>
      </c>
      <c r="B43" s="86">
        <v>4.9000000000000004</v>
      </c>
      <c r="C43" s="87" t="s">
        <v>349</v>
      </c>
      <c r="D43" s="82"/>
    </row>
    <row r="44" spans="1:4" ht="15.75" x14ac:dyDescent="0.25">
      <c r="A44" s="74" t="s">
        <v>361</v>
      </c>
      <c r="B44" s="89">
        <f>B43/B23</f>
        <v>1.2945838837516512</v>
      </c>
      <c r="C44" s="90" t="s">
        <v>352</v>
      </c>
      <c r="D44" s="82"/>
    </row>
    <row r="45" spans="1:4" ht="15.75" x14ac:dyDescent="0.25">
      <c r="A45" s="74" t="s">
        <v>359</v>
      </c>
      <c r="B45" s="89">
        <f>B44*B22</f>
        <v>1.6182298546895641E-2</v>
      </c>
      <c r="C45" s="90" t="s">
        <v>353</v>
      </c>
      <c r="D45" s="88"/>
    </row>
    <row r="46" spans="1:4" ht="15.75" x14ac:dyDescent="0.25">
      <c r="A46" s="94" t="s">
        <v>359</v>
      </c>
      <c r="B46" s="171">
        <f>B45/D6</f>
        <v>1.2439759615133864E-2</v>
      </c>
      <c r="C46" s="95" t="s">
        <v>354</v>
      </c>
      <c r="D46" s="88"/>
    </row>
    <row r="47" spans="1:4" ht="15.75" x14ac:dyDescent="0.25">
      <c r="A47" s="65"/>
      <c r="B47" s="68"/>
      <c r="C47" s="68"/>
      <c r="D47" s="6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5" workbookViewId="0">
      <selection activeCell="C22" sqref="C22"/>
    </sheetView>
  </sheetViews>
  <sheetFormatPr defaultRowHeight="15" x14ac:dyDescent="0.25"/>
  <cols>
    <col min="1" max="1" width="27.140625" style="11" bestFit="1" customWidth="1"/>
    <col min="2" max="2" width="21" style="11" bestFit="1" customWidth="1"/>
    <col min="3" max="3" width="21.42578125" style="11" bestFit="1" customWidth="1"/>
    <col min="4" max="4" width="20" style="11" bestFit="1" customWidth="1"/>
    <col min="5" max="16384" width="9.140625" style="11"/>
  </cols>
  <sheetData>
    <row r="1" spans="1:10" x14ac:dyDescent="0.25">
      <c r="A1" s="146" t="s">
        <v>229</v>
      </c>
    </row>
    <row r="2" spans="1:10" x14ac:dyDescent="0.25">
      <c r="A2" s="11" t="s">
        <v>449</v>
      </c>
      <c r="B2" s="182">
        <v>0.2195</v>
      </c>
      <c r="I2" s="11" t="s">
        <v>270</v>
      </c>
      <c r="J2" s="11">
        <v>1000</v>
      </c>
    </row>
    <row r="3" spans="1:10" ht="15.75" x14ac:dyDescent="0.25">
      <c r="A3" s="11" t="s">
        <v>483</v>
      </c>
      <c r="B3" s="11">
        <v>1210</v>
      </c>
      <c r="C3" s="11" t="s">
        <v>450</v>
      </c>
      <c r="I3" s="11" t="s">
        <v>482</v>
      </c>
      <c r="J3" s="24">
        <v>4.1840000000000002E-3</v>
      </c>
    </row>
    <row r="4" spans="1:10" x14ac:dyDescent="0.25">
      <c r="A4" s="11" t="s">
        <v>483</v>
      </c>
      <c r="B4" s="11">
        <v>5.0819999999999999</v>
      </c>
      <c r="C4" s="11" t="s">
        <v>451</v>
      </c>
    </row>
    <row r="5" spans="1:10" x14ac:dyDescent="0.25">
      <c r="A5" s="145" t="s">
        <v>452</v>
      </c>
      <c r="B5" s="118"/>
      <c r="C5" s="118"/>
      <c r="D5" s="118"/>
    </row>
    <row r="6" spans="1:10" ht="17.25" x14ac:dyDescent="0.25">
      <c r="A6" s="11" t="s">
        <v>453</v>
      </c>
      <c r="B6" s="11" t="s">
        <v>454</v>
      </c>
      <c r="C6" s="11" t="s">
        <v>455</v>
      </c>
    </row>
    <row r="7" spans="1:10" x14ac:dyDescent="0.25">
      <c r="A7" s="151" t="s">
        <v>456</v>
      </c>
      <c r="B7" s="183">
        <v>286</v>
      </c>
      <c r="C7" s="183">
        <v>429</v>
      </c>
    </row>
    <row r="8" spans="1:10" x14ac:dyDescent="0.25">
      <c r="A8" s="151" t="s">
        <v>457</v>
      </c>
      <c r="B8" s="183">
        <v>33</v>
      </c>
      <c r="C8" s="183">
        <v>158</v>
      </c>
    </row>
    <row r="9" spans="1:10" x14ac:dyDescent="0.25">
      <c r="A9" s="151" t="s">
        <v>458</v>
      </c>
      <c r="B9" s="183">
        <v>15</v>
      </c>
      <c r="C9" s="183">
        <v>29</v>
      </c>
    </row>
    <row r="10" spans="1:10" ht="17.25" x14ac:dyDescent="0.25">
      <c r="A10" s="11" t="s">
        <v>459</v>
      </c>
      <c r="B10" s="11" t="s">
        <v>460</v>
      </c>
      <c r="C10" s="11" t="s">
        <v>461</v>
      </c>
      <c r="D10" s="184" t="s">
        <v>485</v>
      </c>
    </row>
    <row r="11" spans="1:10" x14ac:dyDescent="0.25">
      <c r="A11" s="151" t="s">
        <v>456</v>
      </c>
      <c r="B11" s="185">
        <f>(1/B7)*$B$3</f>
        <v>4.2307692307692308</v>
      </c>
      <c r="C11" s="185">
        <f>(1/C7)*$B$3</f>
        <v>2.8205128205128207</v>
      </c>
      <c r="D11" s="186">
        <f>MEDIAN(B11:C11)</f>
        <v>3.5256410256410255</v>
      </c>
    </row>
    <row r="12" spans="1:10" x14ac:dyDescent="0.25">
      <c r="A12" s="151" t="s">
        <v>457</v>
      </c>
      <c r="B12" s="185">
        <f t="shared" ref="B12:C13" si="0">(1/B8)*$B$3</f>
        <v>36.666666666666664</v>
      </c>
      <c r="C12" s="185">
        <f t="shared" si="0"/>
        <v>7.6582278481012658</v>
      </c>
      <c r="D12" s="186">
        <f t="shared" ref="D12:D13" si="1">MEDIAN(B12:C12)</f>
        <v>22.162447257383967</v>
      </c>
    </row>
    <row r="13" spans="1:10" x14ac:dyDescent="0.25">
      <c r="A13" s="151" t="s">
        <v>458</v>
      </c>
      <c r="B13" s="185">
        <f t="shared" si="0"/>
        <v>80.666666666666671</v>
      </c>
      <c r="C13" s="185">
        <f t="shared" si="0"/>
        <v>41.724137931034484</v>
      </c>
      <c r="D13" s="186">
        <f t="shared" si="1"/>
        <v>61.195402298850581</v>
      </c>
    </row>
    <row r="14" spans="1:10" ht="17.25" x14ac:dyDescent="0.25">
      <c r="A14" s="11" t="s">
        <v>459</v>
      </c>
      <c r="B14" s="11" t="s">
        <v>462</v>
      </c>
      <c r="C14" s="11" t="s">
        <v>463</v>
      </c>
      <c r="D14" s="184" t="s">
        <v>486</v>
      </c>
    </row>
    <row r="15" spans="1:10" x14ac:dyDescent="0.25">
      <c r="A15" s="151" t="s">
        <v>456</v>
      </c>
      <c r="B15" s="189">
        <f>(1/B7)*$B$4</f>
        <v>1.776923076923077E-2</v>
      </c>
      <c r="C15" s="189">
        <f>(1/C7)*$B$4</f>
        <v>1.1846153846153847E-2</v>
      </c>
      <c r="D15" s="186">
        <f>MEDIAN(B15:C15)</f>
        <v>1.4807692307692308E-2</v>
      </c>
    </row>
    <row r="16" spans="1:10" x14ac:dyDescent="0.25">
      <c r="A16" s="151" t="s">
        <v>457</v>
      </c>
      <c r="B16" s="188">
        <f t="shared" ref="B16:C17" si="2">(1/B8)*$B$4</f>
        <v>0.154</v>
      </c>
      <c r="C16" s="189">
        <f t="shared" si="2"/>
        <v>3.2164556962025317E-2</v>
      </c>
      <c r="D16" s="186">
        <f t="shared" ref="D16:D17" si="3">MEDIAN(B16:C16)</f>
        <v>9.3082278481012665E-2</v>
      </c>
    </row>
    <row r="17" spans="1:4" x14ac:dyDescent="0.25">
      <c r="A17" s="151" t="s">
        <v>458</v>
      </c>
      <c r="B17" s="188">
        <f t="shared" si="2"/>
        <v>0.33879999999999999</v>
      </c>
      <c r="C17" s="189">
        <f t="shared" si="2"/>
        <v>0.17524137931034481</v>
      </c>
      <c r="D17" s="186">
        <f t="shared" si="3"/>
        <v>0.25702068965517239</v>
      </c>
    </row>
    <row r="18" spans="1:4" ht="17.25" x14ac:dyDescent="0.25">
      <c r="A18" s="11" t="s">
        <v>464</v>
      </c>
      <c r="B18" s="11" t="s">
        <v>465</v>
      </c>
      <c r="C18" s="11" t="s">
        <v>466</v>
      </c>
      <c r="D18" s="184" t="s">
        <v>487</v>
      </c>
    </row>
    <row r="19" spans="1:4" x14ac:dyDescent="0.25">
      <c r="A19" s="151" t="s">
        <v>456</v>
      </c>
      <c r="B19" s="185">
        <v>0.76748251748251739</v>
      </c>
      <c r="C19" s="185">
        <v>0.5116550116550117</v>
      </c>
      <c r="D19" s="186">
        <f>MEDIAN(B19:C19)</f>
        <v>0.63956876456876455</v>
      </c>
    </row>
    <row r="20" spans="1:4" x14ac:dyDescent="0.25">
      <c r="A20" s="151" t="s">
        <v>457</v>
      </c>
      <c r="B20" s="185">
        <v>6.6515151515151514</v>
      </c>
      <c r="C20" s="185">
        <v>1.389240506329114</v>
      </c>
      <c r="D20" s="186">
        <f t="shared" ref="D20:D21" si="4">MEDIAN(B20:C20)</f>
        <v>4.0203778289221326</v>
      </c>
    </row>
    <row r="21" spans="1:4" x14ac:dyDescent="0.25">
      <c r="A21" s="151" t="s">
        <v>458</v>
      </c>
      <c r="B21" s="185">
        <v>14.633333333333333</v>
      </c>
      <c r="C21" s="185">
        <v>7.5689655172413799</v>
      </c>
      <c r="D21" s="186">
        <f t="shared" si="4"/>
        <v>11.101149425287357</v>
      </c>
    </row>
    <row r="22" spans="1:4" x14ac:dyDescent="0.25">
      <c r="A22" s="179" t="s">
        <v>467</v>
      </c>
      <c r="B22" s="180"/>
      <c r="C22" s="180"/>
      <c r="D22" s="181"/>
    </row>
    <row r="23" spans="1:4" x14ac:dyDescent="0.25">
      <c r="A23" s="190" t="s">
        <v>453</v>
      </c>
      <c r="B23" s="185"/>
      <c r="C23" s="185"/>
      <c r="D23" s="187"/>
    </row>
    <row r="24" spans="1:4" x14ac:dyDescent="0.25">
      <c r="A24" s="151" t="s">
        <v>468</v>
      </c>
      <c r="B24" s="185">
        <v>9.1999999999999993</v>
      </c>
      <c r="C24" s="185" t="s">
        <v>469</v>
      </c>
      <c r="D24" s="187"/>
    </row>
    <row r="25" spans="1:4" x14ac:dyDescent="0.25">
      <c r="A25" s="151" t="s">
        <v>470</v>
      </c>
      <c r="B25" s="185">
        <v>8.1</v>
      </c>
      <c r="C25" s="185" t="s">
        <v>469</v>
      </c>
      <c r="D25" s="187"/>
    </row>
    <row r="26" spans="1:4" x14ac:dyDescent="0.25">
      <c r="A26" s="151" t="s">
        <v>481</v>
      </c>
      <c r="B26" s="185">
        <f>MEDIAN(B24:B25)</f>
        <v>8.6499999999999986</v>
      </c>
      <c r="C26" s="185"/>
      <c r="D26" s="187"/>
    </row>
    <row r="27" spans="1:4" x14ac:dyDescent="0.25">
      <c r="A27" s="190" t="s">
        <v>471</v>
      </c>
      <c r="B27" s="188">
        <v>0.17</v>
      </c>
      <c r="C27" s="185" t="s">
        <v>472</v>
      </c>
      <c r="D27" s="187"/>
    </row>
    <row r="28" spans="1:4" x14ac:dyDescent="0.25">
      <c r="A28" s="190" t="s">
        <v>473</v>
      </c>
      <c r="B28" s="185">
        <v>1430</v>
      </c>
      <c r="C28" s="185" t="s">
        <v>450</v>
      </c>
      <c r="D28" s="187"/>
    </row>
    <row r="29" spans="1:4" x14ac:dyDescent="0.25">
      <c r="A29" s="190" t="s">
        <v>473</v>
      </c>
      <c r="B29" s="185">
        <f>B28*J3</f>
        <v>5.9831200000000004</v>
      </c>
      <c r="C29" s="185" t="s">
        <v>451</v>
      </c>
      <c r="D29" s="187"/>
    </row>
    <row r="30" spans="1:4" x14ac:dyDescent="0.25">
      <c r="A30" s="11" t="s">
        <v>459</v>
      </c>
      <c r="B30" s="185"/>
      <c r="C30" s="185"/>
      <c r="D30" s="187"/>
    </row>
    <row r="31" spans="1:4" x14ac:dyDescent="0.25">
      <c r="A31" s="151" t="s">
        <v>474</v>
      </c>
      <c r="B31" s="188">
        <f>(1/B25)*B29</f>
        <v>0.73865679012345686</v>
      </c>
      <c r="C31" s="185" t="s">
        <v>475</v>
      </c>
      <c r="D31" s="187"/>
    </row>
    <row r="32" spans="1:4" x14ac:dyDescent="0.25">
      <c r="A32" s="151" t="s">
        <v>476</v>
      </c>
      <c r="B32" s="188">
        <f>(1/B24)*$B$29</f>
        <v>0.65033913043478275</v>
      </c>
      <c r="C32" s="185" t="s">
        <v>475</v>
      </c>
      <c r="D32" s="187"/>
    </row>
    <row r="33" spans="1:4" x14ac:dyDescent="0.25">
      <c r="A33" s="191" t="s">
        <v>481</v>
      </c>
      <c r="B33" s="188">
        <f>(1/B26)*$B$29</f>
        <v>0.69169017341040484</v>
      </c>
      <c r="C33" s="187" t="s">
        <v>475</v>
      </c>
      <c r="D33" s="187"/>
    </row>
    <row r="34" spans="1:4" x14ac:dyDescent="0.25">
      <c r="A34" s="190" t="s">
        <v>464</v>
      </c>
      <c r="B34" s="185"/>
      <c r="C34" s="185"/>
      <c r="D34" s="187"/>
    </row>
    <row r="35" spans="1:4" x14ac:dyDescent="0.25">
      <c r="A35" s="151" t="s">
        <v>474</v>
      </c>
      <c r="B35" s="185">
        <f>(1/B25)*$B$27*$J$2</f>
        <v>20.987654320987659</v>
      </c>
      <c r="C35" s="185" t="s">
        <v>477</v>
      </c>
      <c r="D35" s="187"/>
    </row>
    <row r="36" spans="1:4" x14ac:dyDescent="0.25">
      <c r="A36" s="151" t="s">
        <v>476</v>
      </c>
      <c r="B36" s="185">
        <f>(1/B24)*$B$27*$J$2</f>
        <v>18.478260869565222</v>
      </c>
      <c r="C36" s="185" t="s">
        <v>477</v>
      </c>
      <c r="D36" s="187"/>
    </row>
    <row r="37" spans="1:4" x14ac:dyDescent="0.25">
      <c r="A37" s="191" t="s">
        <v>481</v>
      </c>
      <c r="B37" s="185">
        <f>(1/B26)*$B$27*$J$2</f>
        <v>19.653179190751448</v>
      </c>
      <c r="C37" s="187" t="s">
        <v>477</v>
      </c>
      <c r="D37" s="187"/>
    </row>
    <row r="38" spans="1:4" x14ac:dyDescent="0.25">
      <c r="A38" s="179" t="s">
        <v>478</v>
      </c>
      <c r="B38" s="180"/>
      <c r="C38" s="180"/>
      <c r="D38" s="181"/>
    </row>
    <row r="39" spans="1:4" x14ac:dyDescent="0.25">
      <c r="A39" s="190" t="s">
        <v>453</v>
      </c>
      <c r="B39" s="185"/>
      <c r="C39" s="185"/>
      <c r="D39" s="187"/>
    </row>
    <row r="40" spans="1:4" x14ac:dyDescent="0.25">
      <c r="A40" s="151" t="s">
        <v>468</v>
      </c>
      <c r="B40" s="185">
        <v>15</v>
      </c>
      <c r="C40" s="185" t="s">
        <v>469</v>
      </c>
      <c r="D40" s="187"/>
    </row>
    <row r="41" spans="1:4" x14ac:dyDescent="0.25">
      <c r="A41" s="151" t="s">
        <v>470</v>
      </c>
      <c r="B41" s="185">
        <v>8</v>
      </c>
      <c r="C41" s="185" t="s">
        <v>469</v>
      </c>
      <c r="D41" s="187"/>
    </row>
    <row r="42" spans="1:4" x14ac:dyDescent="0.25">
      <c r="A42" s="151" t="s">
        <v>481</v>
      </c>
      <c r="B42" s="185">
        <f>MEDIAN(B40:B41)</f>
        <v>11.5</v>
      </c>
      <c r="C42" s="185" t="s">
        <v>469</v>
      </c>
      <c r="D42" s="187"/>
    </row>
    <row r="43" spans="1:4" x14ac:dyDescent="0.25">
      <c r="A43" s="190" t="s">
        <v>479</v>
      </c>
      <c r="B43" s="188">
        <v>0.17</v>
      </c>
      <c r="C43" s="185" t="s">
        <v>472</v>
      </c>
      <c r="D43" s="187"/>
    </row>
    <row r="44" spans="1:4" x14ac:dyDescent="0.25">
      <c r="A44" s="190" t="s">
        <v>480</v>
      </c>
      <c r="B44" s="185">
        <v>2630</v>
      </c>
      <c r="C44" s="185" t="s">
        <v>450</v>
      </c>
      <c r="D44" s="187"/>
    </row>
    <row r="45" spans="1:4" x14ac:dyDescent="0.25">
      <c r="A45" s="190" t="s">
        <v>480</v>
      </c>
      <c r="B45" s="185">
        <f>B44*J3</f>
        <v>11.003920000000001</v>
      </c>
      <c r="C45" s="185" t="s">
        <v>451</v>
      </c>
      <c r="D45" s="187"/>
    </row>
    <row r="46" spans="1:4" x14ac:dyDescent="0.25">
      <c r="A46" s="11" t="s">
        <v>459</v>
      </c>
      <c r="B46" s="185"/>
      <c r="C46" s="185"/>
      <c r="D46" s="187"/>
    </row>
    <row r="47" spans="1:4" x14ac:dyDescent="0.25">
      <c r="A47" s="151" t="s">
        <v>476</v>
      </c>
      <c r="B47" s="186">
        <f t="shared" ref="B47:B48" si="5">(1/B40)*$B$45</f>
        <v>0.73359466666666673</v>
      </c>
      <c r="C47" s="185" t="s">
        <v>475</v>
      </c>
      <c r="D47" s="187"/>
    </row>
    <row r="48" spans="1:4" x14ac:dyDescent="0.25">
      <c r="A48" s="151" t="s">
        <v>484</v>
      </c>
      <c r="B48" s="186">
        <f t="shared" si="5"/>
        <v>1.3754900000000001</v>
      </c>
      <c r="C48" s="185" t="s">
        <v>475</v>
      </c>
      <c r="D48" s="187"/>
    </row>
    <row r="49" spans="1:4" x14ac:dyDescent="0.25">
      <c r="A49" s="151" t="s">
        <v>481</v>
      </c>
      <c r="B49" s="186">
        <f>(1/B42)*$B$45</f>
        <v>0.95686260869565221</v>
      </c>
      <c r="C49" s="185" t="s">
        <v>475</v>
      </c>
      <c r="D49" s="187"/>
    </row>
    <row r="50" spans="1:4" x14ac:dyDescent="0.25">
      <c r="A50" s="190" t="s">
        <v>464</v>
      </c>
      <c r="B50" s="185"/>
      <c r="C50" s="185"/>
      <c r="D50" s="187"/>
    </row>
    <row r="51" spans="1:4" x14ac:dyDescent="0.25">
      <c r="A51" s="151" t="s">
        <v>476</v>
      </c>
      <c r="B51" s="187">
        <f>(1/B40)*$B$43*$J$2</f>
        <v>11.333333333333334</v>
      </c>
      <c r="C51" s="185" t="s">
        <v>477</v>
      </c>
      <c r="D51" s="187"/>
    </row>
    <row r="52" spans="1:4" x14ac:dyDescent="0.25">
      <c r="A52" s="151" t="s">
        <v>484</v>
      </c>
      <c r="B52" s="187">
        <f>(1/B41)*$B$43*$J$2</f>
        <v>21.25</v>
      </c>
      <c r="C52" s="185" t="s">
        <v>477</v>
      </c>
      <c r="D52" s="187"/>
    </row>
    <row r="53" spans="1:4" x14ac:dyDescent="0.25">
      <c r="A53" s="151" t="s">
        <v>481</v>
      </c>
      <c r="B53" s="187">
        <f>(1/B42)*$B$43*$J$2</f>
        <v>14.782608695652174</v>
      </c>
      <c r="C53" s="185" t="s">
        <v>477</v>
      </c>
      <c r="D53" s="187"/>
    </row>
    <row r="54" spans="1:4" x14ac:dyDescent="0.25">
      <c r="B54" s="19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0" workbookViewId="0">
      <selection activeCell="C35" sqref="C35:C42"/>
    </sheetView>
  </sheetViews>
  <sheetFormatPr defaultRowHeight="15" x14ac:dyDescent="0.25"/>
  <cols>
    <col min="1" max="1" width="23.85546875" bestFit="1" customWidth="1"/>
    <col min="2" max="2" width="12" bestFit="1" customWidth="1"/>
  </cols>
  <sheetData>
    <row r="1" spans="1:8" x14ac:dyDescent="0.25">
      <c r="A1" s="194" t="s">
        <v>332</v>
      </c>
      <c r="B1" s="194">
        <v>20</v>
      </c>
      <c r="C1" s="194" t="s">
        <v>160</v>
      </c>
      <c r="D1" s="194"/>
      <c r="E1" s="194"/>
      <c r="F1" s="194"/>
      <c r="G1" s="194"/>
      <c r="H1" s="194"/>
    </row>
    <row r="2" spans="1:8" x14ac:dyDescent="0.25">
      <c r="A2" s="194" t="s">
        <v>333</v>
      </c>
      <c r="B2" s="194">
        <v>482</v>
      </c>
      <c r="C2" s="194" t="s">
        <v>330</v>
      </c>
      <c r="D2" s="194"/>
      <c r="E2" s="194" t="s">
        <v>335</v>
      </c>
      <c r="F2" s="194"/>
      <c r="G2" s="194"/>
      <c r="H2" s="194"/>
    </row>
    <row r="3" spans="1:8" x14ac:dyDescent="0.25">
      <c r="A3" s="194" t="s">
        <v>334</v>
      </c>
      <c r="B3" s="194">
        <v>1849</v>
      </c>
      <c r="C3" s="194" t="s">
        <v>330</v>
      </c>
      <c r="D3" s="194"/>
      <c r="E3" s="194" t="s">
        <v>335</v>
      </c>
      <c r="F3" s="194"/>
      <c r="G3" s="194"/>
      <c r="H3" s="194"/>
    </row>
    <row r="4" spans="1:8" x14ac:dyDescent="0.25">
      <c r="A4" s="193" t="s">
        <v>488</v>
      </c>
      <c r="B4" s="194"/>
      <c r="C4" s="194"/>
      <c r="D4" s="194"/>
      <c r="E4" s="194"/>
      <c r="F4" s="194"/>
      <c r="G4" s="194"/>
      <c r="H4" s="194"/>
    </row>
    <row r="5" spans="1:8" x14ac:dyDescent="0.25">
      <c r="A5" s="194" t="s">
        <v>336</v>
      </c>
      <c r="B5" s="194">
        <f>B2/B1</f>
        <v>24.1</v>
      </c>
      <c r="C5" s="194" t="s">
        <v>157</v>
      </c>
      <c r="D5" s="194"/>
      <c r="E5" s="194"/>
      <c r="F5" s="194"/>
      <c r="G5" s="194"/>
      <c r="H5" s="194"/>
    </row>
    <row r="6" spans="1:8" x14ac:dyDescent="0.25">
      <c r="A6" s="194" t="s">
        <v>337</v>
      </c>
      <c r="B6" s="194">
        <f>B3/B1</f>
        <v>92.45</v>
      </c>
      <c r="C6" s="194" t="s">
        <v>157</v>
      </c>
      <c r="D6" s="194"/>
      <c r="E6" s="194"/>
      <c r="F6" s="194"/>
      <c r="G6" s="194"/>
      <c r="H6" s="194"/>
    </row>
    <row r="7" spans="1:8" x14ac:dyDescent="0.25">
      <c r="A7" s="194"/>
      <c r="B7" s="194"/>
      <c r="C7" s="194"/>
      <c r="D7" s="194"/>
      <c r="E7" s="194"/>
      <c r="F7" s="194"/>
      <c r="G7" s="194"/>
      <c r="H7" s="194"/>
    </row>
    <row r="8" spans="1:8" x14ac:dyDescent="0.25">
      <c r="A8" s="194" t="s">
        <v>327</v>
      </c>
      <c r="B8" s="194">
        <v>3000</v>
      </c>
      <c r="C8" s="194" t="s">
        <v>328</v>
      </c>
      <c r="D8" s="194"/>
      <c r="E8" s="194"/>
      <c r="F8" s="194"/>
      <c r="G8" s="194"/>
      <c r="H8" s="194"/>
    </row>
    <row r="9" spans="1:8" x14ac:dyDescent="0.25">
      <c r="A9" s="194"/>
      <c r="B9" s="194">
        <f>0.000000000001</f>
        <v>9.9999999999999998E-13</v>
      </c>
      <c r="C9" s="194" t="s">
        <v>338</v>
      </c>
      <c r="D9" s="194"/>
      <c r="E9" s="194"/>
      <c r="F9" s="194"/>
      <c r="G9" s="194"/>
      <c r="H9" s="194"/>
    </row>
    <row r="10" spans="1:8" x14ac:dyDescent="0.25">
      <c r="A10" s="194"/>
      <c r="B10" s="194">
        <f>B8*B9</f>
        <v>3E-9</v>
      </c>
      <c r="C10" s="194" t="s">
        <v>329</v>
      </c>
      <c r="D10" s="194"/>
      <c r="E10" s="194"/>
      <c r="F10" s="194"/>
      <c r="G10" s="194"/>
      <c r="H10" s="194"/>
    </row>
    <row r="11" spans="1:8" x14ac:dyDescent="0.25">
      <c r="A11" s="194"/>
      <c r="B11" s="194">
        <v>1000</v>
      </c>
      <c r="C11" s="194" t="s">
        <v>339</v>
      </c>
      <c r="D11" s="194"/>
      <c r="E11" s="194"/>
      <c r="F11" s="194"/>
      <c r="G11" s="194"/>
      <c r="H11" s="194"/>
    </row>
    <row r="12" spans="1:8" x14ac:dyDescent="0.25">
      <c r="A12" s="194"/>
      <c r="B12" s="194">
        <f>B10/B11</f>
        <v>3.0000000000000001E-12</v>
      </c>
      <c r="C12" s="194" t="s">
        <v>330</v>
      </c>
      <c r="D12" s="194"/>
      <c r="E12" s="194"/>
      <c r="F12" s="194"/>
      <c r="G12" s="194"/>
      <c r="H12" s="194"/>
    </row>
    <row r="13" spans="1:8" x14ac:dyDescent="0.25">
      <c r="A13" s="194"/>
      <c r="B13" s="194"/>
      <c r="C13" s="194"/>
      <c r="D13" s="194"/>
      <c r="E13" s="194"/>
      <c r="F13" s="194"/>
      <c r="G13" s="194"/>
      <c r="H13" s="194"/>
    </row>
    <row r="14" spans="1:8" x14ac:dyDescent="0.25">
      <c r="A14" s="194" t="s">
        <v>336</v>
      </c>
      <c r="B14" s="194">
        <f>B5/B12</f>
        <v>8033333333333.333</v>
      </c>
      <c r="C14" s="194" t="s">
        <v>331</v>
      </c>
      <c r="D14" s="194"/>
      <c r="E14" s="194"/>
      <c r="F14" s="194"/>
      <c r="G14" s="194"/>
      <c r="H14" s="194"/>
    </row>
    <row r="15" spans="1:8" x14ac:dyDescent="0.25">
      <c r="A15" s="194"/>
      <c r="B15" s="195">
        <v>1000000</v>
      </c>
      <c r="C15" s="194" t="s">
        <v>340</v>
      </c>
      <c r="D15" s="194"/>
      <c r="E15" s="194"/>
      <c r="F15" s="194"/>
      <c r="G15" s="194"/>
      <c r="H15" s="194"/>
    </row>
    <row r="16" spans="1:8" x14ac:dyDescent="0.25">
      <c r="A16" s="194" t="s">
        <v>336</v>
      </c>
      <c r="B16" s="196">
        <f>B14/B15</f>
        <v>8033333.333333333</v>
      </c>
      <c r="C16" s="194" t="s">
        <v>159</v>
      </c>
      <c r="D16" s="194"/>
      <c r="E16" s="194"/>
      <c r="F16" s="194"/>
      <c r="G16" s="194"/>
      <c r="H16" s="194"/>
    </row>
    <row r="17" spans="1:10" x14ac:dyDescent="0.25">
      <c r="A17" s="194"/>
      <c r="B17" s="194"/>
      <c r="C17" s="194"/>
      <c r="D17" s="194"/>
      <c r="E17" s="194"/>
      <c r="F17" s="194"/>
      <c r="G17" s="194"/>
      <c r="H17" s="194"/>
    </row>
    <row r="18" spans="1:10" x14ac:dyDescent="0.25">
      <c r="A18" s="194" t="s">
        <v>337</v>
      </c>
      <c r="B18" s="194">
        <f>B6/B12</f>
        <v>30816666666666.668</v>
      </c>
      <c r="C18" s="194" t="s">
        <v>331</v>
      </c>
      <c r="D18" s="194"/>
      <c r="E18" s="194"/>
      <c r="F18" s="194"/>
      <c r="G18" s="194"/>
      <c r="H18" s="194"/>
    </row>
    <row r="19" spans="1:10" x14ac:dyDescent="0.25">
      <c r="A19" s="194" t="s">
        <v>337</v>
      </c>
      <c r="B19" s="196">
        <f>B18/B15</f>
        <v>30816666.666666668</v>
      </c>
      <c r="C19" s="194" t="s">
        <v>340</v>
      </c>
      <c r="D19" s="194"/>
      <c r="E19" s="194"/>
      <c r="F19" s="194"/>
      <c r="G19" s="194"/>
      <c r="H19" s="194"/>
    </row>
    <row r="21" spans="1:10" x14ac:dyDescent="0.25">
      <c r="A21" s="200" t="s">
        <v>489</v>
      </c>
      <c r="B21" s="197"/>
      <c r="C21" s="197"/>
      <c r="D21" s="197"/>
      <c r="E21" s="197"/>
      <c r="F21" s="197"/>
      <c r="G21" s="197"/>
      <c r="H21" s="197"/>
      <c r="I21" s="197"/>
      <c r="J21" s="197"/>
    </row>
    <row r="22" spans="1:10" x14ac:dyDescent="0.25">
      <c r="A22" s="198" t="s">
        <v>490</v>
      </c>
      <c r="B22" s="197">
        <v>20</v>
      </c>
      <c r="C22" s="197" t="s">
        <v>160</v>
      </c>
      <c r="D22" s="197"/>
      <c r="E22" s="197"/>
      <c r="F22" s="197"/>
      <c r="G22" s="197"/>
      <c r="H22" s="197"/>
      <c r="I22" s="197"/>
      <c r="J22" s="197"/>
    </row>
    <row r="23" spans="1:10" x14ac:dyDescent="0.25">
      <c r="A23" s="198" t="s">
        <v>492</v>
      </c>
      <c r="B23" s="197"/>
      <c r="C23" s="197"/>
      <c r="D23" s="197"/>
      <c r="E23" s="197"/>
      <c r="F23" s="197"/>
      <c r="G23" s="197"/>
      <c r="H23" s="197"/>
      <c r="I23" s="197"/>
      <c r="J23" s="197"/>
    </row>
    <row r="24" spans="1:10" x14ac:dyDescent="0.25">
      <c r="A24" s="198">
        <v>1</v>
      </c>
      <c r="B24" s="199">
        <v>10000000</v>
      </c>
      <c r="C24" s="197" t="s">
        <v>494</v>
      </c>
      <c r="D24" s="197"/>
      <c r="E24" s="197"/>
      <c r="F24" s="197"/>
      <c r="G24" s="197"/>
      <c r="H24" s="197"/>
      <c r="I24" s="197"/>
      <c r="J24" s="197"/>
    </row>
    <row r="25" spans="1:10" x14ac:dyDescent="0.25">
      <c r="A25" s="198">
        <v>2</v>
      </c>
      <c r="B25" s="199">
        <v>95000000</v>
      </c>
      <c r="C25" s="197" t="s">
        <v>494</v>
      </c>
      <c r="D25" s="197"/>
      <c r="E25" s="197"/>
      <c r="F25" s="197"/>
      <c r="G25" s="197"/>
      <c r="H25" s="197"/>
      <c r="I25" s="197"/>
      <c r="J25" s="197"/>
    </row>
    <row r="26" spans="1:10" x14ac:dyDescent="0.25">
      <c r="A26" s="198">
        <v>3</v>
      </c>
      <c r="B26" s="199">
        <v>95000000</v>
      </c>
      <c r="C26" s="197" t="s">
        <v>494</v>
      </c>
      <c r="D26" s="197"/>
      <c r="E26" s="197"/>
      <c r="F26" s="197"/>
      <c r="G26" s="197"/>
      <c r="H26" s="197"/>
      <c r="I26" s="197"/>
      <c r="J26" s="197"/>
    </row>
    <row r="27" spans="1:10" x14ac:dyDescent="0.25">
      <c r="A27" s="198">
        <v>4</v>
      </c>
      <c r="B27" s="199">
        <v>200000000</v>
      </c>
      <c r="C27" s="197" t="s">
        <v>494</v>
      </c>
      <c r="D27" s="197"/>
      <c r="E27" s="197"/>
      <c r="F27" s="197"/>
      <c r="G27" s="197"/>
      <c r="H27" s="197"/>
      <c r="I27" s="197"/>
      <c r="J27" s="197"/>
    </row>
    <row r="28" spans="1:10" x14ac:dyDescent="0.25">
      <c r="A28" s="198" t="s">
        <v>491</v>
      </c>
      <c r="B28" s="199">
        <v>200</v>
      </c>
      <c r="C28" s="197" t="s">
        <v>493</v>
      </c>
      <c r="D28" s="197"/>
      <c r="E28" s="197"/>
      <c r="F28" s="197"/>
      <c r="G28" s="197"/>
      <c r="H28" s="197"/>
      <c r="I28" s="197"/>
      <c r="J28" s="197"/>
    </row>
    <row r="29" spans="1:10" x14ac:dyDescent="0.25">
      <c r="A29" s="198" t="s">
        <v>495</v>
      </c>
      <c r="B29" s="197"/>
      <c r="C29" s="197"/>
      <c r="D29" s="197"/>
      <c r="E29" s="197"/>
      <c r="F29" s="197"/>
      <c r="G29" s="197"/>
      <c r="H29" s="197"/>
      <c r="I29" s="197"/>
      <c r="J29" s="197"/>
    </row>
    <row r="30" spans="1:10" x14ac:dyDescent="0.25">
      <c r="A30" s="198">
        <v>1</v>
      </c>
      <c r="B30" s="199">
        <f>(B24*$B$28*1000)/($B$22*1000000)</f>
        <v>100000</v>
      </c>
      <c r="C30" s="197" t="s">
        <v>494</v>
      </c>
      <c r="D30" s="197"/>
      <c r="E30" s="197"/>
      <c r="F30" s="197"/>
      <c r="G30" s="197"/>
      <c r="H30" s="197"/>
      <c r="I30" s="197"/>
      <c r="J30" s="197"/>
    </row>
    <row r="31" spans="1:10" x14ac:dyDescent="0.25">
      <c r="A31" s="198">
        <v>2</v>
      </c>
      <c r="B31" s="199">
        <f t="shared" ref="B31:B33" si="0">(B25*$B$28*1000)/($B$22*1000000)</f>
        <v>950000</v>
      </c>
      <c r="C31" s="197"/>
      <c r="D31" s="197"/>
      <c r="E31" s="197"/>
      <c r="F31" s="197"/>
      <c r="G31" s="197"/>
      <c r="H31" s="197"/>
      <c r="I31" s="197"/>
      <c r="J31" s="197"/>
    </row>
    <row r="32" spans="1:10" x14ac:dyDescent="0.25">
      <c r="A32" s="198">
        <v>3</v>
      </c>
      <c r="B32" s="199">
        <f t="shared" si="0"/>
        <v>950000</v>
      </c>
      <c r="C32" s="197"/>
      <c r="D32" s="197"/>
      <c r="E32" s="197"/>
      <c r="F32" s="197"/>
      <c r="G32" s="197"/>
      <c r="H32" s="197"/>
      <c r="I32" s="197"/>
      <c r="J32" s="197"/>
    </row>
    <row r="33" spans="1:10" x14ac:dyDescent="0.25">
      <c r="A33" s="198">
        <v>4</v>
      </c>
      <c r="B33" s="199">
        <f t="shared" si="0"/>
        <v>2000000</v>
      </c>
      <c r="C33" s="197"/>
      <c r="D33" s="197"/>
      <c r="E33" s="197"/>
      <c r="F33" s="197"/>
      <c r="G33" s="197"/>
      <c r="H33" s="197"/>
      <c r="I33" s="197"/>
      <c r="J33" s="197"/>
    </row>
    <row r="34" spans="1:10" x14ac:dyDescent="0.25">
      <c r="A34" s="197" t="s">
        <v>496</v>
      </c>
      <c r="B34" s="197"/>
      <c r="C34" s="197"/>
      <c r="D34" s="197"/>
      <c r="E34" s="197"/>
      <c r="F34" s="197"/>
      <c r="G34" s="197"/>
      <c r="H34" s="197"/>
      <c r="I34" s="197"/>
      <c r="J34" s="197"/>
    </row>
    <row r="35" spans="1:10" x14ac:dyDescent="0.25">
      <c r="A35" s="198" t="s">
        <v>497</v>
      </c>
      <c r="B35" s="197">
        <v>24</v>
      </c>
      <c r="C35" s="197" t="s">
        <v>505</v>
      </c>
      <c r="D35" s="197"/>
      <c r="E35" s="197"/>
      <c r="F35" s="197"/>
      <c r="G35" s="197"/>
      <c r="H35" s="197"/>
      <c r="I35" s="197"/>
      <c r="J35" s="197"/>
    </row>
    <row r="36" spans="1:10" x14ac:dyDescent="0.25">
      <c r="A36" s="198" t="s">
        <v>498</v>
      </c>
      <c r="B36" s="197">
        <v>16</v>
      </c>
      <c r="C36" s="197" t="s">
        <v>505</v>
      </c>
      <c r="D36" s="197"/>
      <c r="E36" s="197"/>
      <c r="F36" s="197"/>
      <c r="G36" s="197"/>
      <c r="H36" s="197"/>
      <c r="I36" s="197"/>
      <c r="J36" s="197"/>
    </row>
    <row r="37" spans="1:10" x14ac:dyDescent="0.25">
      <c r="A37" s="198" t="s">
        <v>499</v>
      </c>
      <c r="B37" s="197">
        <v>16</v>
      </c>
      <c r="C37" s="197" t="s">
        <v>505</v>
      </c>
      <c r="D37" s="197"/>
      <c r="E37" s="197"/>
      <c r="F37" s="197"/>
      <c r="G37" s="197"/>
      <c r="H37" s="197"/>
      <c r="I37" s="197"/>
      <c r="J37" s="197"/>
    </row>
    <row r="38" spans="1:10" x14ac:dyDescent="0.25">
      <c r="A38" s="198" t="s">
        <v>500</v>
      </c>
      <c r="B38" s="197">
        <v>8</v>
      </c>
      <c r="C38" s="197" t="s">
        <v>505</v>
      </c>
      <c r="D38" s="197"/>
      <c r="E38" s="197"/>
      <c r="F38" s="197"/>
      <c r="G38" s="197"/>
      <c r="H38" s="197"/>
      <c r="I38" s="197"/>
      <c r="J38" s="197"/>
    </row>
    <row r="39" spans="1:10" x14ac:dyDescent="0.25">
      <c r="A39" s="198" t="s">
        <v>501</v>
      </c>
      <c r="B39" s="201">
        <f>(B35*LN(B24/B30))/LN(2)</f>
        <v>159.45254855459342</v>
      </c>
      <c r="C39" s="197" t="s">
        <v>505</v>
      </c>
      <c r="D39" s="197"/>
      <c r="E39" s="197"/>
      <c r="F39" s="197"/>
      <c r="G39" s="197"/>
      <c r="H39" s="197"/>
      <c r="I39" s="197"/>
      <c r="J39" s="197"/>
    </row>
    <row r="40" spans="1:10" x14ac:dyDescent="0.25">
      <c r="A40" s="198" t="s">
        <v>502</v>
      </c>
      <c r="B40" s="201">
        <f t="shared" ref="B40:B42" si="1">(B36*LN(B25/B31))/LN(2)</f>
        <v>106.3016990363956</v>
      </c>
      <c r="C40" s="197" t="s">
        <v>505</v>
      </c>
      <c r="D40" s="197"/>
      <c r="E40" s="197"/>
      <c r="F40" s="197"/>
      <c r="G40" s="197"/>
      <c r="H40" s="197"/>
      <c r="I40" s="197"/>
      <c r="J40" s="197"/>
    </row>
    <row r="41" spans="1:10" x14ac:dyDescent="0.25">
      <c r="A41" s="198" t="s">
        <v>503</v>
      </c>
      <c r="B41" s="201">
        <f t="shared" si="1"/>
        <v>106.3016990363956</v>
      </c>
      <c r="C41" s="197" t="s">
        <v>505</v>
      </c>
      <c r="D41" s="197"/>
      <c r="E41" s="197"/>
      <c r="F41" s="197"/>
      <c r="G41" s="197"/>
      <c r="H41" s="197"/>
      <c r="I41" s="197"/>
      <c r="J41" s="197"/>
    </row>
    <row r="42" spans="1:10" x14ac:dyDescent="0.25">
      <c r="A42" s="198" t="s">
        <v>504</v>
      </c>
      <c r="B42" s="201">
        <f t="shared" si="1"/>
        <v>53.150849518197802</v>
      </c>
      <c r="C42" s="197" t="s">
        <v>505</v>
      </c>
      <c r="D42" s="197"/>
      <c r="E42" s="197"/>
      <c r="F42" s="197"/>
      <c r="G42" s="197"/>
      <c r="H42" s="197"/>
      <c r="I42" s="197"/>
      <c r="J42" s="197"/>
    </row>
    <row r="43" spans="1:10" x14ac:dyDescent="0.25">
      <c r="A43" s="197"/>
      <c r="B43" s="197"/>
      <c r="C43" s="197"/>
      <c r="D43" s="197"/>
      <c r="E43" s="197"/>
      <c r="F43" s="197"/>
      <c r="G43" s="197"/>
      <c r="H43" s="197"/>
      <c r="I43" s="197"/>
      <c r="J43" s="19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I28" sqref="I28"/>
    </sheetView>
  </sheetViews>
  <sheetFormatPr defaultColWidth="9.140625" defaultRowHeight="15.75" x14ac:dyDescent="0.25"/>
  <cols>
    <col min="1" max="1" width="28.140625" style="35" customWidth="1"/>
    <col min="2" max="2" width="15.42578125" style="19" customWidth="1"/>
    <col min="3" max="3" width="15.42578125" style="20" customWidth="1"/>
    <col min="4" max="4" width="13.7109375" style="21" customWidth="1"/>
    <col min="5" max="16384" width="9.140625" style="21"/>
  </cols>
  <sheetData>
    <row r="1" spans="1:4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4" ht="18" x14ac:dyDescent="0.25">
      <c r="A2" s="35" t="s">
        <v>94</v>
      </c>
      <c r="B2" s="23">
        <f>'Protein Areal Productivity'!B11</f>
        <v>2.3067514542951146</v>
      </c>
      <c r="C2" s="20" t="s">
        <v>98</v>
      </c>
      <c r="D2" s="21" t="s">
        <v>439</v>
      </c>
    </row>
    <row r="3" spans="1:4" ht="18" x14ac:dyDescent="0.25">
      <c r="A3" s="35" t="s">
        <v>95</v>
      </c>
      <c r="B3" s="23">
        <f>'Calorie Areal Productivity'!B10</f>
        <v>2.2779786577299581</v>
      </c>
      <c r="C3" s="20" t="s">
        <v>98</v>
      </c>
      <c r="D3" s="21" t="s">
        <v>440</v>
      </c>
    </row>
    <row r="4" spans="1:4" ht="18" x14ac:dyDescent="0.25">
      <c r="A4" s="35" t="s">
        <v>96</v>
      </c>
      <c r="B4" s="23">
        <f>SUM(B2:B3)</f>
        <v>4.5847301120250723</v>
      </c>
      <c r="C4" s="20" t="s">
        <v>98</v>
      </c>
      <c r="D4" s="21" t="s">
        <v>97</v>
      </c>
    </row>
    <row r="6" spans="1:4" ht="31.5" x14ac:dyDescent="0.25">
      <c r="A6" s="18" t="s">
        <v>48</v>
      </c>
      <c r="B6" s="23">
        <v>0.18</v>
      </c>
      <c r="C6" s="20" t="s">
        <v>68</v>
      </c>
      <c r="D6" s="20" t="s">
        <v>33</v>
      </c>
    </row>
    <row r="7" spans="1:4" ht="31.5" x14ac:dyDescent="0.25">
      <c r="A7" s="18" t="s">
        <v>61</v>
      </c>
      <c r="B7" s="23">
        <v>1.4</v>
      </c>
      <c r="C7" s="20" t="s">
        <v>80</v>
      </c>
      <c r="D7" s="20" t="s">
        <v>33</v>
      </c>
    </row>
    <row r="8" spans="1:4" x14ac:dyDescent="0.25">
      <c r="A8" s="18" t="s">
        <v>58</v>
      </c>
      <c r="B8" s="24">
        <v>4.1840000000000002E-3</v>
      </c>
      <c r="C8" s="20" t="s">
        <v>92</v>
      </c>
      <c r="D8" s="21" t="s">
        <v>76</v>
      </c>
    </row>
    <row r="9" spans="1:4" x14ac:dyDescent="0.25">
      <c r="A9" s="35" t="s">
        <v>270</v>
      </c>
      <c r="B9" s="19">
        <v>1000</v>
      </c>
      <c r="C9" s="20" t="s">
        <v>445</v>
      </c>
      <c r="D9" s="21" t="s">
        <v>76</v>
      </c>
    </row>
    <row r="10" spans="1:4" ht="18" x14ac:dyDescent="0.25">
      <c r="A10" s="36" t="s">
        <v>49</v>
      </c>
      <c r="B10" s="30">
        <f>(1/B4)*B6*B9</f>
        <v>39.260762488044058</v>
      </c>
      <c r="C10" s="31" t="s">
        <v>99</v>
      </c>
      <c r="D10" s="37"/>
    </row>
    <row r="11" spans="1:4" ht="18" x14ac:dyDescent="0.25">
      <c r="A11" s="36" t="s">
        <v>89</v>
      </c>
      <c r="B11" s="30">
        <f>(1/B4)*(B7*B9)*B8</f>
        <v>1.2776324574998159</v>
      </c>
      <c r="C11" s="31" t="s">
        <v>93</v>
      </c>
      <c r="D11" s="37"/>
    </row>
    <row r="16" spans="1:4" x14ac:dyDescent="0.25">
      <c r="A16" s="173" t="s">
        <v>443</v>
      </c>
      <c r="B16" s="99"/>
      <c r="C16" s="174"/>
      <c r="D16" s="98"/>
    </row>
    <row r="17" spans="1:4" ht="18" x14ac:dyDescent="0.25">
      <c r="A17" s="175" t="s">
        <v>442</v>
      </c>
      <c r="B17" s="176">
        <v>5.5</v>
      </c>
      <c r="C17" s="177" t="s">
        <v>444</v>
      </c>
      <c r="D17" s="178" t="s">
        <v>155</v>
      </c>
    </row>
    <row r="18" spans="1:4" ht="31.5" x14ac:dyDescent="0.25">
      <c r="A18" s="18" t="s">
        <v>48</v>
      </c>
      <c r="B18" s="23">
        <v>0.18</v>
      </c>
      <c r="C18" s="20" t="s">
        <v>68</v>
      </c>
      <c r="D18" s="20" t="s">
        <v>33</v>
      </c>
    </row>
    <row r="19" spans="1:4" ht="31.5" x14ac:dyDescent="0.25">
      <c r="A19" s="18" t="s">
        <v>61</v>
      </c>
      <c r="B19" s="23">
        <v>1.4</v>
      </c>
      <c r="C19" s="20" t="s">
        <v>80</v>
      </c>
      <c r="D19" s="20" t="s">
        <v>33</v>
      </c>
    </row>
    <row r="20" spans="1:4" x14ac:dyDescent="0.25">
      <c r="A20" s="18" t="s">
        <v>58</v>
      </c>
      <c r="B20" s="24">
        <v>4.1840000000000002E-3</v>
      </c>
      <c r="C20" s="20" t="s">
        <v>92</v>
      </c>
      <c r="D20" s="21" t="s">
        <v>76</v>
      </c>
    </row>
    <row r="21" spans="1:4" ht="18" x14ac:dyDescent="0.25">
      <c r="A21" s="36" t="s">
        <v>49</v>
      </c>
      <c r="B21" s="30">
        <f>(1/B17)*B18*B9</f>
        <v>32.727272727272727</v>
      </c>
      <c r="C21" s="31" t="s">
        <v>99</v>
      </c>
      <c r="D21" s="37"/>
    </row>
    <row r="22" spans="1:4" ht="18" x14ac:dyDescent="0.25">
      <c r="A22" s="36" t="s">
        <v>89</v>
      </c>
      <c r="B22" s="30">
        <f>(1/B17)*(B19*B9)*B20</f>
        <v>1.0650181818181819</v>
      </c>
      <c r="C22" s="31" t="s">
        <v>93</v>
      </c>
      <c r="D22" s="37"/>
    </row>
    <row r="25" spans="1:4" x14ac:dyDescent="0.25">
      <c r="A25" s="173" t="s">
        <v>446</v>
      </c>
      <c r="B25" s="99"/>
      <c r="C25" s="174"/>
      <c r="D25" s="98"/>
    </row>
    <row r="26" spans="1:4" ht="31.5" x14ac:dyDescent="0.25">
      <c r="A26" s="175" t="s">
        <v>448</v>
      </c>
      <c r="B26" s="176">
        <v>1.8</v>
      </c>
      <c r="C26" s="177" t="s">
        <v>444</v>
      </c>
      <c r="D26" s="178" t="s">
        <v>447</v>
      </c>
    </row>
    <row r="27" spans="1:4" ht="31.5" x14ac:dyDescent="0.25">
      <c r="A27" s="18" t="s">
        <v>48</v>
      </c>
      <c r="B27" s="23">
        <v>0.18</v>
      </c>
      <c r="C27" s="20" t="s">
        <v>68</v>
      </c>
      <c r="D27" s="20" t="s">
        <v>33</v>
      </c>
    </row>
    <row r="28" spans="1:4" ht="31.5" x14ac:dyDescent="0.25">
      <c r="A28" s="18" t="s">
        <v>61</v>
      </c>
      <c r="B28" s="23">
        <v>1.4</v>
      </c>
      <c r="C28" s="20" t="s">
        <v>80</v>
      </c>
      <c r="D28" s="20" t="s">
        <v>33</v>
      </c>
    </row>
    <row r="29" spans="1:4" x14ac:dyDescent="0.25">
      <c r="A29" s="18" t="s">
        <v>58</v>
      </c>
      <c r="B29" s="24">
        <v>4.1840000000000002E-3</v>
      </c>
      <c r="C29" s="20" t="s">
        <v>92</v>
      </c>
      <c r="D29" s="21" t="s">
        <v>76</v>
      </c>
    </row>
    <row r="30" spans="1:4" ht="18" x14ac:dyDescent="0.25">
      <c r="A30" s="36" t="s">
        <v>49</v>
      </c>
      <c r="B30" s="30">
        <f>(1/B26)*B27*B9</f>
        <v>100</v>
      </c>
      <c r="C30" s="31" t="s">
        <v>99</v>
      </c>
      <c r="D30" s="37"/>
    </row>
    <row r="31" spans="1:4" ht="18" x14ac:dyDescent="0.25">
      <c r="A31" s="36" t="s">
        <v>89</v>
      </c>
      <c r="B31" s="30">
        <f>(1/B26)*(B28*B9)*B29</f>
        <v>3.2542222222222228</v>
      </c>
      <c r="C31" s="31" t="s">
        <v>93</v>
      </c>
      <c r="D31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16" sqref="D16"/>
    </sheetView>
  </sheetViews>
  <sheetFormatPr defaultColWidth="9.140625" defaultRowHeight="15.75" x14ac:dyDescent="0.25"/>
  <cols>
    <col min="1" max="1" width="18.85546875" style="18" customWidth="1"/>
    <col min="2" max="2" width="18.85546875" style="19" customWidth="1"/>
    <col min="3" max="4" width="18.85546875" style="20" customWidth="1"/>
    <col min="5" max="7" width="9.140625" style="21"/>
    <col min="8" max="8" width="17.5703125" style="21" customWidth="1"/>
    <col min="9" max="10" width="9.140625" style="21"/>
    <col min="11" max="11" width="22.28515625" style="21" customWidth="1"/>
    <col min="12" max="16384" width="9.140625" style="21"/>
  </cols>
  <sheetData>
    <row r="1" spans="1:11" s="13" customFormat="1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11" ht="47.25" x14ac:dyDescent="0.25">
      <c r="A2" s="18" t="s">
        <v>64</v>
      </c>
      <c r="B2" s="19">
        <v>0.24</v>
      </c>
      <c r="C2" s="20" t="s">
        <v>67</v>
      </c>
      <c r="D2" s="20" t="s">
        <v>65</v>
      </c>
    </row>
    <row r="3" spans="1:11" ht="31.5" x14ac:dyDescent="0.25">
      <c r="A3" s="18" t="s">
        <v>48</v>
      </c>
      <c r="B3" s="23">
        <v>0.18</v>
      </c>
      <c r="C3" s="20" t="s">
        <v>68</v>
      </c>
      <c r="D3" s="20" t="s">
        <v>33</v>
      </c>
    </row>
    <row r="4" spans="1:11" ht="31.5" x14ac:dyDescent="0.25">
      <c r="A4" s="18" t="s">
        <v>66</v>
      </c>
      <c r="B4" s="19">
        <f>B3/B2</f>
        <v>0.75</v>
      </c>
      <c r="C4" s="20" t="s">
        <v>69</v>
      </c>
      <c r="D4" s="20" t="s">
        <v>72</v>
      </c>
    </row>
    <row r="5" spans="1:11" x14ac:dyDescent="0.25">
      <c r="A5" s="18" t="s">
        <v>103</v>
      </c>
      <c r="B5" s="19">
        <v>0.2</v>
      </c>
      <c r="C5" s="20" t="s">
        <v>104</v>
      </c>
    </row>
    <row r="6" spans="1:11" ht="31.5" x14ac:dyDescent="0.25">
      <c r="A6" s="18" t="s">
        <v>105</v>
      </c>
      <c r="B6" s="19">
        <v>0.8</v>
      </c>
      <c r="C6" s="20" t="s">
        <v>106</v>
      </c>
    </row>
    <row r="7" spans="1:11" ht="31.5" x14ac:dyDescent="0.25">
      <c r="A7" s="18" t="s">
        <v>45</v>
      </c>
      <c r="B7" s="26">
        <v>0.48</v>
      </c>
      <c r="C7" s="22" t="s">
        <v>102</v>
      </c>
      <c r="D7" s="22" t="s">
        <v>33</v>
      </c>
    </row>
    <row r="8" spans="1:11" ht="47.25" x14ac:dyDescent="0.25">
      <c r="A8" s="18" t="s">
        <v>34</v>
      </c>
      <c r="B8" s="27">
        <v>0.8</v>
      </c>
      <c r="C8" s="22" t="s">
        <v>107</v>
      </c>
      <c r="D8" s="22" t="s">
        <v>33</v>
      </c>
      <c r="K8" s="4"/>
    </row>
    <row r="9" spans="1:11" ht="47.25" x14ac:dyDescent="0.25">
      <c r="A9" s="18" t="s">
        <v>45</v>
      </c>
      <c r="B9" s="19">
        <f>B7*B8*B6</f>
        <v>0.30720000000000003</v>
      </c>
      <c r="C9" s="20" t="s">
        <v>74</v>
      </c>
      <c r="D9" s="20" t="s">
        <v>73</v>
      </c>
      <c r="H9" s="18"/>
      <c r="I9" s="19"/>
      <c r="J9" s="20"/>
      <c r="K9" s="20"/>
    </row>
    <row r="10" spans="1:11" ht="31.5" x14ac:dyDescent="0.25">
      <c r="A10" s="18" t="s">
        <v>70</v>
      </c>
      <c r="B10" s="19">
        <f>B4/B9</f>
        <v>2.4414062499999996</v>
      </c>
      <c r="C10" s="20" t="s">
        <v>71</v>
      </c>
      <c r="D10" s="20" t="s">
        <v>72</v>
      </c>
    </row>
    <row r="11" spans="1:11" ht="47.25" x14ac:dyDescent="0.25">
      <c r="A11" s="18" t="s">
        <v>123</v>
      </c>
      <c r="B11" s="19">
        <f>B10*'Soybean Land Partition'!B18</f>
        <v>2.3067514542951146</v>
      </c>
      <c r="C11" s="20" t="s">
        <v>47</v>
      </c>
      <c r="D11" s="20" t="s">
        <v>124</v>
      </c>
    </row>
    <row r="13" spans="1:11" ht="47.25" x14ac:dyDescent="0.25">
      <c r="A13" s="29" t="s">
        <v>49</v>
      </c>
      <c r="B13" s="30">
        <f>(1/B11)*1000*B3</f>
        <v>78.031813815417522</v>
      </c>
      <c r="C13" s="31" t="s">
        <v>78</v>
      </c>
      <c r="D13" s="31" t="s">
        <v>100</v>
      </c>
    </row>
    <row r="16" spans="1:11" x14ac:dyDescent="0.25">
      <c r="A16" s="18" t="s">
        <v>162</v>
      </c>
      <c r="B16" s="19">
        <v>2.4464400000000004</v>
      </c>
      <c r="C16" s="20" t="s">
        <v>3</v>
      </c>
    </row>
    <row r="17" spans="1:3" ht="31.5" x14ac:dyDescent="0.25">
      <c r="A17" s="18" t="s">
        <v>163</v>
      </c>
      <c r="B17" s="43">
        <f>B4-B3</f>
        <v>0.57000000000000006</v>
      </c>
      <c r="C17" s="20" t="s">
        <v>164</v>
      </c>
    </row>
    <row r="18" spans="1:3" x14ac:dyDescent="0.25">
      <c r="A18" s="18" t="s">
        <v>165</v>
      </c>
      <c r="B18" s="19">
        <v>0.16</v>
      </c>
    </row>
    <row r="19" spans="1:3" ht="31.5" x14ac:dyDescent="0.25">
      <c r="A19" s="18" t="s">
        <v>167</v>
      </c>
      <c r="B19" s="19">
        <f>B18*B17</f>
        <v>9.1200000000000017E-2</v>
      </c>
      <c r="C19" s="20" t="s">
        <v>166</v>
      </c>
    </row>
    <row r="20" spans="1:3" x14ac:dyDescent="0.25">
      <c r="A20" s="18" t="s">
        <v>441</v>
      </c>
      <c r="B20" s="44">
        <f>B19*B16</f>
        <v>0.22311532800000008</v>
      </c>
      <c r="C20" s="20" t="s">
        <v>168</v>
      </c>
    </row>
    <row r="22" spans="1:3" x14ac:dyDescent="0.25">
      <c r="B22" s="4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7" sqref="B17"/>
    </sheetView>
  </sheetViews>
  <sheetFormatPr defaultColWidth="9.140625" defaultRowHeight="15.75" x14ac:dyDescent="0.25"/>
  <cols>
    <col min="1" max="1" width="30.42578125" style="32" customWidth="1"/>
    <col min="2" max="2" width="30.42578125" style="19" customWidth="1"/>
    <col min="3" max="4" width="30.42578125" style="20" customWidth="1"/>
    <col min="5" max="16384" width="9.140625" style="21"/>
  </cols>
  <sheetData>
    <row r="1" spans="1:5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5" ht="31.5" x14ac:dyDescent="0.25">
      <c r="A2" s="32" t="s">
        <v>50</v>
      </c>
      <c r="B2" s="19">
        <v>0.17</v>
      </c>
      <c r="C2" s="20" t="s">
        <v>81</v>
      </c>
      <c r="D2" s="20" t="s">
        <v>79</v>
      </c>
    </row>
    <row r="3" spans="1:5" x14ac:dyDescent="0.25">
      <c r="A3" s="18" t="s">
        <v>61</v>
      </c>
      <c r="B3" s="23">
        <v>1.4</v>
      </c>
      <c r="C3" s="20" t="s">
        <v>80</v>
      </c>
      <c r="D3" s="20" t="s">
        <v>33</v>
      </c>
    </row>
    <row r="4" spans="1:5" x14ac:dyDescent="0.25">
      <c r="A4" s="32" t="s">
        <v>82</v>
      </c>
      <c r="B4" s="28">
        <f>(B3/B2)*1000</f>
        <v>8235.2941176470576</v>
      </c>
      <c r="C4" s="20" t="s">
        <v>83</v>
      </c>
    </row>
    <row r="5" spans="1:5" x14ac:dyDescent="0.25">
      <c r="A5" s="33" t="s">
        <v>59</v>
      </c>
      <c r="B5" s="23">
        <v>4000</v>
      </c>
      <c r="C5" s="20" t="s">
        <v>85</v>
      </c>
    </row>
    <row r="6" spans="1:5" x14ac:dyDescent="0.25">
      <c r="A6" s="32" t="s">
        <v>84</v>
      </c>
      <c r="B6" s="23">
        <f>B4/B5</f>
        <v>2.0588235294117645</v>
      </c>
      <c r="C6" s="20" t="s">
        <v>51</v>
      </c>
      <c r="D6" s="20" t="s">
        <v>72</v>
      </c>
    </row>
    <row r="7" spans="1:5" x14ac:dyDescent="0.25">
      <c r="A7" s="32" t="s">
        <v>144</v>
      </c>
      <c r="B7" s="19">
        <f>'Corn Land Partition'!B8</f>
        <v>0.66700000000000004</v>
      </c>
      <c r="C7" s="20" t="s">
        <v>145</v>
      </c>
    </row>
    <row r="8" spans="1:5" x14ac:dyDescent="0.25">
      <c r="A8" s="32" t="s">
        <v>146</v>
      </c>
      <c r="B8" s="25">
        <f>B6/B7</f>
        <v>3.0866919481435748</v>
      </c>
      <c r="C8" s="20" t="s">
        <v>151</v>
      </c>
      <c r="D8" s="20" t="s">
        <v>147</v>
      </c>
    </row>
    <row r="9" spans="1:5" ht="31.5" x14ac:dyDescent="0.25">
      <c r="A9" s="32" t="s">
        <v>148</v>
      </c>
      <c r="B9" s="23">
        <f>'Corn Land Partition'!B15</f>
        <v>0.73799999999999999</v>
      </c>
      <c r="C9" s="20" t="s">
        <v>149</v>
      </c>
    </row>
    <row r="10" spans="1:5" x14ac:dyDescent="0.25">
      <c r="A10" s="32" t="s">
        <v>150</v>
      </c>
      <c r="B10" s="23">
        <f>(B9)*B8</f>
        <v>2.2779786577299581</v>
      </c>
      <c r="C10" s="20" t="s">
        <v>47</v>
      </c>
    </row>
    <row r="14" spans="1:5" x14ac:dyDescent="0.25">
      <c r="A14" s="32" t="s">
        <v>339</v>
      </c>
      <c r="B14" s="19">
        <v>1000</v>
      </c>
      <c r="E14" s="143">
        <f>('Protein Areal Productivity'!B4+'Calorie Areal Productivity'!B6)</f>
        <v>2.8088235294117645</v>
      </c>
    </row>
    <row r="16" spans="1:5" ht="18" x14ac:dyDescent="0.25">
      <c r="A16" s="32" t="s">
        <v>89</v>
      </c>
      <c r="B16" s="23">
        <f>(1/B10)*B3*B14</f>
        <v>614.57994579945807</v>
      </c>
      <c r="C16" s="20" t="s">
        <v>90</v>
      </c>
    </row>
    <row r="17" spans="1:4" x14ac:dyDescent="0.25">
      <c r="A17" s="18" t="s">
        <v>58</v>
      </c>
      <c r="B17" s="24">
        <v>4.1840000000000002E-3</v>
      </c>
      <c r="C17" s="20" t="s">
        <v>92</v>
      </c>
    </row>
    <row r="18" spans="1:4" ht="31.5" x14ac:dyDescent="0.25">
      <c r="A18" s="34" t="s">
        <v>91</v>
      </c>
      <c r="B18" s="30">
        <f>B16*B17</f>
        <v>2.5714024932249329</v>
      </c>
      <c r="C18" s="31" t="s">
        <v>93</v>
      </c>
      <c r="D18" s="3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workbookViewId="0">
      <selection activeCell="B1" sqref="B1"/>
    </sheetView>
  </sheetViews>
  <sheetFormatPr defaultRowHeight="15" x14ac:dyDescent="0.25"/>
  <cols>
    <col min="1" max="1" width="44.5703125" style="11" bestFit="1" customWidth="1"/>
    <col min="2" max="2" width="10" style="11" bestFit="1" customWidth="1"/>
    <col min="3" max="3" width="22" style="11" bestFit="1" customWidth="1"/>
    <col min="4" max="4" width="47.28515625" style="11" customWidth="1"/>
    <col min="5" max="16384" width="9.140625" style="11"/>
  </cols>
  <sheetData>
    <row r="1" spans="1:6" x14ac:dyDescent="0.25">
      <c r="A1" s="145" t="s">
        <v>229</v>
      </c>
      <c r="B1" s="118"/>
      <c r="C1" s="118"/>
    </row>
    <row r="2" spans="1:6" x14ac:dyDescent="0.25">
      <c r="A2" s="11" t="s">
        <v>405</v>
      </c>
      <c r="B2" s="147">
        <f>1/6.25</f>
        <v>0.16</v>
      </c>
    </row>
    <row r="3" spans="1:6" x14ac:dyDescent="0.25">
      <c r="A3" s="11" t="s">
        <v>406</v>
      </c>
      <c r="B3" s="147">
        <v>0.2</v>
      </c>
    </row>
    <row r="4" spans="1:6" x14ac:dyDescent="0.25">
      <c r="A4" s="11" t="s">
        <v>407</v>
      </c>
      <c r="B4" s="11">
        <v>0.98</v>
      </c>
      <c r="E4" s="11">
        <v>365</v>
      </c>
      <c r="F4" s="11" t="s">
        <v>438</v>
      </c>
    </row>
    <row r="5" spans="1:6" x14ac:dyDescent="0.25">
      <c r="A5" s="11" t="s">
        <v>408</v>
      </c>
      <c r="B5" s="148">
        <v>0.5</v>
      </c>
      <c r="E5" s="11">
        <v>1000</v>
      </c>
      <c r="F5" s="11" t="s">
        <v>270</v>
      </c>
    </row>
    <row r="6" spans="1:6" x14ac:dyDescent="0.25">
      <c r="A6" s="11" t="s">
        <v>409</v>
      </c>
      <c r="B6" s="11">
        <v>12.75</v>
      </c>
      <c r="C6" s="11" t="s">
        <v>410</v>
      </c>
    </row>
    <row r="7" spans="1:6" x14ac:dyDescent="0.25">
      <c r="A7" s="11" t="s">
        <v>411</v>
      </c>
      <c r="B7" s="11">
        <v>150</v>
      </c>
      <c r="C7" s="11" t="s">
        <v>412</v>
      </c>
    </row>
    <row r="8" spans="1:6" x14ac:dyDescent="0.25">
      <c r="A8" s="145" t="s">
        <v>413</v>
      </c>
      <c r="B8" s="118"/>
      <c r="C8" s="118"/>
    </row>
    <row r="9" spans="1:6" x14ac:dyDescent="0.25">
      <c r="A9" s="11" t="s">
        <v>414</v>
      </c>
      <c r="B9" s="149">
        <f>'Growth Parameters'!C16/'Growth Parameters'!C9</f>
        <v>1.5757947564394226</v>
      </c>
      <c r="C9" s="11" t="s">
        <v>415</v>
      </c>
    </row>
    <row r="10" spans="1:6" x14ac:dyDescent="0.25">
      <c r="A10" s="11" t="s">
        <v>416</v>
      </c>
      <c r="B10" s="149">
        <f>B9*B2</f>
        <v>0.25212716103030763</v>
      </c>
      <c r="C10" s="11" t="s">
        <v>415</v>
      </c>
    </row>
    <row r="11" spans="1:6" x14ac:dyDescent="0.25">
      <c r="A11" s="150" t="s">
        <v>417</v>
      </c>
    </row>
    <row r="12" spans="1:6" x14ac:dyDescent="0.25">
      <c r="A12" s="11" t="s">
        <v>418</v>
      </c>
      <c r="B12" s="11">
        <v>153</v>
      </c>
      <c r="C12" s="11" t="s">
        <v>228</v>
      </c>
    </row>
    <row r="13" spans="1:6" x14ac:dyDescent="0.25">
      <c r="A13" s="151" t="s">
        <v>419</v>
      </c>
      <c r="B13" s="152">
        <f>B12/'Growth Parameters'!C9</f>
        <v>0.23943661971830985</v>
      </c>
    </row>
    <row r="14" spans="1:6" x14ac:dyDescent="0.25">
      <c r="A14" s="151" t="s">
        <v>420</v>
      </c>
      <c r="B14" s="153">
        <v>8.8999999999999996E-2</v>
      </c>
      <c r="C14" s="11" t="s">
        <v>415</v>
      </c>
    </row>
    <row r="15" spans="1:6" x14ac:dyDescent="0.25">
      <c r="A15" s="11" t="s">
        <v>421</v>
      </c>
      <c r="B15" s="11">
        <f>'Growth Parameters'!C9-'Animals Recoverable N'!B12</f>
        <v>486</v>
      </c>
      <c r="C15" s="11" t="s">
        <v>228</v>
      </c>
    </row>
    <row r="16" spans="1:6" x14ac:dyDescent="0.25">
      <c r="A16" s="151" t="s">
        <v>419</v>
      </c>
      <c r="B16" s="152">
        <f>B15/'Growth Parameters'!C9</f>
        <v>0.76056338028169013</v>
      </c>
    </row>
    <row r="17" spans="1:4" x14ac:dyDescent="0.25">
      <c r="A17" s="151" t="s">
        <v>420</v>
      </c>
      <c r="B17" s="153">
        <v>1.9E-2</v>
      </c>
      <c r="C17" s="11" t="s">
        <v>415</v>
      </c>
    </row>
    <row r="18" spans="1:4" x14ac:dyDescent="0.25">
      <c r="A18" s="11" t="s">
        <v>422</v>
      </c>
      <c r="B18" s="154">
        <f>B16*B17+B13*B14</f>
        <v>3.576056338028169E-2</v>
      </c>
      <c r="C18" s="11" t="s">
        <v>415</v>
      </c>
    </row>
    <row r="19" spans="1:4" x14ac:dyDescent="0.25">
      <c r="A19" s="11" t="s">
        <v>423</v>
      </c>
      <c r="B19" s="155">
        <f>B4*B18</f>
        <v>3.5045352112676058E-2</v>
      </c>
      <c r="C19" s="11" t="s">
        <v>415</v>
      </c>
    </row>
    <row r="20" spans="1:4" x14ac:dyDescent="0.25">
      <c r="A20" s="11" t="s">
        <v>424</v>
      </c>
      <c r="B20" s="155">
        <f>B19*B3</f>
        <v>7.0090704225352117E-3</v>
      </c>
      <c r="C20" s="11" t="s">
        <v>415</v>
      </c>
    </row>
    <row r="21" spans="1:4" x14ac:dyDescent="0.25">
      <c r="A21" s="153" t="s">
        <v>425</v>
      </c>
      <c r="B21" s="156">
        <f>B19-B20</f>
        <v>2.8036281690140847E-2</v>
      </c>
      <c r="C21" s="11" t="s">
        <v>415</v>
      </c>
    </row>
    <row r="22" spans="1:4" x14ac:dyDescent="0.25">
      <c r="A22" s="166" t="s">
        <v>426</v>
      </c>
      <c r="B22" s="167">
        <f>B21/B10</f>
        <v>0.11119897426192281</v>
      </c>
      <c r="C22" s="166"/>
      <c r="D22" s="146"/>
    </row>
    <row r="23" spans="1:4" x14ac:dyDescent="0.25">
      <c r="A23" s="157" t="s">
        <v>427</v>
      </c>
      <c r="B23" s="158">
        <f>B18*'Growth Parameters'!C9</f>
        <v>22.850999999999999</v>
      </c>
      <c r="C23" s="157" t="s">
        <v>428</v>
      </c>
      <c r="D23" s="157"/>
    </row>
    <row r="24" spans="1:4" x14ac:dyDescent="0.25">
      <c r="A24" s="157" t="s">
        <v>427</v>
      </c>
      <c r="B24" s="158">
        <f>B23/('Growth Parameters'!C9/365)</f>
        <v>13.052605633802816</v>
      </c>
      <c r="C24" s="157" t="s">
        <v>429</v>
      </c>
      <c r="D24" s="157"/>
    </row>
    <row r="25" spans="1:4" x14ac:dyDescent="0.25">
      <c r="A25" s="159" t="s">
        <v>430</v>
      </c>
      <c r="B25" s="160">
        <f>B24/(B6*E4/E5)</f>
        <v>2.8047500690417011</v>
      </c>
      <c r="C25" s="159" t="s">
        <v>431</v>
      </c>
      <c r="D25" s="159"/>
    </row>
    <row r="26" spans="1:4" x14ac:dyDescent="0.25">
      <c r="A26" s="159" t="s">
        <v>430</v>
      </c>
      <c r="B26" s="161">
        <f>B25/'Growth Parameters'!C6</f>
        <v>1.1817014108090575E-2</v>
      </c>
      <c r="C26" s="159" t="s">
        <v>432</v>
      </c>
      <c r="D26" s="159"/>
    </row>
    <row r="27" spans="1:4" x14ac:dyDescent="0.25">
      <c r="A27" s="145" t="s">
        <v>360</v>
      </c>
      <c r="B27" s="118"/>
      <c r="C27" s="118" t="s">
        <v>433</v>
      </c>
    </row>
    <row r="28" spans="1:4" x14ac:dyDescent="0.25">
      <c r="A28" s="11" t="s">
        <v>414</v>
      </c>
      <c r="B28" s="162">
        <f>'Growth Parameters'!D16/'Growth Parameters'!D9</f>
        <v>1.9519442406456346E-2</v>
      </c>
      <c r="C28" s="11" t="s">
        <v>330</v>
      </c>
    </row>
    <row r="29" spans="1:4" x14ac:dyDescent="0.25">
      <c r="A29" s="11" t="s">
        <v>434</v>
      </c>
      <c r="B29" s="154">
        <f>B2*B28</f>
        <v>3.1231107850330153E-3</v>
      </c>
      <c r="C29" s="11" t="s">
        <v>330</v>
      </c>
    </row>
    <row r="30" spans="1:4" x14ac:dyDescent="0.25">
      <c r="A30" s="11" t="s">
        <v>435</v>
      </c>
      <c r="B30" s="156">
        <v>8.0000000000000004E-4</v>
      </c>
      <c r="C30" s="11" t="s">
        <v>330</v>
      </c>
    </row>
    <row r="31" spans="1:4" x14ac:dyDescent="0.25">
      <c r="A31" s="11" t="s">
        <v>423</v>
      </c>
      <c r="B31" s="163">
        <f>B30*B4</f>
        <v>7.8399999999999997E-4</v>
      </c>
      <c r="C31" s="11" t="s">
        <v>330</v>
      </c>
    </row>
    <row r="32" spans="1:4" x14ac:dyDescent="0.25">
      <c r="A32" s="11" t="s">
        <v>424</v>
      </c>
      <c r="B32" s="164">
        <f>B31*B3</f>
        <v>1.5680000000000002E-4</v>
      </c>
      <c r="C32" s="11" t="s">
        <v>330</v>
      </c>
    </row>
    <row r="33" spans="1:4" x14ac:dyDescent="0.25">
      <c r="A33" s="11" t="s">
        <v>436</v>
      </c>
      <c r="B33" s="156">
        <f>B31-B32</f>
        <v>6.2719999999999996E-4</v>
      </c>
      <c r="C33" s="11" t="s">
        <v>330</v>
      </c>
    </row>
    <row r="34" spans="1:4" x14ac:dyDescent="0.25">
      <c r="A34" s="166" t="s">
        <v>426</v>
      </c>
      <c r="B34" s="167">
        <f>B33/B29</f>
        <v>0.20082540875775229</v>
      </c>
      <c r="C34" s="166"/>
      <c r="D34" s="146"/>
    </row>
    <row r="35" spans="1:4" x14ac:dyDescent="0.25">
      <c r="A35" s="145" t="s">
        <v>364</v>
      </c>
      <c r="B35" s="118"/>
      <c r="C35" s="118" t="s">
        <v>433</v>
      </c>
    </row>
    <row r="36" spans="1:4" x14ac:dyDescent="0.25">
      <c r="A36" s="11" t="s">
        <v>437</v>
      </c>
      <c r="B36" s="149">
        <f>'Growth Parameters'!B16/'Growth Parameters'!B9</f>
        <v>0.37460677555958866</v>
      </c>
      <c r="C36" s="11" t="s">
        <v>330</v>
      </c>
    </row>
    <row r="37" spans="1:4" x14ac:dyDescent="0.25">
      <c r="A37" s="11" t="s">
        <v>434</v>
      </c>
      <c r="B37" s="149">
        <f>B2*B36</f>
        <v>5.9937084089534187E-2</v>
      </c>
      <c r="C37" s="11" t="s">
        <v>330</v>
      </c>
      <c r="D37" s="152"/>
    </row>
    <row r="38" spans="1:4" x14ac:dyDescent="0.25">
      <c r="A38" s="11" t="s">
        <v>435</v>
      </c>
      <c r="B38" s="155">
        <v>2.8000000000000001E-2</v>
      </c>
      <c r="C38" s="11" t="s">
        <v>330</v>
      </c>
      <c r="D38" s="152"/>
    </row>
    <row r="39" spans="1:4" x14ac:dyDescent="0.25">
      <c r="A39" s="11" t="s">
        <v>423</v>
      </c>
      <c r="B39" s="155">
        <f>B38*B4</f>
        <v>2.7439999999999999E-2</v>
      </c>
      <c r="C39" s="11" t="s">
        <v>330</v>
      </c>
      <c r="D39" s="152"/>
    </row>
    <row r="40" spans="1:4" x14ac:dyDescent="0.25">
      <c r="A40" s="11" t="s">
        <v>424</v>
      </c>
      <c r="B40" s="149">
        <f>B39*B3</f>
        <v>5.4879999999999998E-3</v>
      </c>
      <c r="C40" s="11" t="s">
        <v>330</v>
      </c>
      <c r="D40" s="152"/>
    </row>
    <row r="41" spans="1:4" x14ac:dyDescent="0.25">
      <c r="A41" s="11" t="s">
        <v>436</v>
      </c>
      <c r="B41" s="165">
        <f>B39-B40</f>
        <v>2.1951999999999999E-2</v>
      </c>
      <c r="C41" s="11" t="s">
        <v>330</v>
      </c>
    </row>
    <row r="42" spans="1:4" x14ac:dyDescent="0.25">
      <c r="A42" s="166" t="s">
        <v>426</v>
      </c>
      <c r="B42" s="168">
        <f>B41/B37</f>
        <v>0.36625071662158337</v>
      </c>
      <c r="C42" s="166"/>
      <c r="D42" s="14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"/>
  <sheetViews>
    <sheetView topLeftCell="A28" workbookViewId="0">
      <selection activeCell="B50" sqref="B50"/>
    </sheetView>
  </sheetViews>
  <sheetFormatPr defaultRowHeight="15" x14ac:dyDescent="0.25"/>
  <cols>
    <col min="1" max="1" width="27.42578125" bestFit="1" customWidth="1"/>
    <col min="2" max="2" width="31.140625" style="46" bestFit="1" customWidth="1"/>
    <col min="3" max="3" width="17.7109375" style="46" customWidth="1"/>
    <col min="4" max="4" width="37.7109375" bestFit="1" customWidth="1"/>
    <col min="5" max="5" width="12.140625" customWidth="1"/>
  </cols>
  <sheetData>
    <row r="1" spans="1:4" s="1" customFormat="1" x14ac:dyDescent="0.25">
      <c r="A1" s="1" t="s">
        <v>229</v>
      </c>
      <c r="B1" s="6" t="s">
        <v>32</v>
      </c>
      <c r="C1" s="6" t="s">
        <v>31</v>
      </c>
      <c r="D1" s="1" t="s">
        <v>63</v>
      </c>
    </row>
    <row r="2" spans="1:4" x14ac:dyDescent="0.25">
      <c r="A2" t="s">
        <v>176</v>
      </c>
      <c r="B2" s="46" t="s">
        <v>177</v>
      </c>
      <c r="C2" s="46">
        <v>30</v>
      </c>
      <c r="D2" t="s">
        <v>155</v>
      </c>
    </row>
    <row r="3" spans="1:4" x14ac:dyDescent="0.25">
      <c r="A3" t="s">
        <v>178</v>
      </c>
      <c r="B3" s="46" t="s">
        <v>179</v>
      </c>
      <c r="C3" s="46">
        <v>345</v>
      </c>
      <c r="D3" t="s">
        <v>155</v>
      </c>
    </row>
    <row r="4" spans="1:4" x14ac:dyDescent="0.25">
      <c r="A4" t="s">
        <v>180</v>
      </c>
      <c r="B4" s="46" t="s">
        <v>181</v>
      </c>
      <c r="C4" s="46">
        <v>0.18</v>
      </c>
      <c r="D4" t="s">
        <v>29</v>
      </c>
    </row>
    <row r="5" spans="1:4" x14ac:dyDescent="0.25">
      <c r="A5" t="s">
        <v>182</v>
      </c>
      <c r="B5" s="46" t="s">
        <v>183</v>
      </c>
      <c r="C5" s="46">
        <v>0.24</v>
      </c>
      <c r="D5" t="s">
        <v>65</v>
      </c>
    </row>
    <row r="6" spans="1:4" x14ac:dyDescent="0.25">
      <c r="A6" t="s">
        <v>184</v>
      </c>
      <c r="B6" s="46" t="s">
        <v>185</v>
      </c>
      <c r="C6" s="46">
        <v>0.83</v>
      </c>
    </row>
    <row r="7" spans="1:4" x14ac:dyDescent="0.25">
      <c r="A7" t="s">
        <v>186</v>
      </c>
      <c r="B7" s="47" t="s">
        <v>187</v>
      </c>
      <c r="C7" s="50">
        <v>10000000</v>
      </c>
      <c r="D7" t="s">
        <v>188</v>
      </c>
    </row>
    <row r="8" spans="1:4" x14ac:dyDescent="0.25">
      <c r="A8" t="s">
        <v>174</v>
      </c>
      <c r="B8" s="46" t="s">
        <v>169</v>
      </c>
      <c r="C8" s="46">
        <v>168</v>
      </c>
      <c r="D8" t="s">
        <v>189</v>
      </c>
    </row>
    <row r="9" spans="1:4" x14ac:dyDescent="0.25">
      <c r="A9" t="s">
        <v>206</v>
      </c>
      <c r="B9" s="46" t="s">
        <v>207</v>
      </c>
      <c r="C9" s="46">
        <v>0.35</v>
      </c>
      <c r="D9" t="s">
        <v>208</v>
      </c>
    </row>
    <row r="10" spans="1:4" x14ac:dyDescent="0.25">
      <c r="A10" t="s">
        <v>307</v>
      </c>
      <c r="B10" s="46" t="s">
        <v>308</v>
      </c>
      <c r="C10" s="59">
        <v>1.2500000000000001E-2</v>
      </c>
      <c r="D10" t="s">
        <v>309</v>
      </c>
    </row>
    <row r="11" spans="1:4" x14ac:dyDescent="0.25">
      <c r="A11" t="s">
        <v>315</v>
      </c>
      <c r="B11" s="46" t="s">
        <v>308</v>
      </c>
      <c r="C11" s="59">
        <v>3.5000000000000001E-3</v>
      </c>
      <c r="D11" t="s">
        <v>316</v>
      </c>
    </row>
    <row r="12" spans="1:4" x14ac:dyDescent="0.25">
      <c r="A12" t="s">
        <v>320</v>
      </c>
      <c r="B12" s="46" t="s">
        <v>321</v>
      </c>
      <c r="C12" s="59">
        <v>2.4500000000000002</v>
      </c>
      <c r="D12" t="s">
        <v>322</v>
      </c>
    </row>
    <row r="13" spans="1:4" x14ac:dyDescent="0.25">
      <c r="C13" s="59"/>
    </row>
    <row r="14" spans="1:4" x14ac:dyDescent="0.25">
      <c r="A14" s="1" t="s">
        <v>190</v>
      </c>
      <c r="B14" s="6" t="s">
        <v>32</v>
      </c>
      <c r="C14" s="6" t="s">
        <v>31</v>
      </c>
      <c r="D14" s="1" t="s">
        <v>63</v>
      </c>
    </row>
    <row r="15" spans="1:4" x14ac:dyDescent="0.25">
      <c r="A15" t="s">
        <v>191</v>
      </c>
      <c r="B15" s="46" t="s">
        <v>175</v>
      </c>
      <c r="C15" s="9">
        <v>1609.34</v>
      </c>
    </row>
    <row r="16" spans="1:4" x14ac:dyDescent="0.25">
      <c r="A16" s="7" t="s">
        <v>173</v>
      </c>
      <c r="B16" s="46" t="s">
        <v>157</v>
      </c>
      <c r="C16" s="9">
        <v>997</v>
      </c>
    </row>
    <row r="17" spans="1:11" x14ac:dyDescent="0.25">
      <c r="A17" t="s">
        <v>203</v>
      </c>
      <c r="B17" s="46" t="s">
        <v>204</v>
      </c>
      <c r="C17" s="46">
        <v>0.16</v>
      </c>
    </row>
    <row r="18" spans="1:11" x14ac:dyDescent="0.25">
      <c r="A18" t="s">
        <v>209</v>
      </c>
      <c r="B18" s="46" t="s">
        <v>210</v>
      </c>
      <c r="C18" s="46">
        <v>10000</v>
      </c>
    </row>
    <row r="19" spans="1:11" x14ac:dyDescent="0.25">
      <c r="A19" t="s">
        <v>305</v>
      </c>
      <c r="B19" s="46" t="s">
        <v>306</v>
      </c>
      <c r="C19" s="46">
        <v>264.17200000000003</v>
      </c>
    </row>
    <row r="21" spans="1:11" x14ac:dyDescent="0.25">
      <c r="A21" s="1" t="s">
        <v>192</v>
      </c>
      <c r="B21" s="6" t="s">
        <v>32</v>
      </c>
      <c r="C21" s="6" t="s">
        <v>31</v>
      </c>
      <c r="D21" s="1" t="s">
        <v>63</v>
      </c>
    </row>
    <row r="22" spans="1:11" x14ac:dyDescent="0.25">
      <c r="A22" t="s">
        <v>193</v>
      </c>
      <c r="B22" s="46" t="s">
        <v>194</v>
      </c>
      <c r="C22" s="46">
        <f>C4*C3</f>
        <v>62.099999999999994</v>
      </c>
    </row>
    <row r="23" spans="1:11" x14ac:dyDescent="0.25">
      <c r="A23" t="s">
        <v>195</v>
      </c>
      <c r="B23" s="46" t="s">
        <v>196</v>
      </c>
      <c r="C23" s="46">
        <f>C22/C5</f>
        <v>258.75</v>
      </c>
    </row>
    <row r="24" spans="1:11" x14ac:dyDescent="0.25">
      <c r="A24" t="s">
        <v>163</v>
      </c>
      <c r="B24" s="46" t="s">
        <v>197</v>
      </c>
      <c r="C24" s="46">
        <f>C23-C22</f>
        <v>196.65</v>
      </c>
    </row>
    <row r="25" spans="1:11" s="118" customFormat="1" x14ac:dyDescent="0.25">
      <c r="B25" s="119"/>
      <c r="C25" s="119"/>
    </row>
    <row r="26" spans="1:11" x14ac:dyDescent="0.25">
      <c r="A26" s="1" t="s">
        <v>171</v>
      </c>
      <c r="B26" s="6" t="s">
        <v>198</v>
      </c>
      <c r="C26" s="6" t="s">
        <v>199</v>
      </c>
      <c r="D26" s="1" t="s">
        <v>230</v>
      </c>
      <c r="J26" s="46"/>
      <c r="K26" s="46"/>
    </row>
    <row r="27" spans="1:11" x14ac:dyDescent="0.25">
      <c r="A27" t="s">
        <v>200</v>
      </c>
      <c r="B27" s="46">
        <v>25</v>
      </c>
      <c r="C27" s="46">
        <v>10</v>
      </c>
      <c r="D27" t="s">
        <v>188</v>
      </c>
      <c r="J27" s="46"/>
      <c r="K27" s="46"/>
    </row>
    <row r="28" spans="1:11" x14ac:dyDescent="0.25">
      <c r="A28" t="s">
        <v>201</v>
      </c>
      <c r="B28" s="48">
        <f>$C$7/B27</f>
        <v>400000</v>
      </c>
      <c r="C28" s="48">
        <f>$C$7/C27</f>
        <v>1000000</v>
      </c>
      <c r="D28" t="s">
        <v>213</v>
      </c>
      <c r="J28" s="51"/>
      <c r="K28" s="51"/>
    </row>
    <row r="29" spans="1:11" x14ac:dyDescent="0.25">
      <c r="A29" t="s">
        <v>202</v>
      </c>
      <c r="B29" s="48">
        <f>B28/$C$3</f>
        <v>1159.4202898550725</v>
      </c>
      <c r="C29" s="48">
        <f>C28/$C$3</f>
        <v>2898.550724637681</v>
      </c>
      <c r="D29" t="s">
        <v>214</v>
      </c>
    </row>
    <row r="30" spans="1:11" x14ac:dyDescent="0.25">
      <c r="A30" t="s">
        <v>172</v>
      </c>
      <c r="B30" s="48">
        <f>B29*$C$24*$C$17</f>
        <v>36480</v>
      </c>
      <c r="C30" s="48">
        <f>C29*$C$24*$C$17</f>
        <v>91200</v>
      </c>
      <c r="D30" t="s">
        <v>215</v>
      </c>
    </row>
    <row r="31" spans="1:11" x14ac:dyDescent="0.25">
      <c r="A31" t="s">
        <v>218</v>
      </c>
      <c r="B31" s="48">
        <f>B28*$C$6</f>
        <v>332000</v>
      </c>
      <c r="C31" s="48">
        <f>C28*$C$6</f>
        <v>830000</v>
      </c>
      <c r="D31" t="s">
        <v>220</v>
      </c>
    </row>
    <row r="32" spans="1:11" x14ac:dyDescent="0.25">
      <c r="A32" t="s">
        <v>221</v>
      </c>
      <c r="B32" s="48">
        <f>$C$2*B29</f>
        <v>34782.608695652176</v>
      </c>
      <c r="C32" s="48">
        <f>$C$2*C29</f>
        <v>86956.521739130432</v>
      </c>
      <c r="D32" t="s">
        <v>216</v>
      </c>
    </row>
    <row r="33" spans="1:4" x14ac:dyDescent="0.25">
      <c r="A33" t="s">
        <v>222</v>
      </c>
      <c r="B33" s="48">
        <f>B32-(B31/$C$16)</f>
        <v>34449.609698661203</v>
      </c>
      <c r="C33" s="48">
        <f>C32-(C31/$C$16)</f>
        <v>86124.024246653004</v>
      </c>
      <c r="D33" t="s">
        <v>219</v>
      </c>
    </row>
    <row r="34" spans="1:4" x14ac:dyDescent="0.25">
      <c r="A34" t="s">
        <v>205</v>
      </c>
      <c r="B34" s="10">
        <f>B30/B32</f>
        <v>1.0488</v>
      </c>
      <c r="C34" s="10">
        <f>C30/C32</f>
        <v>1.0488</v>
      </c>
      <c r="D34" t="s">
        <v>217</v>
      </c>
    </row>
    <row r="35" spans="1:4" x14ac:dyDescent="0.25">
      <c r="A35" t="s">
        <v>223</v>
      </c>
      <c r="B35" s="51">
        <f>B30/$C$8</f>
        <v>217.14285714285714</v>
      </c>
      <c r="C35" s="51">
        <f>C30/$C$8</f>
        <v>542.85714285714289</v>
      </c>
      <c r="D35" t="s">
        <v>211</v>
      </c>
    </row>
    <row r="36" spans="1:4" x14ac:dyDescent="0.25">
      <c r="A36" t="s">
        <v>223</v>
      </c>
      <c r="B36" s="48">
        <f>B35/$C$9</f>
        <v>620.40816326530614</v>
      </c>
      <c r="C36" s="48">
        <f>C35/$C$9</f>
        <v>1551.0204081632655</v>
      </c>
      <c r="D36" t="s">
        <v>212</v>
      </c>
    </row>
    <row r="37" spans="1:4" x14ac:dyDescent="0.25">
      <c r="A37" t="s">
        <v>224</v>
      </c>
      <c r="B37" s="48">
        <f>B36*10000</f>
        <v>6204081.6326530613</v>
      </c>
      <c r="C37" s="48">
        <f>C36*C18</f>
        <v>15510204.081632655</v>
      </c>
      <c r="D37" t="s">
        <v>76</v>
      </c>
    </row>
    <row r="38" spans="1:4" x14ac:dyDescent="0.25">
      <c r="A38" t="s">
        <v>225</v>
      </c>
      <c r="B38" s="48">
        <f>SQRT(B37/PI())</f>
        <v>1405.283074104553</v>
      </c>
      <c r="C38" s="48">
        <f>SQRT(C37/PI())</f>
        <v>2221.9476357267863</v>
      </c>
      <c r="D38" t="s">
        <v>226</v>
      </c>
    </row>
    <row r="39" spans="1:4" x14ac:dyDescent="0.25">
      <c r="A39" t="s">
        <v>227</v>
      </c>
      <c r="B39" s="9">
        <f>B38/$C$15</f>
        <v>0.87320458952399926</v>
      </c>
      <c r="C39" s="9">
        <f>C38/$C$15</f>
        <v>1.3806576831041213</v>
      </c>
      <c r="D39" t="s">
        <v>76</v>
      </c>
    </row>
    <row r="41" spans="1:4" x14ac:dyDescent="0.25">
      <c r="A41" t="s">
        <v>310</v>
      </c>
      <c r="B41" s="46">
        <f>B33*$C$19</f>
        <v>9100622.2933147289</v>
      </c>
      <c r="C41" s="46">
        <f>C33*$C$19</f>
        <v>22751555.73328682</v>
      </c>
      <c r="D41" t="s">
        <v>76</v>
      </c>
    </row>
    <row r="42" spans="1:4" x14ac:dyDescent="0.25">
      <c r="A42" t="s">
        <v>311</v>
      </c>
      <c r="B42" s="2">
        <f>B41*$C$10</f>
        <v>113757.77866643411</v>
      </c>
      <c r="C42" s="2">
        <f>C41*$C$10</f>
        <v>284394.44666608528</v>
      </c>
      <c r="D42" t="s">
        <v>312</v>
      </c>
    </row>
    <row r="43" spans="1:4" x14ac:dyDescent="0.25">
      <c r="A43" t="s">
        <v>313</v>
      </c>
      <c r="B43" s="12">
        <f>PI()/(PI()*B39^2)</f>
        <v>1.3114990509338229</v>
      </c>
      <c r="C43" s="12">
        <f>(PI())/(PI()*(C39^2))</f>
        <v>0.52459962037352914</v>
      </c>
    </row>
    <row r="44" spans="1:4" x14ac:dyDescent="0.25">
      <c r="A44" t="s">
        <v>314</v>
      </c>
      <c r="B44" s="46">
        <v>0</v>
      </c>
      <c r="C44" s="2">
        <f>(1-C43)*C41*C11</f>
        <v>37856.343814440777</v>
      </c>
    </row>
    <row r="45" spans="1:4" x14ac:dyDescent="0.25">
      <c r="A45" s="60" t="s">
        <v>317</v>
      </c>
      <c r="B45" s="61">
        <f>B42+B44</f>
        <v>113757.77866643411</v>
      </c>
      <c r="C45" s="61">
        <f>C42+C44</f>
        <v>322250.79048052605</v>
      </c>
    </row>
    <row r="46" spans="1:4" x14ac:dyDescent="0.25">
      <c r="A46" s="60" t="s">
        <v>318</v>
      </c>
      <c r="B46" s="61">
        <f>B45/B28</f>
        <v>0.28439444666608527</v>
      </c>
      <c r="C46" s="61">
        <f>C45/C28</f>
        <v>0.32225079048052607</v>
      </c>
    </row>
    <row r="49" spans="1:5" x14ac:dyDescent="0.25">
      <c r="A49" t="s">
        <v>319</v>
      </c>
      <c r="B49" s="50">
        <f>B30*$C$12</f>
        <v>89376</v>
      </c>
      <c r="C49" s="50">
        <f>C30*$C$12</f>
        <v>223440.00000000003</v>
      </c>
    </row>
    <row r="50" spans="1:5" x14ac:dyDescent="0.25">
      <c r="A50" t="s">
        <v>325</v>
      </c>
      <c r="B50" s="49">
        <f>B49/B28</f>
        <v>0.22344</v>
      </c>
      <c r="C50" s="2">
        <f>C49/C28</f>
        <v>0.22344000000000003</v>
      </c>
    </row>
    <row r="51" spans="1:5" x14ac:dyDescent="0.25">
      <c r="A51" t="s">
        <v>324</v>
      </c>
      <c r="B51" s="59">
        <f>'Spent Media Carbon'!$C$53</f>
        <v>0.62325887585402806</v>
      </c>
      <c r="C51" s="58">
        <f>'Spent Media Carbon'!$C$53</f>
        <v>0.62325887585402806</v>
      </c>
      <c r="D51" s="62"/>
      <c r="E51" s="62"/>
    </row>
    <row r="52" spans="1:5" x14ac:dyDescent="0.25">
      <c r="A52" s="60" t="s">
        <v>326</v>
      </c>
      <c r="B52" s="63">
        <f>SUM(B50:B51)</f>
        <v>0.84669887585402803</v>
      </c>
      <c r="C52" s="61">
        <f>SUM(C50:C51)</f>
        <v>0.84669887585402814</v>
      </c>
      <c r="D52" s="62"/>
      <c r="E52" s="62"/>
    </row>
    <row r="53" spans="1:5" x14ac:dyDescent="0.25">
      <c r="C53" s="2"/>
      <c r="D53" s="62"/>
    </row>
    <row r="54" spans="1:5" x14ac:dyDescent="0.25">
      <c r="C54" s="2"/>
    </row>
    <row r="56" spans="1:5" x14ac:dyDescent="0.25">
      <c r="B56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workbookViewId="0">
      <selection activeCell="C2" sqref="C2"/>
    </sheetView>
  </sheetViews>
  <sheetFormatPr defaultRowHeight="15" x14ac:dyDescent="0.25"/>
  <cols>
    <col min="1" max="1" width="37.28515625" bestFit="1" customWidth="1"/>
    <col min="2" max="2" width="26.5703125" bestFit="1" customWidth="1"/>
    <col min="4" max="4" width="38.5703125" bestFit="1" customWidth="1"/>
    <col min="5" max="5" width="9.28515625" bestFit="1" customWidth="1"/>
    <col min="6" max="6" width="9.85546875" bestFit="1" customWidth="1"/>
  </cols>
  <sheetData>
    <row r="1" spans="1:4" s="1" customFormat="1" x14ac:dyDescent="0.25">
      <c r="A1" s="1" t="s">
        <v>231</v>
      </c>
      <c r="B1" s="1" t="s">
        <v>32</v>
      </c>
      <c r="C1" s="1" t="s">
        <v>31</v>
      </c>
      <c r="D1" s="1" t="s">
        <v>63</v>
      </c>
    </row>
    <row r="2" spans="1:4" x14ac:dyDescent="0.25">
      <c r="A2" t="s">
        <v>232</v>
      </c>
      <c r="B2" t="s">
        <v>233</v>
      </c>
      <c r="C2">
        <v>332.2</v>
      </c>
      <c r="D2" t="s">
        <v>234</v>
      </c>
    </row>
    <row r="3" spans="1:4" x14ac:dyDescent="0.25">
      <c r="A3" t="s">
        <v>235</v>
      </c>
      <c r="B3" t="s">
        <v>236</v>
      </c>
      <c r="C3" s="42">
        <v>4000000</v>
      </c>
      <c r="D3" t="s">
        <v>155</v>
      </c>
    </row>
    <row r="4" spans="1:4" x14ac:dyDescent="0.25">
      <c r="A4" t="s">
        <v>156</v>
      </c>
      <c r="B4" t="s">
        <v>160</v>
      </c>
      <c r="C4">
        <v>15</v>
      </c>
      <c r="D4" t="s">
        <v>155</v>
      </c>
    </row>
    <row r="5" spans="1:4" x14ac:dyDescent="0.25">
      <c r="A5" t="s">
        <v>240</v>
      </c>
      <c r="B5" t="s">
        <v>159</v>
      </c>
      <c r="C5" s="42">
        <v>200000</v>
      </c>
      <c r="D5" t="s">
        <v>155</v>
      </c>
    </row>
    <row r="6" spans="1:4" x14ac:dyDescent="0.25">
      <c r="A6" t="s">
        <v>247</v>
      </c>
      <c r="B6" t="s">
        <v>158</v>
      </c>
      <c r="C6">
        <v>118</v>
      </c>
      <c r="D6" t="s">
        <v>155</v>
      </c>
    </row>
    <row r="7" spans="1:4" x14ac:dyDescent="0.25">
      <c r="A7" t="s">
        <v>251</v>
      </c>
      <c r="B7" t="s">
        <v>158</v>
      </c>
      <c r="C7" s="52">
        <v>72</v>
      </c>
      <c r="D7" t="s">
        <v>252</v>
      </c>
    </row>
    <row r="8" spans="1:4" x14ac:dyDescent="0.25">
      <c r="A8" t="s">
        <v>275</v>
      </c>
      <c r="B8" t="s">
        <v>276</v>
      </c>
      <c r="C8" s="52">
        <f>345</f>
        <v>345</v>
      </c>
      <c r="D8" t="s">
        <v>155</v>
      </c>
    </row>
    <row r="9" spans="1:4" x14ac:dyDescent="0.25">
      <c r="C9" s="52"/>
    </row>
    <row r="10" spans="1:4" x14ac:dyDescent="0.25">
      <c r="A10" s="1" t="s">
        <v>237</v>
      </c>
    </row>
    <row r="11" spans="1:4" x14ac:dyDescent="0.25">
      <c r="A11" t="s">
        <v>397</v>
      </c>
      <c r="B11" t="s">
        <v>238</v>
      </c>
      <c r="C11" s="42">
        <v>1000000</v>
      </c>
    </row>
    <row r="12" spans="1:4" x14ac:dyDescent="0.25">
      <c r="A12" t="s">
        <v>268</v>
      </c>
      <c r="C12" s="42">
        <v>1.0000000000000001E-9</v>
      </c>
    </row>
    <row r="13" spans="1:4" x14ac:dyDescent="0.25">
      <c r="A13" t="s">
        <v>269</v>
      </c>
      <c r="B13" t="s">
        <v>30</v>
      </c>
      <c r="C13">
        <v>180.15600000000001</v>
      </c>
    </row>
    <row r="14" spans="1:4" x14ac:dyDescent="0.25">
      <c r="A14" t="s">
        <v>270</v>
      </c>
      <c r="C14">
        <v>1000</v>
      </c>
    </row>
    <row r="15" spans="1:4" x14ac:dyDescent="0.25">
      <c r="A15" t="s">
        <v>291</v>
      </c>
      <c r="B15" t="s">
        <v>30</v>
      </c>
      <c r="C15">
        <v>12.010999999999999</v>
      </c>
    </row>
    <row r="16" spans="1:4" x14ac:dyDescent="0.25">
      <c r="A16" t="s">
        <v>292</v>
      </c>
      <c r="C16">
        <f>(C15*6)/C13</f>
        <v>0.40001998268167588</v>
      </c>
    </row>
    <row r="17" spans="1:4" x14ac:dyDescent="0.25">
      <c r="A17" t="s">
        <v>301</v>
      </c>
      <c r="B17" t="s">
        <v>40</v>
      </c>
      <c r="C17">
        <v>2.2040000000000002</v>
      </c>
    </row>
    <row r="18" spans="1:4" x14ac:dyDescent="0.25">
      <c r="A18" t="s">
        <v>398</v>
      </c>
      <c r="B18" t="s">
        <v>30</v>
      </c>
      <c r="C18">
        <v>32</v>
      </c>
    </row>
    <row r="19" spans="1:4" x14ac:dyDescent="0.25">
      <c r="A19" t="s">
        <v>399</v>
      </c>
      <c r="C19">
        <v>2.66</v>
      </c>
      <c r="D19" t="s">
        <v>400</v>
      </c>
    </row>
    <row r="20" spans="1:4" s="118" customFormat="1" x14ac:dyDescent="0.25"/>
    <row r="21" spans="1:4" x14ac:dyDescent="0.25">
      <c r="A21" s="1" t="s">
        <v>231</v>
      </c>
      <c r="B21" s="1" t="s">
        <v>32</v>
      </c>
      <c r="C21" s="1" t="s">
        <v>31</v>
      </c>
      <c r="D21" s="1" t="s">
        <v>63</v>
      </c>
    </row>
    <row r="22" spans="1:4" x14ac:dyDescent="0.25">
      <c r="A22" t="s">
        <v>242</v>
      </c>
      <c r="B22" t="s">
        <v>243</v>
      </c>
      <c r="C22" s="42">
        <f>C5*C4*C11</f>
        <v>3000000000000</v>
      </c>
      <c r="D22" t="s">
        <v>260</v>
      </c>
    </row>
    <row r="23" spans="1:4" x14ac:dyDescent="0.25">
      <c r="A23" t="s">
        <v>244</v>
      </c>
      <c r="B23" t="s">
        <v>245</v>
      </c>
      <c r="C23" s="42">
        <f>C2*C22/C11</f>
        <v>996600000</v>
      </c>
      <c r="D23" t="s">
        <v>262</v>
      </c>
    </row>
    <row r="24" spans="1:4" x14ac:dyDescent="0.25">
      <c r="A24" t="s">
        <v>241</v>
      </c>
      <c r="B24" t="s">
        <v>239</v>
      </c>
      <c r="C24" s="42">
        <f>C3*C4*C11</f>
        <v>60000000000000</v>
      </c>
      <c r="D24" t="s">
        <v>261</v>
      </c>
    </row>
    <row r="25" spans="1:4" x14ac:dyDescent="0.25">
      <c r="A25" t="s">
        <v>246</v>
      </c>
      <c r="B25" t="s">
        <v>245</v>
      </c>
      <c r="C25" s="42">
        <f>C24*C2/C11</f>
        <v>19932000000</v>
      </c>
      <c r="D25" t="s">
        <v>263</v>
      </c>
    </row>
    <row r="26" spans="1:4" x14ac:dyDescent="0.25">
      <c r="A26" t="s">
        <v>249</v>
      </c>
      <c r="B26" t="s">
        <v>250</v>
      </c>
      <c r="C26" s="42">
        <f>C23*C6</f>
        <v>117598800000</v>
      </c>
      <c r="D26" t="s">
        <v>264</v>
      </c>
    </row>
    <row r="27" spans="1:4" x14ac:dyDescent="0.25">
      <c r="A27" t="s">
        <v>248</v>
      </c>
      <c r="B27" t="s">
        <v>250</v>
      </c>
      <c r="C27" s="42">
        <f>C25*C6</f>
        <v>2351976000000</v>
      </c>
      <c r="D27" t="s">
        <v>265</v>
      </c>
    </row>
    <row r="28" spans="1:4" x14ac:dyDescent="0.25">
      <c r="A28" t="s">
        <v>138</v>
      </c>
      <c r="B28" t="s">
        <v>250</v>
      </c>
      <c r="C28" s="53">
        <f>AVERAGE(C26:C27)</f>
        <v>1234787400000</v>
      </c>
      <c r="D28" t="s">
        <v>266</v>
      </c>
    </row>
    <row r="30" spans="1:4" x14ac:dyDescent="0.25">
      <c r="A30" t="s">
        <v>253</v>
      </c>
      <c r="B30" t="s">
        <v>254</v>
      </c>
      <c r="C30" s="53">
        <f>C7*C25</f>
        <v>1435104000000</v>
      </c>
      <c r="D30" t="s">
        <v>267</v>
      </c>
    </row>
    <row r="32" spans="1:4" x14ac:dyDescent="0.25">
      <c r="A32" t="s">
        <v>255</v>
      </c>
      <c r="B32" t="s">
        <v>256</v>
      </c>
      <c r="C32" s="53">
        <f>C30+C28</f>
        <v>2669891400000</v>
      </c>
      <c r="D32" t="s">
        <v>279</v>
      </c>
    </row>
    <row r="33" spans="1:4" x14ac:dyDescent="0.25">
      <c r="B33" t="s">
        <v>258</v>
      </c>
      <c r="C33" s="55">
        <f>C32*C12</f>
        <v>2669.8914</v>
      </c>
    </row>
    <row r="34" spans="1:4" x14ac:dyDescent="0.25">
      <c r="B34" t="s">
        <v>179</v>
      </c>
      <c r="C34" s="56">
        <f>C33*(C18/C14)</f>
        <v>85.436524800000001</v>
      </c>
      <c r="D34" t="s">
        <v>304</v>
      </c>
    </row>
    <row r="35" spans="1:4" x14ac:dyDescent="0.25">
      <c r="A35" t="s">
        <v>257</v>
      </c>
      <c r="B35" t="s">
        <v>256</v>
      </c>
      <c r="C35" s="42">
        <f>C32/6</f>
        <v>444981900000</v>
      </c>
      <c r="D35" t="s">
        <v>280</v>
      </c>
    </row>
    <row r="36" spans="1:4" x14ac:dyDescent="0.25">
      <c r="A36" t="s">
        <v>257</v>
      </c>
      <c r="B36" t="s">
        <v>258</v>
      </c>
      <c r="C36" s="57">
        <f>C35*C12</f>
        <v>444.98190000000005</v>
      </c>
      <c r="D36" t="s">
        <v>281</v>
      </c>
    </row>
    <row r="37" spans="1:4" x14ac:dyDescent="0.25">
      <c r="A37" t="s">
        <v>257</v>
      </c>
      <c r="B37" t="s">
        <v>259</v>
      </c>
      <c r="C37" s="57">
        <f>C36*C13</f>
        <v>80166.159176400019</v>
      </c>
      <c r="D37" t="s">
        <v>76</v>
      </c>
    </row>
    <row r="38" spans="1:4" x14ac:dyDescent="0.25">
      <c r="A38" t="s">
        <v>257</v>
      </c>
      <c r="B38" t="s">
        <v>179</v>
      </c>
      <c r="C38" s="43">
        <f>C37/C14</f>
        <v>80.166159176400015</v>
      </c>
      <c r="D38" t="s">
        <v>76</v>
      </c>
    </row>
    <row r="40" spans="1:4" x14ac:dyDescent="0.25">
      <c r="A40" t="s">
        <v>271</v>
      </c>
      <c r="B40" t="s">
        <v>272</v>
      </c>
      <c r="C40" s="9">
        <f>'Calorie Areal Productivity'!B6</f>
        <v>2.0588235294117645</v>
      </c>
      <c r="D40" t="s">
        <v>273</v>
      </c>
    </row>
    <row r="41" spans="1:4" x14ac:dyDescent="0.25">
      <c r="A41" t="s">
        <v>271</v>
      </c>
      <c r="B41" t="s">
        <v>274</v>
      </c>
      <c r="C41" s="46">
        <f>C40*C8</f>
        <v>710.29411764705878</v>
      </c>
      <c r="D41" t="s">
        <v>282</v>
      </c>
    </row>
    <row r="42" spans="1:4" x14ac:dyDescent="0.25">
      <c r="A42" t="s">
        <v>277</v>
      </c>
      <c r="B42" t="s">
        <v>274</v>
      </c>
      <c r="C42" s="9">
        <f>C38</f>
        <v>80.166159176400015</v>
      </c>
      <c r="D42" t="s">
        <v>283</v>
      </c>
    </row>
    <row r="43" spans="1:4" x14ac:dyDescent="0.25">
      <c r="A43" t="s">
        <v>284</v>
      </c>
      <c r="B43" t="s">
        <v>60</v>
      </c>
      <c r="C43" s="9">
        <f>'Calorie Areal Productivity'!B3*C14</f>
        <v>1400</v>
      </c>
      <c r="D43" t="s">
        <v>285</v>
      </c>
    </row>
    <row r="44" spans="1:4" x14ac:dyDescent="0.25">
      <c r="A44" t="s">
        <v>286</v>
      </c>
      <c r="B44" t="s">
        <v>272</v>
      </c>
      <c r="C44" s="9">
        <f>C43/'Calorie Areal Productivity'!B5</f>
        <v>0.35</v>
      </c>
      <c r="D44" t="s">
        <v>287</v>
      </c>
    </row>
    <row r="45" spans="1:4" x14ac:dyDescent="0.25">
      <c r="A45" t="s">
        <v>278</v>
      </c>
      <c r="B45" t="s">
        <v>274</v>
      </c>
      <c r="C45" s="46">
        <f>C44*C8</f>
        <v>120.74999999999999</v>
      </c>
      <c r="D45" t="s">
        <v>288</v>
      </c>
    </row>
    <row r="46" spans="1:4" x14ac:dyDescent="0.25">
      <c r="A46" t="s">
        <v>289</v>
      </c>
      <c r="B46" t="s">
        <v>274</v>
      </c>
      <c r="C46" s="9">
        <f>C41-C42-C45</f>
        <v>509.37795847065877</v>
      </c>
      <c r="D46" t="s">
        <v>290</v>
      </c>
    </row>
    <row r="48" spans="1:4" x14ac:dyDescent="0.25">
      <c r="A48" t="s">
        <v>293</v>
      </c>
      <c r="B48" t="s">
        <v>294</v>
      </c>
      <c r="C48">
        <f>C46*C16</f>
        <v>203.76136212586033</v>
      </c>
    </row>
    <row r="49" spans="1:6" x14ac:dyDescent="0.25">
      <c r="A49" t="s">
        <v>298</v>
      </c>
      <c r="B49" t="s">
        <v>299</v>
      </c>
      <c r="C49">
        <f>C48*C19</f>
        <v>542.00522325478846</v>
      </c>
      <c r="E49" s="57"/>
      <c r="F49" s="57"/>
    </row>
    <row r="50" spans="1:6" x14ac:dyDescent="0.25">
      <c r="A50" t="s">
        <v>300</v>
      </c>
      <c r="B50" t="s">
        <v>140</v>
      </c>
      <c r="C50">
        <v>0.18</v>
      </c>
    </row>
    <row r="51" spans="1:6" x14ac:dyDescent="0.25">
      <c r="B51" t="s">
        <v>3</v>
      </c>
      <c r="C51">
        <f>C50*C17</f>
        <v>0.39672000000000002</v>
      </c>
    </row>
    <row r="52" spans="1:6" x14ac:dyDescent="0.25">
      <c r="A52" t="s">
        <v>302</v>
      </c>
      <c r="B52" t="s">
        <v>303</v>
      </c>
      <c r="C52">
        <f>C51*C49</f>
        <v>215.0243121696397</v>
      </c>
    </row>
    <row r="53" spans="1:6" x14ac:dyDescent="0.25">
      <c r="A53" t="s">
        <v>302</v>
      </c>
      <c r="B53" t="s">
        <v>323</v>
      </c>
      <c r="C53">
        <f>C52/C8</f>
        <v>0.62325887585402806</v>
      </c>
    </row>
    <row r="55" spans="1:6" ht="13.5" customHeight="1" x14ac:dyDescent="0.25">
      <c r="B55" s="1" t="s">
        <v>297</v>
      </c>
    </row>
    <row r="56" spans="1:6" x14ac:dyDescent="0.25">
      <c r="B56" t="s">
        <v>295</v>
      </c>
      <c r="C56" s="54">
        <f>C42/C41</f>
        <v>0.11286332968934164</v>
      </c>
    </row>
    <row r="57" spans="1:6" x14ac:dyDescent="0.25">
      <c r="B57" t="s">
        <v>296</v>
      </c>
      <c r="C57" s="54">
        <f>C45/C41</f>
        <v>0.16999999999999998</v>
      </c>
    </row>
    <row r="58" spans="1:6" x14ac:dyDescent="0.25">
      <c r="B58" t="s">
        <v>170</v>
      </c>
      <c r="C58" s="54">
        <f>C46/C41</f>
        <v>0.71713667031065831</v>
      </c>
    </row>
    <row r="59" spans="1:6" x14ac:dyDescent="0.25">
      <c r="C59">
        <f>SUM(C56:C58)</f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E21" sqref="E21"/>
    </sheetView>
  </sheetViews>
  <sheetFormatPr defaultRowHeight="15" x14ac:dyDescent="0.25"/>
  <cols>
    <col min="1" max="1" width="19" style="38" bestFit="1" customWidth="1"/>
    <col min="2" max="2" width="16.7109375" style="8" customWidth="1"/>
    <col min="3" max="3" width="16.7109375" style="4" customWidth="1"/>
    <col min="4" max="4" width="20.5703125" style="4" customWidth="1"/>
  </cols>
  <sheetData>
    <row r="1" spans="1:9" ht="15.75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9" ht="31.5" x14ac:dyDescent="0.25">
      <c r="A2" s="18" t="s">
        <v>35</v>
      </c>
      <c r="B2" s="19">
        <v>62</v>
      </c>
      <c r="C2" s="20" t="s">
        <v>36</v>
      </c>
      <c r="D2" s="20" t="s">
        <v>37</v>
      </c>
      <c r="H2">
        <f>B2*B3</f>
        <v>3720</v>
      </c>
      <c r="I2" t="s">
        <v>152</v>
      </c>
    </row>
    <row r="3" spans="1:9" ht="15.75" x14ac:dyDescent="0.25">
      <c r="A3" s="18" t="s">
        <v>42</v>
      </c>
      <c r="B3" s="19">
        <v>60</v>
      </c>
      <c r="C3" s="20" t="s">
        <v>41</v>
      </c>
      <c r="D3" s="20" t="s">
        <v>76</v>
      </c>
      <c r="H3">
        <f>H2/B4</f>
        <v>1687.840290381125</v>
      </c>
      <c r="I3" t="s">
        <v>56</v>
      </c>
    </row>
    <row r="4" spans="1:9" ht="15.75" x14ac:dyDescent="0.25">
      <c r="A4" s="18" t="s">
        <v>39</v>
      </c>
      <c r="B4" s="19">
        <v>2.2040000000000002</v>
      </c>
      <c r="C4" s="20" t="s">
        <v>40</v>
      </c>
      <c r="D4" s="20" t="s">
        <v>76</v>
      </c>
      <c r="H4">
        <f>H3/B6</f>
        <v>0.41707405009837872</v>
      </c>
      <c r="I4" t="s">
        <v>57</v>
      </c>
    </row>
    <row r="5" spans="1:9" ht="15.75" x14ac:dyDescent="0.25">
      <c r="A5" s="18" t="s">
        <v>43</v>
      </c>
      <c r="B5" s="23">
        <f>B2*B3/B4</f>
        <v>1687.840290381125</v>
      </c>
      <c r="C5" s="20" t="s">
        <v>44</v>
      </c>
      <c r="D5" s="20" t="s">
        <v>75</v>
      </c>
      <c r="H5">
        <f>H4/1000</f>
        <v>4.170740500983787E-4</v>
      </c>
      <c r="I5" t="s">
        <v>153</v>
      </c>
    </row>
    <row r="6" spans="1:9" ht="17.25" x14ac:dyDescent="0.25">
      <c r="A6" s="5" t="s">
        <v>46</v>
      </c>
      <c r="B6" s="8">
        <v>4046.86</v>
      </c>
      <c r="C6" s="4" t="s">
        <v>77</v>
      </c>
      <c r="D6" s="20" t="s">
        <v>76</v>
      </c>
      <c r="H6">
        <f>H5*10000</f>
        <v>4.1707405009837872</v>
      </c>
      <c r="I6" t="s">
        <v>154</v>
      </c>
    </row>
    <row r="7" spans="1:9" ht="15.75" x14ac:dyDescent="0.25">
      <c r="A7" s="18" t="s">
        <v>108</v>
      </c>
      <c r="B7" s="24">
        <f>B5/B6</f>
        <v>0.41707405009837872</v>
      </c>
      <c r="C7" s="20" t="s">
        <v>57</v>
      </c>
      <c r="D7" s="20" t="s">
        <v>72</v>
      </c>
    </row>
    <row r="8" spans="1:9" ht="31.5" x14ac:dyDescent="0.25">
      <c r="A8" s="18" t="s">
        <v>105</v>
      </c>
      <c r="B8" s="8">
        <v>0.8</v>
      </c>
      <c r="C8" s="20" t="s">
        <v>106</v>
      </c>
      <c r="D8" s="4" t="s">
        <v>109</v>
      </c>
    </row>
    <row r="9" spans="1:9" ht="15.75" x14ac:dyDescent="0.25">
      <c r="A9" s="18" t="s">
        <v>103</v>
      </c>
      <c r="B9" s="8">
        <f>1-B8</f>
        <v>0.19999999999999996</v>
      </c>
      <c r="C9" s="20" t="s">
        <v>104</v>
      </c>
    </row>
    <row r="10" spans="1:9" ht="30" x14ac:dyDescent="0.25">
      <c r="A10" s="38" t="s">
        <v>113</v>
      </c>
      <c r="B10" s="39">
        <v>0.33491528300000001</v>
      </c>
      <c r="C10" s="4" t="s">
        <v>111</v>
      </c>
      <c r="D10" s="4" t="s">
        <v>112</v>
      </c>
    </row>
    <row r="11" spans="1:9" ht="30" x14ac:dyDescent="0.25">
      <c r="A11" s="38" t="s">
        <v>110</v>
      </c>
      <c r="B11" s="40">
        <v>0.8712579978975038</v>
      </c>
      <c r="C11" s="4" t="s">
        <v>111</v>
      </c>
      <c r="D11" s="4" t="s">
        <v>112</v>
      </c>
    </row>
    <row r="12" spans="1:9" ht="30" x14ac:dyDescent="0.25">
      <c r="A12" s="38" t="s">
        <v>114</v>
      </c>
      <c r="B12" s="40">
        <f>(B11*B9)+(B10*B8)</f>
        <v>0.44218382597950079</v>
      </c>
      <c r="C12" s="4" t="s">
        <v>115</v>
      </c>
    </row>
    <row r="14" spans="1:9" ht="30" x14ac:dyDescent="0.25">
      <c r="A14" s="38" t="s">
        <v>116</v>
      </c>
      <c r="B14" s="41">
        <f>(B11*B9)/B12</f>
        <v>0.39407049589276216</v>
      </c>
      <c r="C14" s="4" t="s">
        <v>118</v>
      </c>
    </row>
    <row r="15" spans="1:9" ht="30" x14ac:dyDescent="0.25">
      <c r="A15" s="38" t="s">
        <v>117</v>
      </c>
      <c r="B15" s="41">
        <f>(B10*B8)/B12</f>
        <v>0.60592950410723778</v>
      </c>
      <c r="C15" s="4" t="s">
        <v>119</v>
      </c>
    </row>
    <row r="17" spans="1:3" ht="17.25" x14ac:dyDescent="0.25">
      <c r="A17" s="38" t="s">
        <v>120</v>
      </c>
      <c r="B17" s="14">
        <f>1/B7</f>
        <v>2.3976557634408606</v>
      </c>
      <c r="C17" s="4" t="s">
        <v>122</v>
      </c>
    </row>
    <row r="18" spans="1:3" ht="30" x14ac:dyDescent="0.25">
      <c r="A18" s="38" t="s">
        <v>121</v>
      </c>
      <c r="B18" s="14">
        <f>B17*B14</f>
        <v>0.94484539567927917</v>
      </c>
      <c r="C18" s="4" t="s">
        <v>122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D21" sqref="D21"/>
    </sheetView>
  </sheetViews>
  <sheetFormatPr defaultRowHeight="15" x14ac:dyDescent="0.25"/>
  <cols>
    <col min="1" max="1" width="23.7109375" style="5" customWidth="1"/>
    <col min="2" max="2" width="23.7109375" style="8" customWidth="1"/>
    <col min="3" max="3" width="23.7109375" style="4" customWidth="1"/>
    <col min="4" max="4" width="23.7109375" style="8" customWidth="1"/>
  </cols>
  <sheetData>
    <row r="1" spans="1:13" ht="15.75" x14ac:dyDescent="0.25">
      <c r="A1" s="15" t="s">
        <v>62</v>
      </c>
      <c r="B1" s="16" t="s">
        <v>31</v>
      </c>
      <c r="C1" s="17" t="s">
        <v>32</v>
      </c>
      <c r="D1" s="16" t="s">
        <v>63</v>
      </c>
    </row>
    <row r="2" spans="1:13" ht="15.75" x14ac:dyDescent="0.25">
      <c r="A2" s="18" t="s">
        <v>53</v>
      </c>
      <c r="B2" s="19">
        <v>205</v>
      </c>
      <c r="C2" s="20" t="s">
        <v>36</v>
      </c>
      <c r="H2">
        <f>B2*B3</f>
        <v>11480</v>
      </c>
      <c r="I2" t="s">
        <v>152</v>
      </c>
    </row>
    <row r="3" spans="1:13" ht="15.75" x14ac:dyDescent="0.25">
      <c r="A3" s="18" t="s">
        <v>54</v>
      </c>
      <c r="B3" s="28">
        <v>56</v>
      </c>
      <c r="C3" s="20" t="s">
        <v>38</v>
      </c>
      <c r="H3">
        <f>H2/B4</f>
        <v>5208.7114337568055</v>
      </c>
      <c r="I3" t="s">
        <v>56</v>
      </c>
      <c r="L3" s="32"/>
      <c r="M3" s="19"/>
    </row>
    <row r="4" spans="1:13" ht="15.75" x14ac:dyDescent="0.25">
      <c r="A4" s="18" t="s">
        <v>39</v>
      </c>
      <c r="B4" s="25">
        <v>2.2040000000000002</v>
      </c>
      <c r="C4" s="20" t="s">
        <v>40</v>
      </c>
      <c r="H4">
        <f>H3/B6</f>
        <v>1.2870994879380075</v>
      </c>
      <c r="I4" t="s">
        <v>57</v>
      </c>
      <c r="K4" t="s">
        <v>132</v>
      </c>
      <c r="L4" s="32"/>
      <c r="M4" s="19"/>
    </row>
    <row r="5" spans="1:13" ht="15.75" x14ac:dyDescent="0.25">
      <c r="A5" s="18" t="s">
        <v>55</v>
      </c>
      <c r="B5" s="23">
        <f>B2*B3/B4</f>
        <v>5208.7114337568055</v>
      </c>
      <c r="C5" s="20" t="s">
        <v>56</v>
      </c>
      <c r="H5">
        <f>H4/1000</f>
        <v>1.2870994879380076E-3</v>
      </c>
      <c r="I5" t="s">
        <v>153</v>
      </c>
      <c r="K5" t="s">
        <v>133</v>
      </c>
      <c r="L5" s="32">
        <v>725</v>
      </c>
      <c r="M5" s="19" t="s">
        <v>139</v>
      </c>
    </row>
    <row r="6" spans="1:13" ht="18" x14ac:dyDescent="0.25">
      <c r="A6" s="18" t="s">
        <v>46</v>
      </c>
      <c r="B6" s="23">
        <v>4046.86</v>
      </c>
      <c r="C6" s="20" t="s">
        <v>88</v>
      </c>
      <c r="H6">
        <f>H5*10000</f>
        <v>12.870994879380076</v>
      </c>
      <c r="I6" t="s">
        <v>154</v>
      </c>
      <c r="K6" t="s">
        <v>134</v>
      </c>
      <c r="L6" s="32">
        <v>775</v>
      </c>
      <c r="M6" s="19" t="s">
        <v>139</v>
      </c>
    </row>
    <row r="7" spans="1:13" ht="18" x14ac:dyDescent="0.25">
      <c r="A7" s="18" t="s">
        <v>55</v>
      </c>
      <c r="B7" s="23">
        <f>B5/B6</f>
        <v>1.2870994879380075</v>
      </c>
      <c r="C7" s="20" t="s">
        <v>87</v>
      </c>
      <c r="K7" t="s">
        <v>135</v>
      </c>
      <c r="L7" s="32">
        <v>770</v>
      </c>
      <c r="M7" s="19" t="s">
        <v>139</v>
      </c>
    </row>
    <row r="8" spans="1:13" ht="15.75" x14ac:dyDescent="0.25">
      <c r="A8" s="18" t="s">
        <v>86</v>
      </c>
      <c r="B8" s="19">
        <v>0.66700000000000004</v>
      </c>
      <c r="C8" s="20" t="s">
        <v>52</v>
      </c>
      <c r="K8" t="s">
        <v>136</v>
      </c>
      <c r="L8" s="32">
        <v>710</v>
      </c>
      <c r="M8" s="19" t="s">
        <v>139</v>
      </c>
    </row>
    <row r="9" spans="1:13" ht="31.5" x14ac:dyDescent="0.25">
      <c r="A9" s="18" t="s">
        <v>125</v>
      </c>
      <c r="B9" s="23">
        <f>1-B8</f>
        <v>0.33299999999999996</v>
      </c>
      <c r="C9" s="20" t="s">
        <v>126</v>
      </c>
      <c r="K9" t="s">
        <v>137</v>
      </c>
      <c r="L9" s="32">
        <v>802.5</v>
      </c>
      <c r="M9" s="19" t="s">
        <v>139</v>
      </c>
    </row>
    <row r="10" spans="1:13" ht="15.75" x14ac:dyDescent="0.25">
      <c r="A10" s="18" t="s">
        <v>127</v>
      </c>
      <c r="B10" s="14">
        <f>L12</f>
        <v>0.83366300000000004</v>
      </c>
      <c r="K10" t="s">
        <v>138</v>
      </c>
      <c r="L10" s="32">
        <f>AVERAGE(L5:L9)</f>
        <v>756.5</v>
      </c>
      <c r="M10" s="19" t="s">
        <v>139</v>
      </c>
    </row>
    <row r="11" spans="1:13" ht="15.75" x14ac:dyDescent="0.25">
      <c r="A11" s="18" t="s">
        <v>128</v>
      </c>
      <c r="B11" s="14">
        <f>L16</f>
        <v>0.79167680000000007</v>
      </c>
      <c r="K11" t="s">
        <v>138</v>
      </c>
      <c r="L11" s="32">
        <f>L10/2000</f>
        <v>0.37824999999999998</v>
      </c>
      <c r="M11" s="19" t="s">
        <v>140</v>
      </c>
    </row>
    <row r="12" spans="1:13" ht="31.5" x14ac:dyDescent="0.25">
      <c r="A12" s="18" t="s">
        <v>129</v>
      </c>
      <c r="B12" s="14">
        <f>(B10*B9)+(B11*B8)</f>
        <v>0.80565820460000004</v>
      </c>
      <c r="K12" t="s">
        <v>138</v>
      </c>
      <c r="L12" s="32">
        <f>L11*2.204</f>
        <v>0.83366300000000004</v>
      </c>
      <c r="M12" s="19" t="s">
        <v>3</v>
      </c>
    </row>
    <row r="13" spans="1:13" ht="15.75" x14ac:dyDescent="0.25">
      <c r="L13" s="32"/>
      <c r="M13" s="19"/>
    </row>
    <row r="14" spans="1:13" ht="30" x14ac:dyDescent="0.25">
      <c r="A14" s="5" t="s">
        <v>130</v>
      </c>
      <c r="B14" s="41">
        <f>(B10*B9)/B12</f>
        <v>0.34457512803190532</v>
      </c>
      <c r="K14" t="s">
        <v>141</v>
      </c>
      <c r="L14" s="32"/>
    </row>
    <row r="15" spans="1:13" ht="15.75" x14ac:dyDescent="0.25">
      <c r="A15" s="5" t="s">
        <v>131</v>
      </c>
      <c r="B15" s="41">
        <v>0.73799999999999999</v>
      </c>
      <c r="C15" s="4" t="s">
        <v>161</v>
      </c>
      <c r="K15" t="s">
        <v>142</v>
      </c>
      <c r="L15">
        <v>0.35920000000000002</v>
      </c>
      <c r="M15" s="19" t="s">
        <v>140</v>
      </c>
    </row>
    <row r="16" spans="1:13" ht="15.75" x14ac:dyDescent="0.25">
      <c r="L16">
        <f>L15*2.204</f>
        <v>0.79167680000000007</v>
      </c>
      <c r="M16" s="19" t="s">
        <v>3</v>
      </c>
    </row>
    <row r="17" spans="1:3" ht="17.25" x14ac:dyDescent="0.25">
      <c r="A17" s="5" t="s">
        <v>95</v>
      </c>
      <c r="B17" s="14">
        <f>1/B7</f>
        <v>0.77694071777003493</v>
      </c>
      <c r="C17" s="4" t="s">
        <v>122</v>
      </c>
    </row>
    <row r="18" spans="1:3" ht="17.25" x14ac:dyDescent="0.25">
      <c r="A18" s="5" t="s">
        <v>143</v>
      </c>
      <c r="B18" s="14">
        <f>B17*B15</f>
        <v>0.57338224971428575</v>
      </c>
      <c r="C18" s="4" t="s">
        <v>122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Review Chart</vt:lpstr>
      <vt:lpstr>Combined Areal Productivity</vt:lpstr>
      <vt:lpstr>Protein Areal Productivity</vt:lpstr>
      <vt:lpstr>Calorie Areal Productivity</vt:lpstr>
      <vt:lpstr>Animals Recoverable N</vt:lpstr>
      <vt:lpstr>Spent Media N Handling</vt:lpstr>
      <vt:lpstr>Spent Media Carbon</vt:lpstr>
      <vt:lpstr>Soybean Land Partition</vt:lpstr>
      <vt:lpstr>Corn Land Partition</vt:lpstr>
      <vt:lpstr>Growth Parameters</vt:lpstr>
      <vt:lpstr>Animal Areal Productivity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2022-11-02T14:14:02Z</dcterms:created>
  <dcterms:modified xsi:type="dcterms:W3CDTF">2023-03-27T20:20:22Z</dcterms:modified>
</cp:coreProperties>
</file>