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ade\Dropbox\Work\RESEARCH\Rural Drinking Water\output\"/>
    </mc:Choice>
  </mc:AlternateContent>
  <xr:revisionPtr revIDLastSave="0" documentId="13_ncr:1_{9EAD0C68-EE5C-4EB2-ABC0-C8E656FFBE15}" xr6:coauthVersionLast="47" xr6:coauthVersionMax="47" xr10:uidLastSave="{00000000-0000-0000-0000-000000000000}"/>
  <bookViews>
    <workbookView xWindow="-108" yWindow="-108" windowWidth="23256" windowHeight="13896" tabRatio="595" firstSheet="15" activeTab="15" xr2:uid="{FD0A2992-6D6F-4A98-BD5F-1DBEB7082A48}"/>
  </bookViews>
  <sheets>
    <sheet name="table-1-clean" sheetId="2" r:id="rId1"/>
    <sheet name="table-2-clean" sheetId="17" r:id="rId2"/>
    <sheet name="table-3-clean" sheetId="5" r:id="rId3"/>
    <sheet name="table-4-clean" sheetId="7" r:id="rId4"/>
    <sheet name="table-1-raw" sheetId="1" r:id="rId5"/>
    <sheet name="table-2-raw" sheetId="18" r:id="rId6"/>
    <sheet name="table-3a-raw" sheetId="3" r:id="rId7"/>
    <sheet name="table-3b-raw" sheetId="4" r:id="rId8"/>
    <sheet name="table-4-raw" sheetId="6" r:id="rId9"/>
    <sheet name="table-s1-clean" sheetId="38" r:id="rId10"/>
    <sheet name="table-s2-clean" sheetId="8" r:id="rId11"/>
    <sheet name="table-s3-clean" sheetId="16" r:id="rId12"/>
    <sheet name="table-s4-clean" sheetId="10" r:id="rId13"/>
    <sheet name="table-s5-clean" sheetId="24" r:id="rId14"/>
    <sheet name="table-s6-clean" sheetId="23" r:id="rId15"/>
    <sheet name="table-s7-clean" sheetId="14" r:id="rId16"/>
    <sheet name="table-s8-clean" sheetId="40" r:id="rId17"/>
    <sheet name="table-s1-raw" sheetId="37" r:id="rId18"/>
    <sheet name="table-s2-raw" sheetId="9" r:id="rId19"/>
    <sheet name="table-s3-raw" sheetId="15" r:id="rId20"/>
    <sheet name="table-s4a-raw" sheetId="11" r:id="rId21"/>
    <sheet name="table-s4b-raw" sheetId="12" r:id="rId22"/>
    <sheet name="table-s5a-raw" sheetId="19" r:id="rId23"/>
    <sheet name="table-s5b-raw" sheetId="20" r:id="rId24"/>
    <sheet name="table-s6a-raw" sheetId="21" r:id="rId25"/>
    <sheet name="table-s6b-raw" sheetId="22" r:id="rId26"/>
    <sheet name="table-s7-raw" sheetId="13" r:id="rId27"/>
    <sheet name="table-s8-raw" sheetId="39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3" l="1"/>
  <c r="A2" i="13"/>
  <c r="B2" i="13"/>
  <c r="C2" i="13"/>
  <c r="D2" i="13"/>
  <c r="E2" i="13"/>
  <c r="F2" i="13"/>
  <c r="G2" i="13"/>
  <c r="A3" i="13"/>
  <c r="B3" i="13"/>
  <c r="C3" i="13"/>
  <c r="D3" i="13"/>
  <c r="E3" i="13"/>
  <c r="F3" i="13"/>
  <c r="G3" i="13"/>
  <c r="A4" i="13"/>
  <c r="B4" i="13"/>
  <c r="C4" i="13"/>
  <c r="D4" i="13"/>
  <c r="E4" i="13"/>
  <c r="F4" i="13"/>
  <c r="G4" i="13"/>
  <c r="A5" i="13"/>
  <c r="B5" i="13"/>
  <c r="C5" i="13"/>
  <c r="D5" i="13"/>
  <c r="E5" i="13"/>
  <c r="F5" i="13"/>
  <c r="G5" i="13"/>
  <c r="A6" i="13"/>
  <c r="B6" i="13"/>
  <c r="C6" i="13"/>
  <c r="D6" i="13"/>
  <c r="E6" i="13"/>
  <c r="F6" i="13"/>
  <c r="G6" i="13"/>
  <c r="A7" i="13"/>
  <c r="B7" i="13"/>
  <c r="C7" i="13"/>
  <c r="D7" i="13"/>
  <c r="E7" i="13"/>
  <c r="F7" i="13"/>
  <c r="G7" i="13"/>
  <c r="A8" i="13"/>
  <c r="B8" i="13"/>
  <c r="C8" i="13"/>
  <c r="D8" i="13"/>
  <c r="E8" i="13"/>
  <c r="F8" i="13"/>
  <c r="G8" i="13"/>
  <c r="F67" i="23"/>
  <c r="E67" i="23"/>
  <c r="D67" i="23"/>
  <c r="C67" i="23"/>
  <c r="B67" i="23"/>
  <c r="A67" i="23"/>
  <c r="F66" i="23"/>
  <c r="E66" i="23"/>
  <c r="D66" i="23"/>
  <c r="C66" i="23"/>
  <c r="B66" i="23"/>
  <c r="A66" i="23"/>
  <c r="F65" i="23"/>
  <c r="E65" i="23"/>
  <c r="D65" i="23"/>
  <c r="C65" i="23"/>
  <c r="B65" i="23"/>
  <c r="A65" i="23"/>
  <c r="F64" i="23"/>
  <c r="E64" i="23"/>
  <c r="D64" i="23"/>
  <c r="C64" i="23"/>
  <c r="B64" i="23"/>
  <c r="A64" i="23"/>
  <c r="F63" i="23"/>
  <c r="E63" i="23"/>
  <c r="D63" i="23"/>
  <c r="C63" i="23"/>
  <c r="B63" i="23"/>
  <c r="A63" i="23"/>
  <c r="F62" i="23"/>
  <c r="E62" i="23"/>
  <c r="D62" i="23"/>
  <c r="C62" i="23"/>
  <c r="B62" i="23"/>
  <c r="A62" i="23"/>
  <c r="F61" i="23"/>
  <c r="E61" i="23"/>
  <c r="D61" i="23"/>
  <c r="C61" i="23"/>
  <c r="B61" i="23"/>
  <c r="A61" i="23"/>
  <c r="F60" i="23"/>
  <c r="E60" i="23"/>
  <c r="D60" i="23"/>
  <c r="C60" i="23"/>
  <c r="B60" i="23"/>
  <c r="A60" i="23"/>
  <c r="F59" i="23"/>
  <c r="E59" i="23"/>
  <c r="D59" i="23"/>
  <c r="C59" i="23"/>
  <c r="B59" i="23"/>
  <c r="A59" i="23"/>
  <c r="F58" i="23"/>
  <c r="E58" i="23"/>
  <c r="D58" i="23"/>
  <c r="C58" i="23"/>
  <c r="B58" i="23"/>
  <c r="A58" i="23"/>
  <c r="F57" i="23"/>
  <c r="E57" i="23"/>
  <c r="D57" i="23"/>
  <c r="C57" i="23"/>
  <c r="B57" i="23"/>
  <c r="A57" i="23"/>
  <c r="F56" i="23"/>
  <c r="E56" i="23"/>
  <c r="D56" i="23"/>
  <c r="C56" i="23"/>
  <c r="B56" i="23"/>
  <c r="A56" i="23"/>
  <c r="F55" i="23"/>
  <c r="E55" i="23"/>
  <c r="D55" i="23"/>
  <c r="C55" i="23"/>
  <c r="B55" i="23"/>
  <c r="A55" i="23"/>
  <c r="F54" i="23"/>
  <c r="E54" i="23"/>
  <c r="D54" i="23"/>
  <c r="C54" i="23"/>
  <c r="B54" i="23"/>
  <c r="A54" i="23"/>
  <c r="F53" i="23"/>
  <c r="E53" i="23"/>
  <c r="D53" i="23"/>
  <c r="C53" i="23"/>
  <c r="B53" i="23"/>
  <c r="A53" i="23"/>
  <c r="F52" i="23"/>
  <c r="E52" i="23"/>
  <c r="D52" i="23"/>
  <c r="C52" i="23"/>
  <c r="B52" i="23"/>
  <c r="A52" i="23"/>
  <c r="F51" i="23"/>
  <c r="E51" i="23"/>
  <c r="D51" i="23"/>
  <c r="C51" i="23"/>
  <c r="B51" i="23"/>
  <c r="A51" i="23"/>
  <c r="F50" i="23"/>
  <c r="E50" i="23"/>
  <c r="D50" i="23"/>
  <c r="C50" i="23"/>
  <c r="B50" i="23"/>
  <c r="A50" i="23"/>
  <c r="F49" i="23"/>
  <c r="E49" i="23"/>
  <c r="D49" i="23"/>
  <c r="C49" i="23"/>
  <c r="B49" i="23"/>
  <c r="A49" i="23"/>
  <c r="F48" i="23"/>
  <c r="E48" i="23"/>
  <c r="D48" i="23"/>
  <c r="C48" i="23"/>
  <c r="B48" i="23"/>
  <c r="A48" i="23"/>
  <c r="F47" i="23"/>
  <c r="E47" i="23"/>
  <c r="D47" i="23"/>
  <c r="C47" i="23"/>
  <c r="B47" i="23"/>
  <c r="A47" i="23"/>
  <c r="F46" i="23"/>
  <c r="E46" i="23"/>
  <c r="D46" i="23"/>
  <c r="C46" i="23"/>
  <c r="B46" i="23"/>
  <c r="A46" i="23"/>
  <c r="F45" i="23"/>
  <c r="E45" i="23"/>
  <c r="D45" i="23"/>
  <c r="C45" i="23"/>
  <c r="B45" i="23"/>
  <c r="A45" i="23"/>
  <c r="F44" i="23"/>
  <c r="E44" i="23"/>
  <c r="D44" i="23"/>
  <c r="C44" i="23"/>
  <c r="B44" i="23"/>
  <c r="A44" i="23"/>
  <c r="F43" i="23"/>
  <c r="E43" i="23"/>
  <c r="D43" i="23"/>
  <c r="C43" i="23"/>
  <c r="B43" i="23"/>
  <c r="A43" i="23"/>
  <c r="F42" i="23"/>
  <c r="E42" i="23"/>
  <c r="D42" i="23"/>
  <c r="C42" i="23"/>
  <c r="B42" i="23"/>
  <c r="A42" i="23"/>
  <c r="F41" i="23"/>
  <c r="E41" i="23"/>
  <c r="D41" i="23"/>
  <c r="C41" i="23"/>
  <c r="B41" i="23"/>
  <c r="A41" i="23"/>
  <c r="F40" i="23"/>
  <c r="E40" i="23"/>
  <c r="D40" i="23"/>
  <c r="C40" i="23"/>
  <c r="B40" i="23"/>
  <c r="A40" i="23"/>
  <c r="F39" i="23"/>
  <c r="E39" i="23"/>
  <c r="D39" i="23"/>
  <c r="C39" i="23"/>
  <c r="B39" i="23"/>
  <c r="A39" i="23"/>
  <c r="F38" i="23"/>
  <c r="E38" i="23"/>
  <c r="D38" i="23"/>
  <c r="C38" i="23"/>
  <c r="B38" i="23"/>
  <c r="A38" i="23"/>
  <c r="F37" i="23"/>
  <c r="E37" i="23"/>
  <c r="D37" i="23"/>
  <c r="C37" i="23"/>
  <c r="B37" i="23"/>
  <c r="A37" i="23"/>
  <c r="F36" i="23"/>
  <c r="E36" i="23"/>
  <c r="D36" i="23"/>
  <c r="C36" i="23"/>
  <c r="B36" i="23"/>
  <c r="A36" i="23"/>
  <c r="A32" i="23"/>
  <c r="B32" i="23"/>
  <c r="C32" i="23"/>
  <c r="D32" i="23"/>
  <c r="E32" i="23"/>
  <c r="F32" i="23"/>
  <c r="A33" i="23"/>
  <c r="B33" i="23"/>
  <c r="C33" i="23"/>
  <c r="D33" i="23"/>
  <c r="E33" i="23"/>
  <c r="F33" i="23"/>
  <c r="F31" i="23"/>
  <c r="E31" i="23"/>
  <c r="D31" i="23"/>
  <c r="C31" i="23"/>
  <c r="B31" i="23"/>
  <c r="A31" i="23"/>
  <c r="F30" i="23"/>
  <c r="E30" i="23"/>
  <c r="D30" i="23"/>
  <c r="C30" i="23"/>
  <c r="B30" i="23"/>
  <c r="A30" i="23"/>
  <c r="F29" i="23"/>
  <c r="E29" i="23"/>
  <c r="D29" i="23"/>
  <c r="C29" i="23"/>
  <c r="B29" i="23"/>
  <c r="A29" i="23"/>
  <c r="F28" i="23"/>
  <c r="E28" i="23"/>
  <c r="D28" i="23"/>
  <c r="C28" i="23"/>
  <c r="B28" i="23"/>
  <c r="A28" i="23"/>
  <c r="F27" i="23"/>
  <c r="E27" i="23"/>
  <c r="D27" i="23"/>
  <c r="C27" i="23"/>
  <c r="B27" i="23"/>
  <c r="A27" i="23"/>
  <c r="F26" i="23"/>
  <c r="E26" i="23"/>
  <c r="D26" i="23"/>
  <c r="C26" i="23"/>
  <c r="B26" i="23"/>
  <c r="A26" i="23"/>
  <c r="F25" i="23"/>
  <c r="E25" i="23"/>
  <c r="D25" i="23"/>
  <c r="C25" i="23"/>
  <c r="B25" i="23"/>
  <c r="A25" i="23"/>
  <c r="F24" i="23"/>
  <c r="E24" i="23"/>
  <c r="D24" i="23"/>
  <c r="C24" i="23"/>
  <c r="B24" i="23"/>
  <c r="A24" i="23"/>
  <c r="F23" i="23"/>
  <c r="E23" i="23"/>
  <c r="D23" i="23"/>
  <c r="C23" i="23"/>
  <c r="B23" i="23"/>
  <c r="A23" i="23"/>
  <c r="F22" i="23"/>
  <c r="E22" i="23"/>
  <c r="D22" i="23"/>
  <c r="C22" i="23"/>
  <c r="B22" i="23"/>
  <c r="A22" i="23"/>
  <c r="F21" i="23"/>
  <c r="E21" i="23"/>
  <c r="D21" i="23"/>
  <c r="C21" i="23"/>
  <c r="B21" i="23"/>
  <c r="A21" i="23"/>
  <c r="F20" i="23"/>
  <c r="E20" i="23"/>
  <c r="D20" i="23"/>
  <c r="C20" i="23"/>
  <c r="B20" i="23"/>
  <c r="A20" i="23"/>
  <c r="F19" i="23"/>
  <c r="E19" i="23"/>
  <c r="D19" i="23"/>
  <c r="C19" i="23"/>
  <c r="B19" i="23"/>
  <c r="A19" i="23"/>
  <c r="F18" i="23"/>
  <c r="E18" i="23"/>
  <c r="D18" i="23"/>
  <c r="C18" i="23"/>
  <c r="B18" i="23"/>
  <c r="A18" i="23"/>
  <c r="F17" i="23"/>
  <c r="E17" i="23"/>
  <c r="D17" i="23"/>
  <c r="C17" i="23"/>
  <c r="B17" i="23"/>
  <c r="A17" i="23"/>
  <c r="F16" i="23"/>
  <c r="E16" i="23"/>
  <c r="D16" i="23"/>
  <c r="C16" i="23"/>
  <c r="B16" i="23"/>
  <c r="A16" i="23"/>
  <c r="F15" i="23"/>
  <c r="E15" i="23"/>
  <c r="D15" i="23"/>
  <c r="C15" i="23"/>
  <c r="B15" i="23"/>
  <c r="A15" i="23"/>
  <c r="F14" i="23"/>
  <c r="E14" i="23"/>
  <c r="D14" i="23"/>
  <c r="C14" i="23"/>
  <c r="B14" i="23"/>
  <c r="A14" i="23"/>
  <c r="F13" i="23"/>
  <c r="E13" i="23"/>
  <c r="D13" i="23"/>
  <c r="C13" i="23"/>
  <c r="B13" i="23"/>
  <c r="A13" i="23"/>
  <c r="F12" i="23"/>
  <c r="E12" i="23"/>
  <c r="D12" i="23"/>
  <c r="C12" i="23"/>
  <c r="B12" i="23"/>
  <c r="A12" i="23"/>
  <c r="F11" i="23"/>
  <c r="E11" i="23"/>
  <c r="D11" i="23"/>
  <c r="C11" i="23"/>
  <c r="B11" i="23"/>
  <c r="A11" i="23"/>
  <c r="F10" i="23"/>
  <c r="E10" i="23"/>
  <c r="D10" i="23"/>
  <c r="C10" i="23"/>
  <c r="B10" i="23"/>
  <c r="A10" i="23"/>
  <c r="F9" i="23"/>
  <c r="E9" i="23"/>
  <c r="D9" i="23"/>
  <c r="C9" i="23"/>
  <c r="B9" i="23"/>
  <c r="A9" i="23"/>
  <c r="F8" i="23"/>
  <c r="E8" i="23"/>
  <c r="D8" i="23"/>
  <c r="C8" i="23"/>
  <c r="B8" i="23"/>
  <c r="A8" i="23"/>
  <c r="F7" i="23"/>
  <c r="E7" i="23"/>
  <c r="D7" i="23"/>
  <c r="C7" i="23"/>
  <c r="B7" i="23"/>
  <c r="A7" i="23"/>
  <c r="F6" i="23"/>
  <c r="E6" i="23"/>
  <c r="D6" i="23"/>
  <c r="C6" i="23"/>
  <c r="B6" i="23"/>
  <c r="A6" i="23"/>
  <c r="F5" i="23"/>
  <c r="E5" i="23"/>
  <c r="D5" i="23"/>
  <c r="C5" i="23"/>
  <c r="B5" i="23"/>
  <c r="A5" i="23"/>
  <c r="F4" i="23"/>
  <c r="E4" i="23"/>
  <c r="D4" i="23"/>
  <c r="C4" i="23"/>
  <c r="A4" i="23"/>
  <c r="F3" i="23"/>
  <c r="E3" i="23"/>
  <c r="D3" i="23"/>
  <c r="C3" i="23"/>
  <c r="B3" i="23"/>
  <c r="A3" i="23"/>
  <c r="B4" i="23"/>
  <c r="A36" i="24"/>
  <c r="B36" i="24"/>
  <c r="C36" i="24"/>
  <c r="D36" i="24"/>
  <c r="E36" i="24"/>
  <c r="F36" i="24"/>
  <c r="F67" i="24"/>
  <c r="E67" i="24"/>
  <c r="D67" i="24"/>
  <c r="C67" i="24"/>
  <c r="B67" i="24"/>
  <c r="A67" i="24"/>
  <c r="F66" i="24"/>
  <c r="E66" i="24"/>
  <c r="D66" i="24"/>
  <c r="C66" i="24"/>
  <c r="B66" i="24"/>
  <c r="A66" i="24"/>
  <c r="F65" i="24"/>
  <c r="E65" i="24"/>
  <c r="D65" i="24"/>
  <c r="C65" i="24"/>
  <c r="B65" i="24"/>
  <c r="A65" i="24"/>
  <c r="F64" i="24"/>
  <c r="E64" i="24"/>
  <c r="D64" i="24"/>
  <c r="C64" i="24"/>
  <c r="B64" i="24"/>
  <c r="A64" i="24"/>
  <c r="F63" i="24"/>
  <c r="E63" i="24"/>
  <c r="D63" i="24"/>
  <c r="C63" i="24"/>
  <c r="B63" i="24"/>
  <c r="A63" i="24"/>
  <c r="F62" i="24"/>
  <c r="E62" i="24"/>
  <c r="D62" i="24"/>
  <c r="C62" i="24"/>
  <c r="B62" i="24"/>
  <c r="A62" i="24"/>
  <c r="F61" i="24"/>
  <c r="E61" i="24"/>
  <c r="D61" i="24"/>
  <c r="C61" i="24"/>
  <c r="B61" i="24"/>
  <c r="A61" i="24"/>
  <c r="F60" i="24"/>
  <c r="E60" i="24"/>
  <c r="D60" i="24"/>
  <c r="C60" i="24"/>
  <c r="B60" i="24"/>
  <c r="A60" i="24"/>
  <c r="F59" i="24"/>
  <c r="E59" i="24"/>
  <c r="D59" i="24"/>
  <c r="C59" i="24"/>
  <c r="B59" i="24"/>
  <c r="A59" i="24"/>
  <c r="F58" i="24"/>
  <c r="E58" i="24"/>
  <c r="D58" i="24"/>
  <c r="C58" i="24"/>
  <c r="B58" i="24"/>
  <c r="A58" i="24"/>
  <c r="F57" i="24"/>
  <c r="E57" i="24"/>
  <c r="D57" i="24"/>
  <c r="C57" i="24"/>
  <c r="B57" i="24"/>
  <c r="A57" i="24"/>
  <c r="F56" i="24"/>
  <c r="E56" i="24"/>
  <c r="D56" i="24"/>
  <c r="C56" i="24"/>
  <c r="B56" i="24"/>
  <c r="A56" i="24"/>
  <c r="F55" i="24"/>
  <c r="E55" i="24"/>
  <c r="D55" i="24"/>
  <c r="C55" i="24"/>
  <c r="B55" i="24"/>
  <c r="A55" i="24"/>
  <c r="F54" i="24"/>
  <c r="E54" i="24"/>
  <c r="D54" i="24"/>
  <c r="C54" i="24"/>
  <c r="B54" i="24"/>
  <c r="A54" i="24"/>
  <c r="F53" i="24"/>
  <c r="E53" i="24"/>
  <c r="D53" i="24"/>
  <c r="C53" i="24"/>
  <c r="B53" i="24"/>
  <c r="A53" i="24"/>
  <c r="F52" i="24"/>
  <c r="E52" i="24"/>
  <c r="D52" i="24"/>
  <c r="C52" i="24"/>
  <c r="B52" i="24"/>
  <c r="A52" i="24"/>
  <c r="F51" i="24"/>
  <c r="E51" i="24"/>
  <c r="D51" i="24"/>
  <c r="C51" i="24"/>
  <c r="B51" i="24"/>
  <c r="A51" i="24"/>
  <c r="F50" i="24"/>
  <c r="E50" i="24"/>
  <c r="D50" i="24"/>
  <c r="C50" i="24"/>
  <c r="B50" i="24"/>
  <c r="A50" i="24"/>
  <c r="F49" i="24"/>
  <c r="E49" i="24"/>
  <c r="D49" i="24"/>
  <c r="C49" i="24"/>
  <c r="B49" i="24"/>
  <c r="A49" i="24"/>
  <c r="F48" i="24"/>
  <c r="E48" i="24"/>
  <c r="D48" i="24"/>
  <c r="C48" i="24"/>
  <c r="B48" i="24"/>
  <c r="A48" i="24"/>
  <c r="F47" i="24"/>
  <c r="E47" i="24"/>
  <c r="D47" i="24"/>
  <c r="C47" i="24"/>
  <c r="B47" i="24"/>
  <c r="A47" i="24"/>
  <c r="F46" i="24"/>
  <c r="E46" i="24"/>
  <c r="D46" i="24"/>
  <c r="C46" i="24"/>
  <c r="B46" i="24"/>
  <c r="A46" i="24"/>
  <c r="F45" i="24"/>
  <c r="E45" i="24"/>
  <c r="D45" i="24"/>
  <c r="C45" i="24"/>
  <c r="B45" i="24"/>
  <c r="A45" i="24"/>
  <c r="F44" i="24"/>
  <c r="E44" i="24"/>
  <c r="D44" i="24"/>
  <c r="C44" i="24"/>
  <c r="B44" i="24"/>
  <c r="A44" i="24"/>
  <c r="F43" i="24"/>
  <c r="E43" i="24"/>
  <c r="D43" i="24"/>
  <c r="C43" i="24"/>
  <c r="B43" i="24"/>
  <c r="A43" i="24"/>
  <c r="F42" i="24"/>
  <c r="E42" i="24"/>
  <c r="D42" i="24"/>
  <c r="C42" i="24"/>
  <c r="B42" i="24"/>
  <c r="A42" i="24"/>
  <c r="F41" i="24"/>
  <c r="E41" i="24"/>
  <c r="D41" i="24"/>
  <c r="C41" i="24"/>
  <c r="B41" i="24"/>
  <c r="A41" i="24"/>
  <c r="F40" i="24"/>
  <c r="E40" i="24"/>
  <c r="D40" i="24"/>
  <c r="C40" i="24"/>
  <c r="B40" i="24"/>
  <c r="A40" i="24"/>
  <c r="F39" i="24"/>
  <c r="E39" i="24"/>
  <c r="D39" i="24"/>
  <c r="C39" i="24"/>
  <c r="B39" i="24"/>
  <c r="A39" i="24"/>
  <c r="F38" i="24"/>
  <c r="E38" i="24"/>
  <c r="D38" i="24"/>
  <c r="C38" i="24"/>
  <c r="B38" i="24"/>
  <c r="A38" i="24"/>
  <c r="F37" i="24"/>
  <c r="E37" i="24"/>
  <c r="D37" i="24"/>
  <c r="C37" i="24"/>
  <c r="B37" i="24"/>
  <c r="A37" i="24"/>
  <c r="F33" i="22"/>
  <c r="E33" i="22"/>
  <c r="D33" i="22"/>
  <c r="C33" i="22"/>
  <c r="B33" i="22"/>
  <c r="A33" i="22"/>
  <c r="F32" i="22"/>
  <c r="E32" i="22"/>
  <c r="D32" i="22"/>
  <c r="C32" i="22"/>
  <c r="B32" i="22"/>
  <c r="A32" i="22"/>
  <c r="F31" i="22"/>
  <c r="E31" i="22"/>
  <c r="D31" i="22"/>
  <c r="C31" i="22"/>
  <c r="B31" i="22"/>
  <c r="A31" i="22"/>
  <c r="F30" i="22"/>
  <c r="E30" i="22"/>
  <c r="D30" i="22"/>
  <c r="C30" i="22"/>
  <c r="B30" i="22"/>
  <c r="A30" i="22"/>
  <c r="F29" i="22"/>
  <c r="E29" i="22"/>
  <c r="D29" i="22"/>
  <c r="C29" i="22"/>
  <c r="B29" i="22"/>
  <c r="A29" i="22"/>
  <c r="F28" i="22"/>
  <c r="E28" i="22"/>
  <c r="D28" i="22"/>
  <c r="C28" i="22"/>
  <c r="B28" i="22"/>
  <c r="A28" i="22"/>
  <c r="F27" i="22"/>
  <c r="E27" i="22"/>
  <c r="D27" i="22"/>
  <c r="C27" i="22"/>
  <c r="B27" i="22"/>
  <c r="A27" i="22"/>
  <c r="F26" i="22"/>
  <c r="E26" i="22"/>
  <c r="D26" i="22"/>
  <c r="C26" i="22"/>
  <c r="B26" i="22"/>
  <c r="A26" i="22"/>
  <c r="F25" i="22"/>
  <c r="E25" i="22"/>
  <c r="D25" i="22"/>
  <c r="C25" i="22"/>
  <c r="B25" i="22"/>
  <c r="A25" i="22"/>
  <c r="F24" i="22"/>
  <c r="E24" i="22"/>
  <c r="D24" i="22"/>
  <c r="C24" i="22"/>
  <c r="B24" i="22"/>
  <c r="A24" i="22"/>
  <c r="F23" i="22"/>
  <c r="E23" i="22"/>
  <c r="D23" i="22"/>
  <c r="C23" i="22"/>
  <c r="B23" i="22"/>
  <c r="A23" i="22"/>
  <c r="F22" i="22"/>
  <c r="E22" i="22"/>
  <c r="D22" i="22"/>
  <c r="C22" i="22"/>
  <c r="B22" i="22"/>
  <c r="A22" i="22"/>
  <c r="F21" i="22"/>
  <c r="E21" i="22"/>
  <c r="D21" i="22"/>
  <c r="C21" i="22"/>
  <c r="B21" i="22"/>
  <c r="A21" i="22"/>
  <c r="F20" i="22"/>
  <c r="E20" i="22"/>
  <c r="D20" i="22"/>
  <c r="C20" i="22"/>
  <c r="B20" i="22"/>
  <c r="A20" i="22"/>
  <c r="F19" i="22"/>
  <c r="E19" i="22"/>
  <c r="D19" i="22"/>
  <c r="C19" i="22"/>
  <c r="B19" i="22"/>
  <c r="A19" i="22"/>
  <c r="F18" i="22"/>
  <c r="E18" i="22"/>
  <c r="D18" i="22"/>
  <c r="C18" i="22"/>
  <c r="B18" i="22"/>
  <c r="A18" i="22"/>
  <c r="F17" i="22"/>
  <c r="E17" i="22"/>
  <c r="D17" i="22"/>
  <c r="C17" i="22"/>
  <c r="B17" i="22"/>
  <c r="A17" i="22"/>
  <c r="F16" i="22"/>
  <c r="E16" i="22"/>
  <c r="D16" i="22"/>
  <c r="C16" i="22"/>
  <c r="B16" i="22"/>
  <c r="A16" i="22"/>
  <c r="F15" i="22"/>
  <c r="E15" i="22"/>
  <c r="D15" i="22"/>
  <c r="C15" i="22"/>
  <c r="B15" i="22"/>
  <c r="A15" i="22"/>
  <c r="F14" i="22"/>
  <c r="E14" i="22"/>
  <c r="D14" i="22"/>
  <c r="C14" i="22"/>
  <c r="B14" i="22"/>
  <c r="A14" i="22"/>
  <c r="F13" i="22"/>
  <c r="E13" i="22"/>
  <c r="D13" i="22"/>
  <c r="C13" i="22"/>
  <c r="B13" i="22"/>
  <c r="A13" i="22"/>
  <c r="F12" i="22"/>
  <c r="E12" i="22"/>
  <c r="D12" i="22"/>
  <c r="C12" i="22"/>
  <c r="B12" i="22"/>
  <c r="A12" i="22"/>
  <c r="F11" i="22"/>
  <c r="E11" i="22"/>
  <c r="D11" i="22"/>
  <c r="C11" i="22"/>
  <c r="B11" i="22"/>
  <c r="A11" i="22"/>
  <c r="F10" i="22"/>
  <c r="E10" i="22"/>
  <c r="D10" i="22"/>
  <c r="C10" i="22"/>
  <c r="B10" i="22"/>
  <c r="A10" i="22"/>
  <c r="F9" i="22"/>
  <c r="E9" i="22"/>
  <c r="D9" i="22"/>
  <c r="C9" i="22"/>
  <c r="B9" i="22"/>
  <c r="A9" i="22"/>
  <c r="F8" i="22"/>
  <c r="E8" i="22"/>
  <c r="D8" i="22"/>
  <c r="C8" i="22"/>
  <c r="B8" i="22"/>
  <c r="A8" i="22"/>
  <c r="F7" i="22"/>
  <c r="E7" i="22"/>
  <c r="D7" i="22"/>
  <c r="C7" i="22"/>
  <c r="B7" i="22"/>
  <c r="A7" i="22"/>
  <c r="F6" i="22"/>
  <c r="E6" i="22"/>
  <c r="D6" i="22"/>
  <c r="C6" i="22"/>
  <c r="B6" i="22"/>
  <c r="A6" i="22"/>
  <c r="F5" i="22"/>
  <c r="E5" i="22"/>
  <c r="D5" i="22"/>
  <c r="C5" i="22"/>
  <c r="B5" i="22"/>
  <c r="A5" i="22"/>
  <c r="F4" i="22"/>
  <c r="E4" i="22"/>
  <c r="D4" i="22"/>
  <c r="C4" i="22"/>
  <c r="B4" i="22"/>
  <c r="A4" i="22"/>
  <c r="F3" i="22"/>
  <c r="E3" i="22"/>
  <c r="D3" i="22"/>
  <c r="C3" i="22"/>
  <c r="B3" i="22"/>
  <c r="A3" i="22"/>
  <c r="F2" i="22"/>
  <c r="E2" i="22"/>
  <c r="D2" i="22"/>
  <c r="C2" i="22"/>
  <c r="B2" i="22"/>
  <c r="A2" i="22"/>
  <c r="A1" i="22"/>
  <c r="F33" i="21"/>
  <c r="E33" i="21"/>
  <c r="D33" i="21"/>
  <c r="C33" i="21"/>
  <c r="B33" i="21"/>
  <c r="A33" i="21"/>
  <c r="F32" i="21"/>
  <c r="E32" i="21"/>
  <c r="D32" i="21"/>
  <c r="C32" i="21"/>
  <c r="B32" i="21"/>
  <c r="A32" i="21"/>
  <c r="F31" i="21"/>
  <c r="E31" i="21"/>
  <c r="D31" i="21"/>
  <c r="C31" i="21"/>
  <c r="B31" i="21"/>
  <c r="A31" i="21"/>
  <c r="F30" i="21"/>
  <c r="E30" i="21"/>
  <c r="D30" i="21"/>
  <c r="C30" i="21"/>
  <c r="B30" i="21"/>
  <c r="A30" i="21"/>
  <c r="F29" i="21"/>
  <c r="E29" i="21"/>
  <c r="D29" i="21"/>
  <c r="C29" i="21"/>
  <c r="B29" i="21"/>
  <c r="A29" i="21"/>
  <c r="F28" i="21"/>
  <c r="E28" i="21"/>
  <c r="D28" i="21"/>
  <c r="C28" i="21"/>
  <c r="B28" i="21"/>
  <c r="A28" i="21"/>
  <c r="F27" i="21"/>
  <c r="E27" i="21"/>
  <c r="D27" i="21"/>
  <c r="C27" i="21"/>
  <c r="B27" i="21"/>
  <c r="A27" i="21"/>
  <c r="F26" i="21"/>
  <c r="E26" i="21"/>
  <c r="D26" i="21"/>
  <c r="C26" i="21"/>
  <c r="B26" i="21"/>
  <c r="A26" i="21"/>
  <c r="F25" i="21"/>
  <c r="E25" i="21"/>
  <c r="D25" i="21"/>
  <c r="C25" i="21"/>
  <c r="B25" i="21"/>
  <c r="A25" i="21"/>
  <c r="F24" i="21"/>
  <c r="E24" i="21"/>
  <c r="D24" i="21"/>
  <c r="C24" i="21"/>
  <c r="B24" i="21"/>
  <c r="A24" i="21"/>
  <c r="F23" i="21"/>
  <c r="E23" i="21"/>
  <c r="D23" i="21"/>
  <c r="C23" i="21"/>
  <c r="B23" i="21"/>
  <c r="A23" i="21"/>
  <c r="F22" i="21"/>
  <c r="E22" i="21"/>
  <c r="D22" i="21"/>
  <c r="C22" i="21"/>
  <c r="B22" i="21"/>
  <c r="A22" i="21"/>
  <c r="F21" i="21"/>
  <c r="E21" i="21"/>
  <c r="D21" i="21"/>
  <c r="C21" i="21"/>
  <c r="B21" i="21"/>
  <c r="A21" i="21"/>
  <c r="F20" i="21"/>
  <c r="E20" i="21"/>
  <c r="D20" i="21"/>
  <c r="C20" i="21"/>
  <c r="B20" i="21"/>
  <c r="A20" i="21"/>
  <c r="F19" i="21"/>
  <c r="E19" i="21"/>
  <c r="D19" i="21"/>
  <c r="C19" i="21"/>
  <c r="B19" i="21"/>
  <c r="A19" i="21"/>
  <c r="F18" i="21"/>
  <c r="E18" i="21"/>
  <c r="D18" i="21"/>
  <c r="C18" i="21"/>
  <c r="B18" i="21"/>
  <c r="A18" i="21"/>
  <c r="F17" i="21"/>
  <c r="E17" i="21"/>
  <c r="D17" i="21"/>
  <c r="C17" i="21"/>
  <c r="B17" i="21"/>
  <c r="A17" i="21"/>
  <c r="F16" i="21"/>
  <c r="E16" i="21"/>
  <c r="D16" i="21"/>
  <c r="C16" i="21"/>
  <c r="B16" i="21"/>
  <c r="A16" i="21"/>
  <c r="F15" i="21"/>
  <c r="E15" i="21"/>
  <c r="D15" i="21"/>
  <c r="C15" i="21"/>
  <c r="B15" i="21"/>
  <c r="A15" i="21"/>
  <c r="F14" i="21"/>
  <c r="E14" i="21"/>
  <c r="D14" i="21"/>
  <c r="C14" i="21"/>
  <c r="B14" i="21"/>
  <c r="A14" i="21"/>
  <c r="F13" i="21"/>
  <c r="E13" i="21"/>
  <c r="D13" i="21"/>
  <c r="C13" i="21"/>
  <c r="B13" i="21"/>
  <c r="A13" i="21"/>
  <c r="F12" i="21"/>
  <c r="E12" i="21"/>
  <c r="D12" i="21"/>
  <c r="C12" i="21"/>
  <c r="B12" i="21"/>
  <c r="A12" i="21"/>
  <c r="F11" i="21"/>
  <c r="E11" i="21"/>
  <c r="D11" i="21"/>
  <c r="C11" i="21"/>
  <c r="B11" i="21"/>
  <c r="A11" i="21"/>
  <c r="F10" i="21"/>
  <c r="E10" i="21"/>
  <c r="D10" i="21"/>
  <c r="C10" i="21"/>
  <c r="B10" i="21"/>
  <c r="A10" i="21"/>
  <c r="F9" i="21"/>
  <c r="E9" i="21"/>
  <c r="D9" i="21"/>
  <c r="C9" i="21"/>
  <c r="B9" i="21"/>
  <c r="A9" i="21"/>
  <c r="F8" i="21"/>
  <c r="E8" i="21"/>
  <c r="D8" i="21"/>
  <c r="C8" i="21"/>
  <c r="B8" i="21"/>
  <c r="A8" i="21"/>
  <c r="F7" i="21"/>
  <c r="E7" i="21"/>
  <c r="D7" i="21"/>
  <c r="C7" i="21"/>
  <c r="B7" i="21"/>
  <c r="A7" i="21"/>
  <c r="F6" i="21"/>
  <c r="E6" i="21"/>
  <c r="D6" i="21"/>
  <c r="C6" i="21"/>
  <c r="B6" i="21"/>
  <c r="A6" i="21"/>
  <c r="F5" i="21"/>
  <c r="E5" i="21"/>
  <c r="D5" i="21"/>
  <c r="C5" i="21"/>
  <c r="B5" i="21"/>
  <c r="A5" i="21"/>
  <c r="F4" i="21"/>
  <c r="E4" i="21"/>
  <c r="D4" i="21"/>
  <c r="C4" i="21"/>
  <c r="B4" i="21"/>
  <c r="A4" i="21"/>
  <c r="F3" i="21"/>
  <c r="E3" i="21"/>
  <c r="D3" i="21"/>
  <c r="C3" i="21"/>
  <c r="B3" i="21"/>
  <c r="A3" i="21"/>
  <c r="F2" i="21"/>
  <c r="E2" i="21"/>
  <c r="D2" i="21"/>
  <c r="C2" i="21"/>
  <c r="B2" i="21"/>
  <c r="A2" i="21"/>
  <c r="A1" i="21"/>
  <c r="F33" i="20"/>
  <c r="E33" i="20"/>
  <c r="D33" i="20"/>
  <c r="C33" i="20"/>
  <c r="B33" i="20"/>
  <c r="A33" i="20"/>
  <c r="F32" i="20"/>
  <c r="E32" i="20"/>
  <c r="D32" i="20"/>
  <c r="C32" i="20"/>
  <c r="B32" i="20"/>
  <c r="A32" i="20"/>
  <c r="F31" i="20"/>
  <c r="E31" i="20"/>
  <c r="D31" i="20"/>
  <c r="C31" i="20"/>
  <c r="B31" i="20"/>
  <c r="A31" i="20"/>
  <c r="F30" i="20"/>
  <c r="E30" i="20"/>
  <c r="D30" i="20"/>
  <c r="C30" i="20"/>
  <c r="B30" i="20"/>
  <c r="A30" i="20"/>
  <c r="F29" i="20"/>
  <c r="E29" i="20"/>
  <c r="D29" i="20"/>
  <c r="C29" i="20"/>
  <c r="B29" i="20"/>
  <c r="A29" i="20"/>
  <c r="F28" i="20"/>
  <c r="E28" i="20"/>
  <c r="D28" i="20"/>
  <c r="C28" i="20"/>
  <c r="B28" i="20"/>
  <c r="A28" i="20"/>
  <c r="F27" i="20"/>
  <c r="E27" i="20"/>
  <c r="D27" i="20"/>
  <c r="C27" i="20"/>
  <c r="B27" i="20"/>
  <c r="A27" i="20"/>
  <c r="F26" i="20"/>
  <c r="E26" i="20"/>
  <c r="D26" i="20"/>
  <c r="C26" i="20"/>
  <c r="B26" i="20"/>
  <c r="A26" i="20"/>
  <c r="F25" i="20"/>
  <c r="E25" i="20"/>
  <c r="D25" i="20"/>
  <c r="C25" i="20"/>
  <c r="B25" i="20"/>
  <c r="A25" i="20"/>
  <c r="F24" i="20"/>
  <c r="E24" i="20"/>
  <c r="D24" i="20"/>
  <c r="C24" i="20"/>
  <c r="B24" i="20"/>
  <c r="A24" i="20"/>
  <c r="F23" i="20"/>
  <c r="E23" i="20"/>
  <c r="D23" i="20"/>
  <c r="C23" i="20"/>
  <c r="B23" i="20"/>
  <c r="A23" i="20"/>
  <c r="F22" i="20"/>
  <c r="E22" i="20"/>
  <c r="D22" i="20"/>
  <c r="C22" i="20"/>
  <c r="B22" i="20"/>
  <c r="A22" i="20"/>
  <c r="F21" i="20"/>
  <c r="E21" i="20"/>
  <c r="D21" i="20"/>
  <c r="C21" i="20"/>
  <c r="B21" i="20"/>
  <c r="A21" i="20"/>
  <c r="F20" i="20"/>
  <c r="E20" i="20"/>
  <c r="D20" i="20"/>
  <c r="C20" i="20"/>
  <c r="B20" i="20"/>
  <c r="A20" i="20"/>
  <c r="F19" i="20"/>
  <c r="E19" i="20"/>
  <c r="D19" i="20"/>
  <c r="C19" i="20"/>
  <c r="B19" i="20"/>
  <c r="A19" i="20"/>
  <c r="F18" i="20"/>
  <c r="E18" i="20"/>
  <c r="D18" i="20"/>
  <c r="C18" i="20"/>
  <c r="B18" i="20"/>
  <c r="A18" i="20"/>
  <c r="F17" i="20"/>
  <c r="E17" i="20"/>
  <c r="D17" i="20"/>
  <c r="C17" i="20"/>
  <c r="B17" i="20"/>
  <c r="A17" i="20"/>
  <c r="F16" i="20"/>
  <c r="E16" i="20"/>
  <c r="D16" i="20"/>
  <c r="C16" i="20"/>
  <c r="B16" i="20"/>
  <c r="A16" i="20"/>
  <c r="F15" i="20"/>
  <c r="E15" i="20"/>
  <c r="D15" i="20"/>
  <c r="C15" i="20"/>
  <c r="B15" i="20"/>
  <c r="A15" i="20"/>
  <c r="F14" i="20"/>
  <c r="E14" i="20"/>
  <c r="D14" i="20"/>
  <c r="C14" i="20"/>
  <c r="B14" i="20"/>
  <c r="A14" i="20"/>
  <c r="F13" i="20"/>
  <c r="E13" i="20"/>
  <c r="D13" i="20"/>
  <c r="C13" i="20"/>
  <c r="B13" i="20"/>
  <c r="A13" i="20"/>
  <c r="F12" i="20"/>
  <c r="E12" i="20"/>
  <c r="D12" i="20"/>
  <c r="C12" i="20"/>
  <c r="B12" i="20"/>
  <c r="A12" i="20"/>
  <c r="F11" i="20"/>
  <c r="E11" i="20"/>
  <c r="D11" i="20"/>
  <c r="C11" i="20"/>
  <c r="B11" i="20"/>
  <c r="A11" i="20"/>
  <c r="F10" i="20"/>
  <c r="E10" i="20"/>
  <c r="D10" i="20"/>
  <c r="C10" i="20"/>
  <c r="B10" i="20"/>
  <c r="A10" i="20"/>
  <c r="F9" i="20"/>
  <c r="E9" i="20"/>
  <c r="D9" i="20"/>
  <c r="C9" i="20"/>
  <c r="B9" i="20"/>
  <c r="A9" i="20"/>
  <c r="F8" i="20"/>
  <c r="E8" i="20"/>
  <c r="D8" i="20"/>
  <c r="C8" i="20"/>
  <c r="B8" i="20"/>
  <c r="A8" i="20"/>
  <c r="F7" i="20"/>
  <c r="E7" i="20"/>
  <c r="D7" i="20"/>
  <c r="C7" i="20"/>
  <c r="B7" i="20"/>
  <c r="A7" i="20"/>
  <c r="F6" i="20"/>
  <c r="E6" i="20"/>
  <c r="D6" i="20"/>
  <c r="C6" i="20"/>
  <c r="B6" i="20"/>
  <c r="A6" i="20"/>
  <c r="F5" i="20"/>
  <c r="E5" i="20"/>
  <c r="D5" i="20"/>
  <c r="C5" i="20"/>
  <c r="B5" i="20"/>
  <c r="A5" i="20"/>
  <c r="F4" i="20"/>
  <c r="E4" i="20"/>
  <c r="D4" i="20"/>
  <c r="C4" i="20"/>
  <c r="B4" i="20"/>
  <c r="A4" i="20"/>
  <c r="F3" i="20"/>
  <c r="E3" i="20"/>
  <c r="D3" i="20"/>
  <c r="C3" i="20"/>
  <c r="B3" i="20"/>
  <c r="A3" i="20"/>
  <c r="F2" i="20"/>
  <c r="E2" i="20"/>
  <c r="D2" i="20"/>
  <c r="C2" i="20"/>
  <c r="B2" i="20"/>
  <c r="A2" i="20"/>
  <c r="A1" i="20"/>
  <c r="F33" i="19"/>
  <c r="E33" i="19"/>
  <c r="D33" i="19"/>
  <c r="C33" i="19"/>
  <c r="B33" i="19"/>
  <c r="A33" i="19"/>
  <c r="F32" i="19"/>
  <c r="F33" i="24" s="1"/>
  <c r="E32" i="19"/>
  <c r="E33" i="24" s="1"/>
  <c r="D32" i="19"/>
  <c r="D33" i="24" s="1"/>
  <c r="C32" i="19"/>
  <c r="C33" i="24" s="1"/>
  <c r="B32" i="19"/>
  <c r="A32" i="19"/>
  <c r="F31" i="19"/>
  <c r="E31" i="19"/>
  <c r="D31" i="19"/>
  <c r="D32" i="24" s="1"/>
  <c r="C31" i="19"/>
  <c r="C32" i="24" s="1"/>
  <c r="B31" i="19"/>
  <c r="B32" i="24" s="1"/>
  <c r="A31" i="19"/>
  <c r="A32" i="24" s="1"/>
  <c r="F30" i="19"/>
  <c r="F31" i="24" s="1"/>
  <c r="E30" i="19"/>
  <c r="E31" i="24" s="1"/>
  <c r="D30" i="19"/>
  <c r="C30" i="19"/>
  <c r="B30" i="19"/>
  <c r="A30" i="19"/>
  <c r="F29" i="19"/>
  <c r="F30" i="24" s="1"/>
  <c r="E29" i="19"/>
  <c r="D29" i="19"/>
  <c r="C29" i="19"/>
  <c r="C30" i="24" s="1"/>
  <c r="B29" i="19"/>
  <c r="A29" i="19"/>
  <c r="F28" i="19"/>
  <c r="E28" i="19"/>
  <c r="E29" i="24" s="1"/>
  <c r="D28" i="19"/>
  <c r="D29" i="24" s="1"/>
  <c r="C28" i="19"/>
  <c r="B28" i="19"/>
  <c r="A28" i="19"/>
  <c r="A29" i="24" s="1"/>
  <c r="F27" i="19"/>
  <c r="F28" i="24" s="1"/>
  <c r="E27" i="19"/>
  <c r="E28" i="24" s="1"/>
  <c r="D27" i="19"/>
  <c r="D28" i="24" s="1"/>
  <c r="C27" i="19"/>
  <c r="C28" i="24" s="1"/>
  <c r="B27" i="19"/>
  <c r="A27" i="19"/>
  <c r="F26" i="19"/>
  <c r="E26" i="19"/>
  <c r="D26" i="19"/>
  <c r="D27" i="24" s="1"/>
  <c r="C26" i="19"/>
  <c r="B26" i="19"/>
  <c r="A26" i="19"/>
  <c r="A27" i="24" s="1"/>
  <c r="F25" i="19"/>
  <c r="F26" i="24" s="1"/>
  <c r="E25" i="19"/>
  <c r="E26" i="24" s="1"/>
  <c r="D25" i="19"/>
  <c r="C25" i="19"/>
  <c r="B25" i="19"/>
  <c r="A25" i="19"/>
  <c r="F24" i="19"/>
  <c r="F25" i="24" s="1"/>
  <c r="E24" i="19"/>
  <c r="E25" i="24" s="1"/>
  <c r="D24" i="19"/>
  <c r="D25" i="24" s="1"/>
  <c r="C24" i="19"/>
  <c r="C25" i="24" s="1"/>
  <c r="B24" i="19"/>
  <c r="B25" i="24" s="1"/>
  <c r="A24" i="19"/>
  <c r="A25" i="24" s="1"/>
  <c r="F23" i="19"/>
  <c r="E23" i="19"/>
  <c r="D23" i="19"/>
  <c r="C23" i="19"/>
  <c r="B23" i="19"/>
  <c r="B24" i="24" s="1"/>
  <c r="A23" i="19"/>
  <c r="F22" i="19"/>
  <c r="E22" i="19"/>
  <c r="D22" i="19"/>
  <c r="C22" i="19"/>
  <c r="B22" i="19"/>
  <c r="A22" i="19"/>
  <c r="A23" i="24" s="1"/>
  <c r="F21" i="19"/>
  <c r="F22" i="24" s="1"/>
  <c r="E21" i="19"/>
  <c r="D21" i="19"/>
  <c r="C21" i="19"/>
  <c r="C22" i="24" s="1"/>
  <c r="B21" i="19"/>
  <c r="B22" i="24" s="1"/>
  <c r="A21" i="19"/>
  <c r="F20" i="19"/>
  <c r="E20" i="19"/>
  <c r="D20" i="19"/>
  <c r="C20" i="19"/>
  <c r="B20" i="19"/>
  <c r="A20" i="19"/>
  <c r="F19" i="19"/>
  <c r="E19" i="19"/>
  <c r="D19" i="19"/>
  <c r="C19" i="19"/>
  <c r="B19" i="19"/>
  <c r="A19" i="19"/>
  <c r="F18" i="19"/>
  <c r="E18" i="19"/>
  <c r="D18" i="19"/>
  <c r="C18" i="19"/>
  <c r="B18" i="19"/>
  <c r="A18" i="19"/>
  <c r="F17" i="19"/>
  <c r="E17" i="19"/>
  <c r="D17" i="19"/>
  <c r="C17" i="19"/>
  <c r="B17" i="19"/>
  <c r="A17" i="19"/>
  <c r="F16" i="19"/>
  <c r="E16" i="19"/>
  <c r="D16" i="19"/>
  <c r="C16" i="19"/>
  <c r="B16" i="19"/>
  <c r="A16" i="19"/>
  <c r="F15" i="19"/>
  <c r="E15" i="19"/>
  <c r="D15" i="19"/>
  <c r="C15" i="19"/>
  <c r="B15" i="19"/>
  <c r="A15" i="19"/>
  <c r="F14" i="19"/>
  <c r="E14" i="19"/>
  <c r="D14" i="19"/>
  <c r="C14" i="19"/>
  <c r="B14" i="19"/>
  <c r="A14" i="19"/>
  <c r="F13" i="19"/>
  <c r="E13" i="19"/>
  <c r="D13" i="19"/>
  <c r="C13" i="19"/>
  <c r="B13" i="19"/>
  <c r="A13" i="19"/>
  <c r="F12" i="19"/>
  <c r="E12" i="19"/>
  <c r="D12" i="19"/>
  <c r="C12" i="19"/>
  <c r="B12" i="19"/>
  <c r="A12" i="19"/>
  <c r="F11" i="19"/>
  <c r="E11" i="19"/>
  <c r="D11" i="19"/>
  <c r="C11" i="19"/>
  <c r="B11" i="19"/>
  <c r="A11" i="19"/>
  <c r="F10" i="19"/>
  <c r="E10" i="19"/>
  <c r="D10" i="19"/>
  <c r="C10" i="19"/>
  <c r="B10" i="19"/>
  <c r="A10" i="19"/>
  <c r="F9" i="19"/>
  <c r="E9" i="19"/>
  <c r="D9" i="19"/>
  <c r="C9" i="19"/>
  <c r="B9" i="19"/>
  <c r="A9" i="19"/>
  <c r="F8" i="19"/>
  <c r="E8" i="19"/>
  <c r="D8" i="19"/>
  <c r="C8" i="19"/>
  <c r="B8" i="19"/>
  <c r="A8" i="19"/>
  <c r="F7" i="19"/>
  <c r="E7" i="19"/>
  <c r="D7" i="19"/>
  <c r="C7" i="19"/>
  <c r="B7" i="19"/>
  <c r="A7" i="19"/>
  <c r="F6" i="19"/>
  <c r="E6" i="19"/>
  <c r="D6" i="19"/>
  <c r="C6" i="19"/>
  <c r="B6" i="19"/>
  <c r="A6" i="19"/>
  <c r="F5" i="19"/>
  <c r="E5" i="19"/>
  <c r="D5" i="19"/>
  <c r="C5" i="19"/>
  <c r="B5" i="19"/>
  <c r="A5" i="19"/>
  <c r="F4" i="19"/>
  <c r="E4" i="19"/>
  <c r="D4" i="19"/>
  <c r="C4" i="19"/>
  <c r="B4" i="19"/>
  <c r="A4" i="19"/>
  <c r="F3" i="19"/>
  <c r="E3" i="19"/>
  <c r="D3" i="19"/>
  <c r="C3" i="19"/>
  <c r="B3" i="19"/>
  <c r="A3" i="19"/>
  <c r="F2" i="19"/>
  <c r="E2" i="19"/>
  <c r="D2" i="19"/>
  <c r="C2" i="19"/>
  <c r="B2" i="19"/>
  <c r="A2" i="19"/>
  <c r="A1" i="19"/>
  <c r="D22" i="24"/>
  <c r="E22" i="24"/>
  <c r="C24" i="24"/>
  <c r="D24" i="24"/>
  <c r="E24" i="24"/>
  <c r="F24" i="24"/>
  <c r="A26" i="24"/>
  <c r="D26" i="24"/>
  <c r="C27" i="24"/>
  <c r="A28" i="24"/>
  <c r="B29" i="24"/>
  <c r="C29" i="24"/>
  <c r="D30" i="24"/>
  <c r="E30" i="24"/>
  <c r="A31" i="24"/>
  <c r="B31" i="24"/>
  <c r="E32" i="24"/>
  <c r="B33" i="24"/>
  <c r="A33" i="24"/>
  <c r="F32" i="24"/>
  <c r="B30" i="24"/>
  <c r="A30" i="24"/>
  <c r="F29" i="24"/>
  <c r="E27" i="24"/>
  <c r="C26" i="24"/>
  <c r="B26" i="24"/>
  <c r="F27" i="24"/>
  <c r="D31" i="24"/>
  <c r="B27" i="24"/>
  <c r="A24" i="24"/>
  <c r="F23" i="24"/>
  <c r="E23" i="24"/>
  <c r="D23" i="24"/>
  <c r="C23" i="24"/>
  <c r="B23" i="24"/>
  <c r="B28" i="24"/>
  <c r="C31" i="24"/>
  <c r="D9" i="40"/>
  <c r="F18" i="6"/>
  <c r="E18" i="6"/>
  <c r="D18" i="6"/>
  <c r="C18" i="6"/>
  <c r="B18" i="6"/>
  <c r="A18" i="6"/>
  <c r="F17" i="6"/>
  <c r="E17" i="6"/>
  <c r="D17" i="6"/>
  <c r="C17" i="6"/>
  <c r="B17" i="6"/>
  <c r="A17" i="6"/>
  <c r="F16" i="6"/>
  <c r="E16" i="6"/>
  <c r="D16" i="6"/>
  <c r="C16" i="6"/>
  <c r="B16" i="6"/>
  <c r="A16" i="6"/>
  <c r="F15" i="6"/>
  <c r="E15" i="6"/>
  <c r="D15" i="6"/>
  <c r="C15" i="6"/>
  <c r="B15" i="6"/>
  <c r="A15" i="6"/>
  <c r="F14" i="6"/>
  <c r="E14" i="6"/>
  <c r="D14" i="6"/>
  <c r="C14" i="6"/>
  <c r="B14" i="6"/>
  <c r="A14" i="6"/>
  <c r="F13" i="6"/>
  <c r="E13" i="6"/>
  <c r="D13" i="6"/>
  <c r="C13" i="6"/>
  <c r="B13" i="6"/>
  <c r="A13" i="6"/>
  <c r="F12" i="6"/>
  <c r="E12" i="6"/>
  <c r="D12" i="6"/>
  <c r="C12" i="6"/>
  <c r="B12" i="6"/>
  <c r="A12" i="6"/>
  <c r="F11" i="6"/>
  <c r="E11" i="6"/>
  <c r="D11" i="6"/>
  <c r="C11" i="6"/>
  <c r="B11" i="6"/>
  <c r="A11" i="6"/>
  <c r="F10" i="6"/>
  <c r="E10" i="6"/>
  <c r="D10" i="6"/>
  <c r="C10" i="6"/>
  <c r="B10" i="6"/>
  <c r="A10" i="6"/>
  <c r="F9" i="6"/>
  <c r="E9" i="6"/>
  <c r="D9" i="6"/>
  <c r="C9" i="6"/>
  <c r="B9" i="6"/>
  <c r="A9" i="6"/>
  <c r="F8" i="6"/>
  <c r="E8" i="6"/>
  <c r="D8" i="6"/>
  <c r="C8" i="6"/>
  <c r="B8" i="6"/>
  <c r="A8" i="6"/>
  <c r="F7" i="6"/>
  <c r="E7" i="6"/>
  <c r="D7" i="6"/>
  <c r="C7" i="6"/>
  <c r="B7" i="6"/>
  <c r="A7" i="6"/>
  <c r="F6" i="6"/>
  <c r="E6" i="6"/>
  <c r="D6" i="6"/>
  <c r="C6" i="6"/>
  <c r="B6" i="6"/>
  <c r="A6" i="6"/>
  <c r="F5" i="6"/>
  <c r="E5" i="6"/>
  <c r="D5" i="6"/>
  <c r="C5" i="6"/>
  <c r="B5" i="6"/>
  <c r="A5" i="6"/>
  <c r="F4" i="6"/>
  <c r="E4" i="6"/>
  <c r="D4" i="6"/>
  <c r="C4" i="6"/>
  <c r="B4" i="6"/>
  <c r="A4" i="6"/>
  <c r="F3" i="6"/>
  <c r="E3" i="6"/>
  <c r="D3" i="6"/>
  <c r="C3" i="6"/>
  <c r="B3" i="6"/>
  <c r="A3" i="6"/>
  <c r="F2" i="6"/>
  <c r="E2" i="6"/>
  <c r="D2" i="6"/>
  <c r="C2" i="6"/>
  <c r="B2" i="6"/>
  <c r="A2" i="6"/>
  <c r="A1" i="6"/>
  <c r="F55" i="39"/>
  <c r="E55" i="39"/>
  <c r="D55" i="39"/>
  <c r="C55" i="39"/>
  <c r="B55" i="39"/>
  <c r="A55" i="39"/>
  <c r="F54" i="39"/>
  <c r="E54" i="39"/>
  <c r="D54" i="39"/>
  <c r="C54" i="39"/>
  <c r="C52" i="40" s="1"/>
  <c r="B54" i="39"/>
  <c r="B52" i="40" s="1"/>
  <c r="A54" i="39"/>
  <c r="A52" i="40" s="1"/>
  <c r="F53" i="39"/>
  <c r="F51" i="40" s="1"/>
  <c r="E53" i="39"/>
  <c r="E51" i="40" s="1"/>
  <c r="D53" i="39"/>
  <c r="D51" i="40" s="1"/>
  <c r="C53" i="39"/>
  <c r="C51" i="40" s="1"/>
  <c r="B53" i="39"/>
  <c r="B51" i="40" s="1"/>
  <c r="A53" i="39"/>
  <c r="A51" i="40" s="1"/>
  <c r="F52" i="39"/>
  <c r="F50" i="40" s="1"/>
  <c r="E52" i="39"/>
  <c r="D52" i="39"/>
  <c r="C52" i="39"/>
  <c r="B52" i="39"/>
  <c r="A52" i="39"/>
  <c r="F51" i="39"/>
  <c r="E51" i="39"/>
  <c r="D51" i="39"/>
  <c r="C51" i="39"/>
  <c r="B51" i="39"/>
  <c r="A51" i="39"/>
  <c r="F50" i="39"/>
  <c r="F48" i="40" s="1"/>
  <c r="E50" i="39"/>
  <c r="E48" i="40" s="1"/>
  <c r="D50" i="39"/>
  <c r="D48" i="40" s="1"/>
  <c r="C50" i="39"/>
  <c r="C48" i="40" s="1"/>
  <c r="B50" i="39"/>
  <c r="B48" i="40" s="1"/>
  <c r="A50" i="39"/>
  <c r="A48" i="40" s="1"/>
  <c r="F49" i="39"/>
  <c r="F47" i="40" s="1"/>
  <c r="E49" i="39"/>
  <c r="E47" i="40" s="1"/>
  <c r="D49" i="39"/>
  <c r="D47" i="40" s="1"/>
  <c r="C49" i="39"/>
  <c r="B49" i="39"/>
  <c r="A49" i="39"/>
  <c r="F48" i="39"/>
  <c r="E48" i="39"/>
  <c r="D48" i="39"/>
  <c r="C48" i="39"/>
  <c r="B48" i="39"/>
  <c r="B46" i="40" s="1"/>
  <c r="A48" i="39"/>
  <c r="A46" i="40" s="1"/>
  <c r="F47" i="39"/>
  <c r="F45" i="40" s="1"/>
  <c r="E47" i="39"/>
  <c r="E45" i="40" s="1"/>
  <c r="D47" i="39"/>
  <c r="D45" i="40" s="1"/>
  <c r="C47" i="39"/>
  <c r="C45" i="40" s="1"/>
  <c r="B47" i="39"/>
  <c r="B45" i="40" s="1"/>
  <c r="A47" i="39"/>
  <c r="A45" i="40" s="1"/>
  <c r="F46" i="39"/>
  <c r="F44" i="40" s="1"/>
  <c r="E46" i="39"/>
  <c r="E44" i="40" s="1"/>
  <c r="D46" i="39"/>
  <c r="D44" i="40" s="1"/>
  <c r="C46" i="39"/>
  <c r="C44" i="40" s="1"/>
  <c r="B46" i="39"/>
  <c r="B44" i="40" s="1"/>
  <c r="A46" i="39"/>
  <c r="F45" i="39"/>
  <c r="E45" i="39"/>
  <c r="D45" i="39"/>
  <c r="C45" i="39"/>
  <c r="B45" i="39"/>
  <c r="A45" i="39"/>
  <c r="F44" i="39"/>
  <c r="E44" i="39"/>
  <c r="E42" i="40" s="1"/>
  <c r="D44" i="39"/>
  <c r="D42" i="40" s="1"/>
  <c r="C44" i="39"/>
  <c r="C42" i="40" s="1"/>
  <c r="B44" i="39"/>
  <c r="B42" i="40" s="1"/>
  <c r="A44" i="39"/>
  <c r="A42" i="40" s="1"/>
  <c r="F43" i="39"/>
  <c r="F41" i="40" s="1"/>
  <c r="E43" i="39"/>
  <c r="E41" i="40" s="1"/>
  <c r="D43" i="39"/>
  <c r="D41" i="40" s="1"/>
  <c r="C43" i="39"/>
  <c r="C41" i="40" s="1"/>
  <c r="B43" i="39"/>
  <c r="B41" i="40" s="1"/>
  <c r="A43" i="39"/>
  <c r="A41" i="40" s="1"/>
  <c r="F42" i="39"/>
  <c r="F40" i="40" s="1"/>
  <c r="E42" i="39"/>
  <c r="D42" i="39"/>
  <c r="C42" i="39"/>
  <c r="B42" i="39"/>
  <c r="A42" i="39"/>
  <c r="F41" i="39"/>
  <c r="E41" i="39"/>
  <c r="D41" i="39"/>
  <c r="C41" i="39"/>
  <c r="B41" i="39"/>
  <c r="A41" i="39"/>
  <c r="F40" i="39"/>
  <c r="F38" i="40" s="1"/>
  <c r="E40" i="39"/>
  <c r="E38" i="40" s="1"/>
  <c r="D40" i="39"/>
  <c r="D38" i="40" s="1"/>
  <c r="C40" i="39"/>
  <c r="C38" i="40" s="1"/>
  <c r="B40" i="39"/>
  <c r="B38" i="40" s="1"/>
  <c r="A40" i="39"/>
  <c r="A38" i="40" s="1"/>
  <c r="F39" i="39"/>
  <c r="E39" i="39"/>
  <c r="D39" i="39"/>
  <c r="C39" i="39"/>
  <c r="B39" i="39"/>
  <c r="A39" i="39"/>
  <c r="F38" i="39"/>
  <c r="E38" i="39"/>
  <c r="D38" i="39"/>
  <c r="C38" i="39"/>
  <c r="B38" i="39"/>
  <c r="A38" i="39"/>
  <c r="F37" i="39"/>
  <c r="E37" i="39"/>
  <c r="D37" i="39"/>
  <c r="D35" i="40" s="1"/>
  <c r="C37" i="39"/>
  <c r="C35" i="40" s="1"/>
  <c r="B37" i="39"/>
  <c r="B35" i="40" s="1"/>
  <c r="A37" i="39"/>
  <c r="A35" i="40" s="1"/>
  <c r="F36" i="39"/>
  <c r="F34" i="40" s="1"/>
  <c r="E36" i="39"/>
  <c r="E34" i="40" s="1"/>
  <c r="D36" i="39"/>
  <c r="D34" i="40" s="1"/>
  <c r="C36" i="39"/>
  <c r="C34" i="40" s="1"/>
  <c r="B36" i="39"/>
  <c r="B34" i="40" s="1"/>
  <c r="A36" i="39"/>
  <c r="F35" i="39"/>
  <c r="E35" i="39"/>
  <c r="D35" i="39"/>
  <c r="C35" i="39"/>
  <c r="B35" i="39"/>
  <c r="A35" i="39"/>
  <c r="F34" i="39"/>
  <c r="F32" i="40" s="1"/>
  <c r="E34" i="39"/>
  <c r="E32" i="40" s="1"/>
  <c r="D34" i="39"/>
  <c r="D32" i="40" s="1"/>
  <c r="C34" i="39"/>
  <c r="C32" i="40" s="1"/>
  <c r="B34" i="39"/>
  <c r="B32" i="40" s="1"/>
  <c r="A34" i="39"/>
  <c r="A32" i="40" s="1"/>
  <c r="F33" i="39"/>
  <c r="F31" i="40" s="1"/>
  <c r="E33" i="39"/>
  <c r="E31" i="40" s="1"/>
  <c r="D33" i="39"/>
  <c r="D31" i="40" s="1"/>
  <c r="C33" i="39"/>
  <c r="C31" i="40" s="1"/>
  <c r="B33" i="39"/>
  <c r="B31" i="40" s="1"/>
  <c r="A33" i="39"/>
  <c r="A31" i="40" s="1"/>
  <c r="F32" i="39"/>
  <c r="F30" i="40" s="1"/>
  <c r="E32" i="39"/>
  <c r="D32" i="39"/>
  <c r="C32" i="39"/>
  <c r="B32" i="39"/>
  <c r="A32" i="39"/>
  <c r="F31" i="39"/>
  <c r="E31" i="39"/>
  <c r="D31" i="39"/>
  <c r="C31" i="39"/>
  <c r="B31" i="39"/>
  <c r="A31" i="39"/>
  <c r="F30" i="39"/>
  <c r="F28" i="40" s="1"/>
  <c r="E30" i="39"/>
  <c r="E28" i="40" s="1"/>
  <c r="D30" i="39"/>
  <c r="D28" i="40" s="1"/>
  <c r="C30" i="39"/>
  <c r="C28" i="40" s="1"/>
  <c r="B30" i="39"/>
  <c r="B28" i="40" s="1"/>
  <c r="A30" i="39"/>
  <c r="A28" i="40" s="1"/>
  <c r="F29" i="39"/>
  <c r="E29" i="39"/>
  <c r="E27" i="40" s="1"/>
  <c r="D29" i="39"/>
  <c r="D27" i="40" s="1"/>
  <c r="C29" i="39"/>
  <c r="B29" i="39"/>
  <c r="A29" i="39"/>
  <c r="F28" i="39"/>
  <c r="E28" i="39"/>
  <c r="D28" i="39"/>
  <c r="C28" i="39"/>
  <c r="B28" i="39"/>
  <c r="A28" i="39"/>
  <c r="F27" i="39"/>
  <c r="E27" i="39"/>
  <c r="D27" i="39"/>
  <c r="D25" i="40" s="1"/>
  <c r="C27" i="39"/>
  <c r="C25" i="40" s="1"/>
  <c r="B27" i="39"/>
  <c r="B25" i="40" s="1"/>
  <c r="A27" i="39"/>
  <c r="A25" i="40" s="1"/>
  <c r="F26" i="39"/>
  <c r="F24" i="40" s="1"/>
  <c r="E26" i="39"/>
  <c r="E24" i="40" s="1"/>
  <c r="D26" i="39"/>
  <c r="D24" i="40" s="1"/>
  <c r="C26" i="39"/>
  <c r="C24" i="40" s="1"/>
  <c r="B26" i="39"/>
  <c r="B24" i="40" s="1"/>
  <c r="A26" i="39"/>
  <c r="F25" i="39"/>
  <c r="E25" i="39"/>
  <c r="D25" i="39"/>
  <c r="C25" i="39"/>
  <c r="B25" i="39"/>
  <c r="A25" i="39"/>
  <c r="F24" i="39"/>
  <c r="F22" i="40" s="1"/>
  <c r="E24" i="39"/>
  <c r="E22" i="40" s="1"/>
  <c r="D24" i="39"/>
  <c r="D22" i="40" s="1"/>
  <c r="C24" i="39"/>
  <c r="C22" i="40" s="1"/>
  <c r="B24" i="39"/>
  <c r="B22" i="40" s="1"/>
  <c r="A24" i="39"/>
  <c r="A22" i="40" s="1"/>
  <c r="F23" i="39"/>
  <c r="F21" i="40" s="1"/>
  <c r="E23" i="39"/>
  <c r="E21" i="40" s="1"/>
  <c r="D23" i="39"/>
  <c r="D21" i="40" s="1"/>
  <c r="C23" i="39"/>
  <c r="C21" i="40" s="1"/>
  <c r="B23" i="39"/>
  <c r="B21" i="40" s="1"/>
  <c r="A23" i="39"/>
  <c r="A21" i="40" s="1"/>
  <c r="F22" i="39"/>
  <c r="F20" i="40" s="1"/>
  <c r="E22" i="39"/>
  <c r="D22" i="39"/>
  <c r="C22" i="39"/>
  <c r="B22" i="39"/>
  <c r="A22" i="39"/>
  <c r="F21" i="39"/>
  <c r="E21" i="39"/>
  <c r="D21" i="39"/>
  <c r="C21" i="39"/>
  <c r="B21" i="39"/>
  <c r="B19" i="40" s="1"/>
  <c r="A21" i="39"/>
  <c r="A19" i="40" s="1"/>
  <c r="F20" i="39"/>
  <c r="F18" i="40" s="1"/>
  <c r="E20" i="39"/>
  <c r="E18" i="40" s="1"/>
  <c r="D20" i="39"/>
  <c r="D18" i="40" s="1"/>
  <c r="C20" i="39"/>
  <c r="C18" i="40" s="1"/>
  <c r="B20" i="39"/>
  <c r="B18" i="40" s="1"/>
  <c r="A20" i="39"/>
  <c r="A18" i="40" s="1"/>
  <c r="F19" i="39"/>
  <c r="F17" i="40" s="1"/>
  <c r="E19" i="39"/>
  <c r="E17" i="40" s="1"/>
  <c r="D19" i="39"/>
  <c r="D17" i="40" s="1"/>
  <c r="C19" i="39"/>
  <c r="B19" i="39"/>
  <c r="A19" i="39"/>
  <c r="F18" i="39"/>
  <c r="E18" i="39"/>
  <c r="D18" i="39"/>
  <c r="C18" i="39"/>
  <c r="B18" i="39"/>
  <c r="A18" i="39"/>
  <c r="F17" i="39"/>
  <c r="E17" i="39"/>
  <c r="D17" i="39"/>
  <c r="D15" i="40" s="1"/>
  <c r="C17" i="39"/>
  <c r="C15" i="40" s="1"/>
  <c r="B17" i="39"/>
  <c r="B15" i="40" s="1"/>
  <c r="A17" i="39"/>
  <c r="A15" i="40" s="1"/>
  <c r="F16" i="39"/>
  <c r="F14" i="40" s="1"/>
  <c r="E16" i="39"/>
  <c r="D16" i="39"/>
  <c r="C16" i="39"/>
  <c r="B16" i="39"/>
  <c r="B14" i="40" s="1"/>
  <c r="A16" i="39"/>
  <c r="F15" i="39"/>
  <c r="E15" i="39"/>
  <c r="D15" i="39"/>
  <c r="C15" i="39"/>
  <c r="B15" i="39"/>
  <c r="A15" i="39"/>
  <c r="F14" i="39"/>
  <c r="E14" i="39"/>
  <c r="D14" i="39"/>
  <c r="C14" i="39"/>
  <c r="B14" i="39"/>
  <c r="B12" i="40" s="1"/>
  <c r="A14" i="39"/>
  <c r="A12" i="40" s="1"/>
  <c r="F13" i="39"/>
  <c r="F11" i="40" s="1"/>
  <c r="E13" i="39"/>
  <c r="E11" i="40" s="1"/>
  <c r="D13" i="39"/>
  <c r="D11" i="40" s="1"/>
  <c r="C13" i="39"/>
  <c r="C11" i="40" s="1"/>
  <c r="B13" i="39"/>
  <c r="B11" i="40" s="1"/>
  <c r="A13" i="39"/>
  <c r="A11" i="40" s="1"/>
  <c r="F12" i="39"/>
  <c r="F10" i="40" s="1"/>
  <c r="E12" i="39"/>
  <c r="D12" i="39"/>
  <c r="C12" i="39"/>
  <c r="B12" i="39"/>
  <c r="A12" i="39"/>
  <c r="F11" i="39"/>
  <c r="E11" i="39"/>
  <c r="D11" i="39"/>
  <c r="C11" i="39"/>
  <c r="C9" i="40" s="1"/>
  <c r="B11" i="39"/>
  <c r="B9" i="40" s="1"/>
  <c r="A11" i="39"/>
  <c r="A9" i="40" s="1"/>
  <c r="F10" i="39"/>
  <c r="F8" i="40" s="1"/>
  <c r="E10" i="39"/>
  <c r="E8" i="40" s="1"/>
  <c r="D10" i="39"/>
  <c r="D8" i="40" s="1"/>
  <c r="C10" i="39"/>
  <c r="C8" i="40" s="1"/>
  <c r="B10" i="39"/>
  <c r="B8" i="40" s="1"/>
  <c r="A10" i="39"/>
  <c r="A8" i="40" s="1"/>
  <c r="F9" i="39"/>
  <c r="F7" i="40" s="1"/>
  <c r="E9" i="39"/>
  <c r="E7" i="40" s="1"/>
  <c r="D9" i="39"/>
  <c r="D7" i="40" s="1"/>
  <c r="C9" i="39"/>
  <c r="B9" i="39"/>
  <c r="A9" i="39"/>
  <c r="F8" i="39"/>
  <c r="E8" i="39"/>
  <c r="D8" i="39"/>
  <c r="C8" i="39"/>
  <c r="B8" i="39"/>
  <c r="A8" i="39"/>
  <c r="F7" i="39"/>
  <c r="E7" i="39"/>
  <c r="D7" i="39"/>
  <c r="C7" i="39"/>
  <c r="B7" i="39"/>
  <c r="A7" i="39"/>
  <c r="F6" i="39"/>
  <c r="F5" i="40" s="1"/>
  <c r="E6" i="39"/>
  <c r="E5" i="40" s="1"/>
  <c r="D6" i="39"/>
  <c r="D5" i="40" s="1"/>
  <c r="C6" i="39"/>
  <c r="C5" i="40" s="1"/>
  <c r="B6" i="39"/>
  <c r="B5" i="40" s="1"/>
  <c r="A6" i="39"/>
  <c r="A5" i="40" s="1"/>
  <c r="F5" i="39"/>
  <c r="E5" i="39"/>
  <c r="D5" i="39"/>
  <c r="C5" i="39"/>
  <c r="B5" i="39"/>
  <c r="A5" i="39"/>
  <c r="F4" i="39"/>
  <c r="E4" i="39"/>
  <c r="D4" i="39"/>
  <c r="C4" i="39"/>
  <c r="B4" i="39"/>
  <c r="A4" i="39"/>
  <c r="F3" i="39"/>
  <c r="E3" i="39"/>
  <c r="D3" i="39"/>
  <c r="C3" i="39"/>
  <c r="B3" i="39"/>
  <c r="A3" i="39"/>
  <c r="F2" i="39"/>
  <c r="F2" i="40" s="1"/>
  <c r="E2" i="39"/>
  <c r="D2" i="39"/>
  <c r="C2" i="39"/>
  <c r="B2" i="39"/>
  <c r="B2" i="40" s="1"/>
  <c r="A2" i="39"/>
  <c r="A2" i="40" s="1"/>
  <c r="A1" i="39"/>
  <c r="F53" i="40"/>
  <c r="E53" i="40"/>
  <c r="D53" i="40"/>
  <c r="C53" i="40"/>
  <c r="B53" i="40"/>
  <c r="A53" i="40"/>
  <c r="F52" i="40"/>
  <c r="E52" i="40"/>
  <c r="D52" i="40"/>
  <c r="E50" i="40"/>
  <c r="D50" i="40"/>
  <c r="C50" i="40"/>
  <c r="B50" i="40"/>
  <c r="A50" i="40"/>
  <c r="F49" i="40"/>
  <c r="E49" i="40"/>
  <c r="D49" i="40"/>
  <c r="C49" i="40"/>
  <c r="B49" i="40"/>
  <c r="A49" i="40"/>
  <c r="C47" i="40"/>
  <c r="B47" i="40"/>
  <c r="A47" i="40"/>
  <c r="F46" i="40"/>
  <c r="E46" i="40"/>
  <c r="D46" i="40"/>
  <c r="C46" i="40"/>
  <c r="A44" i="40"/>
  <c r="F43" i="40"/>
  <c r="E43" i="40"/>
  <c r="D43" i="40"/>
  <c r="C43" i="40"/>
  <c r="B43" i="40"/>
  <c r="A43" i="40"/>
  <c r="F42" i="40"/>
  <c r="E40" i="40"/>
  <c r="D40" i="40"/>
  <c r="C40" i="40"/>
  <c r="B40" i="40"/>
  <c r="A40" i="40"/>
  <c r="F39" i="40"/>
  <c r="E39" i="40"/>
  <c r="D39" i="40"/>
  <c r="C39" i="40"/>
  <c r="B39" i="40"/>
  <c r="A39" i="40"/>
  <c r="F37" i="40"/>
  <c r="E37" i="40"/>
  <c r="D37" i="40"/>
  <c r="C37" i="40"/>
  <c r="B37" i="40"/>
  <c r="A37" i="40"/>
  <c r="F36" i="40"/>
  <c r="E36" i="40"/>
  <c r="D36" i="40"/>
  <c r="C36" i="40"/>
  <c r="B36" i="40"/>
  <c r="A36" i="40"/>
  <c r="F35" i="40"/>
  <c r="E35" i="40"/>
  <c r="A34" i="40"/>
  <c r="F33" i="40"/>
  <c r="E33" i="40"/>
  <c r="D33" i="40"/>
  <c r="C33" i="40"/>
  <c r="B33" i="40"/>
  <c r="A33" i="40"/>
  <c r="E30" i="40"/>
  <c r="D30" i="40"/>
  <c r="C30" i="40"/>
  <c r="B30" i="40"/>
  <c r="A30" i="40"/>
  <c r="F29" i="40"/>
  <c r="E29" i="40"/>
  <c r="D29" i="40"/>
  <c r="C29" i="40"/>
  <c r="B29" i="40"/>
  <c r="A29" i="40"/>
  <c r="F27" i="40"/>
  <c r="C27" i="40"/>
  <c r="B27" i="40"/>
  <c r="A27" i="40"/>
  <c r="F26" i="40"/>
  <c r="E26" i="40"/>
  <c r="D26" i="40"/>
  <c r="C26" i="40"/>
  <c r="B26" i="40"/>
  <c r="A26" i="40"/>
  <c r="F25" i="40"/>
  <c r="E25" i="40"/>
  <c r="A24" i="40"/>
  <c r="F23" i="40"/>
  <c r="E23" i="40"/>
  <c r="D23" i="40"/>
  <c r="C23" i="40"/>
  <c r="B23" i="40"/>
  <c r="A23" i="40"/>
  <c r="E20" i="40"/>
  <c r="D20" i="40"/>
  <c r="C20" i="40"/>
  <c r="B20" i="40"/>
  <c r="A20" i="40"/>
  <c r="F19" i="40"/>
  <c r="E19" i="40"/>
  <c r="D19" i="40"/>
  <c r="C19" i="40"/>
  <c r="C17" i="40"/>
  <c r="B17" i="40"/>
  <c r="A17" i="40"/>
  <c r="F16" i="40"/>
  <c r="E16" i="40"/>
  <c r="D16" i="40"/>
  <c r="C16" i="40"/>
  <c r="B16" i="40"/>
  <c r="A16" i="40"/>
  <c r="F15" i="40"/>
  <c r="E15" i="40"/>
  <c r="E14" i="40"/>
  <c r="D14" i="40"/>
  <c r="C14" i="40"/>
  <c r="A14" i="40"/>
  <c r="F13" i="40"/>
  <c r="E13" i="40"/>
  <c r="D13" i="40"/>
  <c r="C13" i="40"/>
  <c r="B13" i="40"/>
  <c r="A13" i="40"/>
  <c r="F12" i="40"/>
  <c r="E12" i="40"/>
  <c r="D12" i="40"/>
  <c r="C12" i="40"/>
  <c r="E10" i="40"/>
  <c r="D10" i="40"/>
  <c r="C10" i="40"/>
  <c r="B10" i="40"/>
  <c r="A10" i="40"/>
  <c r="F9" i="40"/>
  <c r="E9" i="40"/>
  <c r="C7" i="40"/>
  <c r="B7" i="40"/>
  <c r="A7" i="40"/>
  <c r="F6" i="40"/>
  <c r="E6" i="40"/>
  <c r="D6" i="40"/>
  <c r="C6" i="40"/>
  <c r="B6" i="40"/>
  <c r="A6" i="40"/>
  <c r="F4" i="40"/>
  <c r="E4" i="40"/>
  <c r="D4" i="40"/>
  <c r="C4" i="40"/>
  <c r="B4" i="40"/>
  <c r="A4" i="40"/>
  <c r="F3" i="40"/>
  <c r="E3" i="40"/>
  <c r="D3" i="40"/>
  <c r="C3" i="40"/>
  <c r="B3" i="40"/>
  <c r="A3" i="40"/>
  <c r="E2" i="40"/>
  <c r="D2" i="40"/>
  <c r="C2" i="40"/>
  <c r="E26" i="37"/>
  <c r="D26" i="37"/>
  <c r="C26" i="37"/>
  <c r="B26" i="37"/>
  <c r="A26" i="37"/>
  <c r="E25" i="37"/>
  <c r="F40" i="38" s="1"/>
  <c r="D25" i="37"/>
  <c r="E40" i="38" s="1"/>
  <c r="C25" i="37"/>
  <c r="D40" i="38" s="1"/>
  <c r="B25" i="37"/>
  <c r="C40" i="38" s="1"/>
  <c r="A25" i="37"/>
  <c r="E24" i="37"/>
  <c r="F38" i="38" s="1"/>
  <c r="D24" i="37"/>
  <c r="E38" i="38" s="1"/>
  <c r="C24" i="37"/>
  <c r="D38" i="38" s="1"/>
  <c r="B24" i="37"/>
  <c r="C38" i="38" s="1"/>
  <c r="A24" i="37"/>
  <c r="E23" i="37"/>
  <c r="F37" i="38" s="1"/>
  <c r="D23" i="37"/>
  <c r="E37" i="38" s="1"/>
  <c r="C23" i="37"/>
  <c r="D37" i="38" s="1"/>
  <c r="B23" i="37"/>
  <c r="C37" i="38" s="1"/>
  <c r="A23" i="37"/>
  <c r="E22" i="37"/>
  <c r="D22" i="37"/>
  <c r="C22" i="37"/>
  <c r="B22" i="37"/>
  <c r="A22" i="37"/>
  <c r="E21" i="37"/>
  <c r="F34" i="38" s="1"/>
  <c r="D21" i="37"/>
  <c r="E34" i="38" s="1"/>
  <c r="C21" i="37"/>
  <c r="D34" i="38" s="1"/>
  <c r="B21" i="37"/>
  <c r="C34" i="38" s="1"/>
  <c r="A21" i="37"/>
  <c r="E20" i="37"/>
  <c r="F32" i="38" s="1"/>
  <c r="D20" i="37"/>
  <c r="E32" i="38" s="1"/>
  <c r="C20" i="37"/>
  <c r="D32" i="38" s="1"/>
  <c r="B20" i="37"/>
  <c r="C32" i="38" s="1"/>
  <c r="A20" i="37"/>
  <c r="E19" i="37"/>
  <c r="F31" i="38" s="1"/>
  <c r="D19" i="37"/>
  <c r="E31" i="38" s="1"/>
  <c r="C19" i="37"/>
  <c r="D31" i="38" s="1"/>
  <c r="B19" i="37"/>
  <c r="C31" i="38" s="1"/>
  <c r="A19" i="37"/>
  <c r="E18" i="37"/>
  <c r="D18" i="37"/>
  <c r="C18" i="37"/>
  <c r="B18" i="37"/>
  <c r="A18" i="37"/>
  <c r="E17" i="37"/>
  <c r="D17" i="37"/>
  <c r="C17" i="37"/>
  <c r="B17" i="37"/>
  <c r="A17" i="37"/>
  <c r="E16" i="37"/>
  <c r="F26" i="38" s="1"/>
  <c r="D16" i="37"/>
  <c r="E26" i="38" s="1"/>
  <c r="C16" i="37"/>
  <c r="D26" i="38" s="1"/>
  <c r="B16" i="37"/>
  <c r="C26" i="38" s="1"/>
  <c r="A16" i="37"/>
  <c r="E15" i="37"/>
  <c r="F25" i="38" s="1"/>
  <c r="D15" i="37"/>
  <c r="E25" i="38" s="1"/>
  <c r="C15" i="37"/>
  <c r="D25" i="38" s="1"/>
  <c r="B15" i="37"/>
  <c r="C25" i="38" s="1"/>
  <c r="A15" i="37"/>
  <c r="E14" i="37"/>
  <c r="D14" i="37"/>
  <c r="C14" i="37"/>
  <c r="B14" i="37"/>
  <c r="A14" i="37"/>
  <c r="E13" i="37"/>
  <c r="D13" i="37"/>
  <c r="C13" i="37"/>
  <c r="B13" i="37"/>
  <c r="A13" i="37"/>
  <c r="E12" i="37"/>
  <c r="D12" i="37"/>
  <c r="C12" i="37"/>
  <c r="B12" i="37"/>
  <c r="A12" i="37"/>
  <c r="E11" i="37"/>
  <c r="F17" i="38" s="1"/>
  <c r="D11" i="37"/>
  <c r="E17" i="38" s="1"/>
  <c r="C11" i="37"/>
  <c r="D17" i="38" s="1"/>
  <c r="B11" i="37"/>
  <c r="C17" i="38" s="1"/>
  <c r="A11" i="37"/>
  <c r="E10" i="37"/>
  <c r="D10" i="37"/>
  <c r="C10" i="37"/>
  <c r="B10" i="37"/>
  <c r="A10" i="37"/>
  <c r="E9" i="37"/>
  <c r="D9" i="37"/>
  <c r="C9" i="37"/>
  <c r="B9" i="37"/>
  <c r="A9" i="37"/>
  <c r="E8" i="37"/>
  <c r="D8" i="37"/>
  <c r="C8" i="37"/>
  <c r="B8" i="37"/>
  <c r="A8" i="37"/>
  <c r="E7" i="37"/>
  <c r="D7" i="37"/>
  <c r="C7" i="37"/>
  <c r="B7" i="37"/>
  <c r="A7" i="37"/>
  <c r="E6" i="37"/>
  <c r="D6" i="37"/>
  <c r="C6" i="37"/>
  <c r="B6" i="37"/>
  <c r="A6" i="37"/>
  <c r="E5" i="37"/>
  <c r="F8" i="38" s="1"/>
  <c r="D5" i="37"/>
  <c r="E8" i="38" s="1"/>
  <c r="C5" i="37"/>
  <c r="D8" i="38" s="1"/>
  <c r="B5" i="37"/>
  <c r="C8" i="38" s="1"/>
  <c r="A5" i="37"/>
  <c r="E4" i="37"/>
  <c r="F6" i="38" s="1"/>
  <c r="D4" i="37"/>
  <c r="E6" i="38" s="1"/>
  <c r="C4" i="37"/>
  <c r="D6" i="38" s="1"/>
  <c r="B4" i="37"/>
  <c r="C6" i="38" s="1"/>
  <c r="A4" i="37"/>
  <c r="E3" i="37"/>
  <c r="F5" i="38" s="1"/>
  <c r="D3" i="37"/>
  <c r="E5" i="38" s="1"/>
  <c r="C3" i="37"/>
  <c r="D5" i="38" s="1"/>
  <c r="B3" i="37"/>
  <c r="C5" i="38" s="1"/>
  <c r="A3" i="37"/>
  <c r="E2" i="37"/>
  <c r="D2" i="37"/>
  <c r="C2" i="37"/>
  <c r="B2" i="37"/>
  <c r="A2" i="37"/>
  <c r="E1" i="37"/>
  <c r="D1" i="37"/>
  <c r="C1" i="37"/>
  <c r="B1" i="37"/>
  <c r="A1" i="37"/>
  <c r="F41" i="38"/>
  <c r="E41" i="38"/>
  <c r="D41" i="38"/>
  <c r="C41" i="38"/>
  <c r="F35" i="38"/>
  <c r="E35" i="38"/>
  <c r="D35" i="38"/>
  <c r="C35" i="38"/>
  <c r="F29" i="38"/>
  <c r="E29" i="38"/>
  <c r="D29" i="38"/>
  <c r="C29" i="38"/>
  <c r="F28" i="38"/>
  <c r="E28" i="38"/>
  <c r="D28" i="38"/>
  <c r="C28" i="38"/>
  <c r="F21" i="38"/>
  <c r="E21" i="38"/>
  <c r="D21" i="38"/>
  <c r="C21" i="38"/>
  <c r="F20" i="38"/>
  <c r="E20" i="38"/>
  <c r="D20" i="38"/>
  <c r="C20" i="38"/>
  <c r="F18" i="38"/>
  <c r="E18" i="38"/>
  <c r="D18" i="38"/>
  <c r="C18" i="38"/>
  <c r="F15" i="38"/>
  <c r="E15" i="38"/>
  <c r="D15" i="38"/>
  <c r="C15" i="38"/>
  <c r="F14" i="38"/>
  <c r="E14" i="38"/>
  <c r="D14" i="38"/>
  <c r="C14" i="38"/>
  <c r="F12" i="38"/>
  <c r="E12" i="38"/>
  <c r="D12" i="38"/>
  <c r="C12" i="38"/>
  <c r="F11" i="38"/>
  <c r="E11" i="38"/>
  <c r="D11" i="38"/>
  <c r="C11" i="38"/>
  <c r="F9" i="38"/>
  <c r="E9" i="38"/>
  <c r="D9" i="38"/>
  <c r="C9" i="38"/>
  <c r="F23" i="1" l="1"/>
  <c r="E23" i="1"/>
  <c r="D23" i="1"/>
  <c r="C23" i="1"/>
  <c r="B23" i="1"/>
  <c r="A23" i="1"/>
  <c r="F22" i="1"/>
  <c r="E22" i="1"/>
  <c r="D22" i="1"/>
  <c r="C22" i="1"/>
  <c r="B22" i="1"/>
  <c r="A22" i="1"/>
  <c r="F21" i="1"/>
  <c r="E21" i="1"/>
  <c r="D21" i="1"/>
  <c r="C21" i="1"/>
  <c r="B21" i="1"/>
  <c r="A21" i="1"/>
  <c r="F20" i="1"/>
  <c r="E20" i="1"/>
  <c r="D20" i="1"/>
  <c r="C20" i="1"/>
  <c r="B20" i="1"/>
  <c r="A20" i="1"/>
  <c r="F19" i="1"/>
  <c r="E19" i="1"/>
  <c r="D19" i="1"/>
  <c r="C19" i="1"/>
  <c r="B19" i="1"/>
  <c r="A19" i="1"/>
  <c r="F18" i="1"/>
  <c r="E18" i="1"/>
  <c r="D18" i="1"/>
  <c r="C18" i="1"/>
  <c r="B18" i="1"/>
  <c r="A18" i="1"/>
  <c r="F17" i="1"/>
  <c r="E17" i="1"/>
  <c r="D17" i="1"/>
  <c r="C17" i="1"/>
  <c r="B17" i="1"/>
  <c r="A17" i="1"/>
  <c r="F16" i="1"/>
  <c r="E16" i="1"/>
  <c r="D16" i="1"/>
  <c r="C16" i="1"/>
  <c r="B16" i="1"/>
  <c r="A16" i="1"/>
  <c r="F15" i="1"/>
  <c r="E15" i="1"/>
  <c r="D15" i="1"/>
  <c r="C15" i="1"/>
  <c r="B15" i="1"/>
  <c r="A15" i="1"/>
  <c r="F14" i="1"/>
  <c r="E14" i="1"/>
  <c r="D14" i="1"/>
  <c r="C14" i="1"/>
  <c r="B14" i="1"/>
  <c r="A14" i="1"/>
  <c r="F13" i="1"/>
  <c r="E13" i="1"/>
  <c r="D13" i="1"/>
  <c r="C13" i="1"/>
  <c r="B13" i="1"/>
  <c r="A13" i="1"/>
  <c r="F12" i="1"/>
  <c r="E12" i="1"/>
  <c r="D12" i="1"/>
  <c r="C12" i="1"/>
  <c r="B12" i="1"/>
  <c r="A12" i="1"/>
  <c r="F11" i="1"/>
  <c r="E11" i="1"/>
  <c r="D11" i="1"/>
  <c r="C11" i="1"/>
  <c r="B11" i="1"/>
  <c r="A11" i="1"/>
  <c r="F10" i="1"/>
  <c r="E10" i="1"/>
  <c r="D10" i="1"/>
  <c r="C10" i="1"/>
  <c r="B10" i="1"/>
  <c r="A10" i="1"/>
  <c r="F9" i="1"/>
  <c r="E9" i="1"/>
  <c r="D9" i="1"/>
  <c r="C9" i="1"/>
  <c r="B9" i="1"/>
  <c r="A9" i="1"/>
  <c r="F8" i="1"/>
  <c r="E8" i="1"/>
  <c r="D8" i="1"/>
  <c r="C8" i="1"/>
  <c r="B8" i="1"/>
  <c r="A8" i="1"/>
  <c r="F7" i="1"/>
  <c r="E7" i="1"/>
  <c r="D7" i="1"/>
  <c r="C7" i="1"/>
  <c r="B7" i="1"/>
  <c r="A7" i="1"/>
  <c r="F6" i="1"/>
  <c r="E6" i="1"/>
  <c r="D6" i="1"/>
  <c r="C6" i="1"/>
  <c r="B6" i="1"/>
  <c r="A6" i="1"/>
  <c r="F5" i="1"/>
  <c r="E5" i="1"/>
  <c r="D5" i="1"/>
  <c r="C5" i="1"/>
  <c r="B5" i="1"/>
  <c r="A5" i="1"/>
  <c r="F4" i="1"/>
  <c r="E4" i="1"/>
  <c r="D4" i="1"/>
  <c r="C4" i="1"/>
  <c r="B4" i="1"/>
  <c r="A4" i="1"/>
  <c r="F3" i="1"/>
  <c r="E3" i="1"/>
  <c r="D3" i="1"/>
  <c r="C3" i="1"/>
  <c r="B3" i="1"/>
  <c r="A3" i="1"/>
  <c r="F2" i="1"/>
  <c r="E2" i="1"/>
  <c r="D2" i="1"/>
  <c r="C2" i="1"/>
  <c r="B2" i="1"/>
  <c r="A2" i="1"/>
  <c r="F1" i="1"/>
  <c r="E1" i="1"/>
  <c r="D1" i="1"/>
  <c r="C1" i="1"/>
  <c r="B1" i="1"/>
  <c r="A1" i="1"/>
  <c r="E16" i="18"/>
  <c r="D16" i="18"/>
  <c r="C16" i="18"/>
  <c r="B16" i="18"/>
  <c r="A16" i="18"/>
  <c r="E15" i="18"/>
  <c r="D15" i="18"/>
  <c r="C15" i="18"/>
  <c r="B15" i="18"/>
  <c r="A15" i="18"/>
  <c r="E14" i="18"/>
  <c r="D14" i="18"/>
  <c r="C14" i="18"/>
  <c r="B14" i="18"/>
  <c r="A14" i="18"/>
  <c r="E13" i="18"/>
  <c r="D13" i="18"/>
  <c r="C13" i="18"/>
  <c r="B13" i="18"/>
  <c r="A13" i="18"/>
  <c r="E12" i="18"/>
  <c r="D12" i="18"/>
  <c r="C12" i="18"/>
  <c r="B12" i="18"/>
  <c r="A12" i="18"/>
  <c r="E11" i="18"/>
  <c r="D11" i="18"/>
  <c r="C11" i="18"/>
  <c r="B11" i="18"/>
  <c r="A11" i="18"/>
  <c r="E10" i="18"/>
  <c r="D10" i="18"/>
  <c r="C10" i="18"/>
  <c r="B10" i="18"/>
  <c r="A10" i="18"/>
  <c r="E9" i="18"/>
  <c r="D9" i="18"/>
  <c r="C9" i="18"/>
  <c r="B9" i="18"/>
  <c r="A9" i="18"/>
  <c r="E8" i="18"/>
  <c r="D8" i="18"/>
  <c r="C8" i="18"/>
  <c r="B8" i="18"/>
  <c r="A8" i="18"/>
  <c r="E7" i="18"/>
  <c r="D7" i="18"/>
  <c r="C7" i="18"/>
  <c r="B7" i="18"/>
  <c r="A7" i="18"/>
  <c r="E6" i="18"/>
  <c r="D6" i="18"/>
  <c r="C6" i="18"/>
  <c r="B6" i="18"/>
  <c r="A6" i="18"/>
  <c r="E5" i="18"/>
  <c r="D5" i="18"/>
  <c r="C5" i="18"/>
  <c r="B5" i="18"/>
  <c r="A5" i="18"/>
  <c r="E4" i="18"/>
  <c r="D4" i="18"/>
  <c r="C4" i="18"/>
  <c r="B4" i="18"/>
  <c r="A4" i="18"/>
  <c r="E3" i="18"/>
  <c r="D3" i="18"/>
  <c r="C3" i="18"/>
  <c r="B3" i="18"/>
  <c r="A3" i="18"/>
  <c r="E2" i="18"/>
  <c r="D2" i="18"/>
  <c r="C2" i="18"/>
  <c r="B2" i="18"/>
  <c r="A2" i="18"/>
  <c r="E1" i="18"/>
  <c r="D1" i="18"/>
  <c r="C1" i="18"/>
  <c r="B1" i="18"/>
  <c r="A1" i="18"/>
  <c r="D20" i="24" l="1"/>
  <c r="C20" i="24"/>
  <c r="B20" i="24"/>
  <c r="A20" i="24"/>
  <c r="F19" i="24"/>
  <c r="E19" i="24"/>
  <c r="D19" i="24"/>
  <c r="C19" i="24"/>
  <c r="E17" i="24"/>
  <c r="D17" i="24"/>
  <c r="C17" i="24"/>
  <c r="B17" i="24"/>
  <c r="A17" i="24"/>
  <c r="F16" i="24"/>
  <c r="E16" i="24"/>
  <c r="D16" i="24"/>
  <c r="F14" i="24"/>
  <c r="E14" i="24"/>
  <c r="D14" i="24"/>
  <c r="C14" i="24"/>
  <c r="B14" i="24"/>
  <c r="A14" i="24"/>
  <c r="F13" i="24"/>
  <c r="E13" i="24"/>
  <c r="F11" i="24"/>
  <c r="E11" i="24"/>
  <c r="D11" i="24"/>
  <c r="C11" i="24"/>
  <c r="B11" i="24"/>
  <c r="A11" i="24"/>
  <c r="F10" i="24"/>
  <c r="A9" i="24"/>
  <c r="F8" i="24"/>
  <c r="E8" i="24"/>
  <c r="D8" i="24"/>
  <c r="C8" i="24"/>
  <c r="B8" i="24"/>
  <c r="A8" i="24"/>
  <c r="B6" i="24"/>
  <c r="A6" i="24"/>
  <c r="F5" i="24"/>
  <c r="E5" i="24"/>
  <c r="D5" i="24"/>
  <c r="C5" i="24"/>
  <c r="B5" i="24"/>
  <c r="A5" i="24"/>
  <c r="C3" i="24"/>
  <c r="B3" i="24"/>
  <c r="A3" i="24"/>
  <c r="A22" i="24"/>
  <c r="F21" i="24"/>
  <c r="E21" i="24"/>
  <c r="D21" i="24"/>
  <c r="C21" i="24"/>
  <c r="B21" i="24"/>
  <c r="A21" i="24"/>
  <c r="F20" i="24"/>
  <c r="E20" i="24"/>
  <c r="B19" i="24"/>
  <c r="A19" i="24"/>
  <c r="F18" i="24"/>
  <c r="E18" i="24"/>
  <c r="D18" i="24"/>
  <c r="C18" i="24"/>
  <c r="B18" i="24"/>
  <c r="A18" i="24"/>
  <c r="F17" i="24"/>
  <c r="C16" i="24"/>
  <c r="B16" i="24"/>
  <c r="A16" i="24"/>
  <c r="F15" i="24"/>
  <c r="E15" i="24"/>
  <c r="D15" i="24"/>
  <c r="C15" i="24"/>
  <c r="B15" i="24"/>
  <c r="A15" i="24"/>
  <c r="D13" i="24"/>
  <c r="C13" i="24"/>
  <c r="B13" i="24"/>
  <c r="A13" i="24"/>
  <c r="F12" i="24"/>
  <c r="E12" i="24"/>
  <c r="D12" i="24"/>
  <c r="C12" i="24"/>
  <c r="B12" i="24"/>
  <c r="A12" i="24"/>
  <c r="E10" i="24"/>
  <c r="D10" i="24"/>
  <c r="C10" i="24"/>
  <c r="B10" i="24"/>
  <c r="A10" i="24"/>
  <c r="F9" i="24"/>
  <c r="E9" i="24"/>
  <c r="D9" i="24"/>
  <c r="C9" i="24"/>
  <c r="B9" i="24"/>
  <c r="F7" i="24"/>
  <c r="E7" i="24"/>
  <c r="D7" i="24"/>
  <c r="C7" i="24"/>
  <c r="B7" i="24"/>
  <c r="A7" i="24"/>
  <c r="F6" i="24"/>
  <c r="E6" i="24"/>
  <c r="D6" i="24"/>
  <c r="C6" i="24"/>
  <c r="F4" i="24"/>
  <c r="E4" i="24"/>
  <c r="D4" i="24"/>
  <c r="C4" i="24"/>
  <c r="B4" i="24"/>
  <c r="A4" i="24"/>
  <c r="F3" i="24"/>
  <c r="E3" i="24"/>
  <c r="D3" i="24"/>
  <c r="C27" i="2" l="1"/>
  <c r="F26" i="2"/>
  <c r="F25" i="2"/>
  <c r="F24" i="2"/>
  <c r="F23" i="2"/>
  <c r="E26" i="2"/>
  <c r="D26" i="2"/>
  <c r="C26" i="2"/>
  <c r="E25" i="2"/>
  <c r="D25" i="2"/>
  <c r="C25" i="2"/>
  <c r="E24" i="2"/>
  <c r="D24" i="2"/>
  <c r="C24" i="2"/>
  <c r="E23" i="2"/>
  <c r="D23" i="2"/>
  <c r="C23" i="2"/>
  <c r="F21" i="2"/>
  <c r="F20" i="2"/>
  <c r="F19" i="2"/>
  <c r="F18" i="2"/>
  <c r="F17" i="2"/>
  <c r="E21" i="2"/>
  <c r="D21" i="2"/>
  <c r="C21" i="2"/>
  <c r="E20" i="2"/>
  <c r="D20" i="2"/>
  <c r="C20" i="2"/>
  <c r="E19" i="2"/>
  <c r="D19" i="2"/>
  <c r="C19" i="2"/>
  <c r="E18" i="2"/>
  <c r="D18" i="2"/>
  <c r="C18" i="2"/>
  <c r="E17" i="2"/>
  <c r="D17" i="2"/>
  <c r="C17" i="2"/>
  <c r="F15" i="2"/>
  <c r="F14" i="2"/>
  <c r="E15" i="2"/>
  <c r="D15" i="2"/>
  <c r="C15" i="2"/>
  <c r="E14" i="2"/>
  <c r="D14" i="2"/>
  <c r="C14" i="2"/>
  <c r="F13" i="2"/>
  <c r="G13" i="2"/>
  <c r="E13" i="2"/>
  <c r="D13" i="2"/>
  <c r="C13" i="2"/>
  <c r="E12" i="2"/>
  <c r="D12" i="2"/>
  <c r="C12" i="2"/>
  <c r="E11" i="2"/>
  <c r="D11" i="2"/>
  <c r="C11" i="2"/>
  <c r="G9" i="2"/>
  <c r="G5" i="2"/>
  <c r="G11" i="2"/>
  <c r="G12" i="2"/>
  <c r="G8" i="2"/>
  <c r="G7" i="2"/>
  <c r="G6" i="2"/>
  <c r="K24" i="11" l="1"/>
  <c r="J24" i="11"/>
  <c r="I24" i="11"/>
  <c r="H24" i="11"/>
  <c r="G24" i="11"/>
  <c r="F24" i="11"/>
  <c r="E24" i="11"/>
  <c r="D24" i="11"/>
  <c r="C24" i="11"/>
  <c r="B24" i="11"/>
  <c r="A24" i="11"/>
  <c r="K23" i="11"/>
  <c r="J23" i="11"/>
  <c r="I23" i="11"/>
  <c r="H23" i="11"/>
  <c r="G23" i="11"/>
  <c r="F23" i="11"/>
  <c r="E23" i="11"/>
  <c r="D23" i="11"/>
  <c r="C23" i="11"/>
  <c r="B23" i="11"/>
  <c r="A23" i="11"/>
  <c r="K22" i="11"/>
  <c r="J22" i="11"/>
  <c r="I22" i="11"/>
  <c r="H22" i="11"/>
  <c r="G22" i="11"/>
  <c r="F22" i="11"/>
  <c r="E22" i="11"/>
  <c r="D22" i="11"/>
  <c r="C22" i="11"/>
  <c r="B22" i="11"/>
  <c r="A22" i="11"/>
  <c r="K21" i="11"/>
  <c r="J21" i="11"/>
  <c r="I21" i="11"/>
  <c r="H21" i="11"/>
  <c r="G21" i="11"/>
  <c r="F21" i="11"/>
  <c r="E21" i="11"/>
  <c r="D21" i="11"/>
  <c r="C21" i="11"/>
  <c r="B21" i="11"/>
  <c r="A21" i="11"/>
  <c r="K20" i="11"/>
  <c r="J20" i="11"/>
  <c r="I20" i="11"/>
  <c r="H20" i="11"/>
  <c r="G20" i="11"/>
  <c r="F20" i="11"/>
  <c r="E20" i="11"/>
  <c r="D20" i="11"/>
  <c r="C20" i="11"/>
  <c r="B20" i="11"/>
  <c r="A20" i="11"/>
  <c r="K19" i="11"/>
  <c r="J19" i="11"/>
  <c r="I19" i="11"/>
  <c r="H19" i="11"/>
  <c r="G19" i="11"/>
  <c r="F19" i="11"/>
  <c r="E19" i="11"/>
  <c r="D19" i="11"/>
  <c r="C19" i="11"/>
  <c r="B19" i="11"/>
  <c r="A19" i="11"/>
  <c r="K18" i="11"/>
  <c r="J18" i="11"/>
  <c r="I18" i="11"/>
  <c r="H18" i="11"/>
  <c r="G18" i="11"/>
  <c r="F18" i="11"/>
  <c r="E18" i="11"/>
  <c r="D18" i="11"/>
  <c r="C18" i="11"/>
  <c r="B18" i="11"/>
  <c r="A18" i="11"/>
  <c r="K17" i="11"/>
  <c r="J17" i="11"/>
  <c r="I17" i="11"/>
  <c r="H17" i="11"/>
  <c r="G17" i="11"/>
  <c r="F17" i="11"/>
  <c r="E17" i="11"/>
  <c r="D17" i="11"/>
  <c r="C17" i="11"/>
  <c r="B17" i="11"/>
  <c r="A17" i="11"/>
  <c r="K16" i="11"/>
  <c r="J16" i="11"/>
  <c r="I16" i="11"/>
  <c r="H16" i="11"/>
  <c r="G16" i="11"/>
  <c r="F16" i="11"/>
  <c r="E16" i="11"/>
  <c r="D16" i="11"/>
  <c r="C16" i="11"/>
  <c r="B16" i="11"/>
  <c r="A16" i="11"/>
  <c r="K15" i="11"/>
  <c r="J15" i="11"/>
  <c r="I15" i="11"/>
  <c r="H15" i="11"/>
  <c r="G15" i="11"/>
  <c r="F15" i="11"/>
  <c r="E15" i="11"/>
  <c r="D15" i="11"/>
  <c r="C15" i="11"/>
  <c r="B15" i="11"/>
  <c r="A15" i="11"/>
  <c r="K14" i="11"/>
  <c r="J14" i="11"/>
  <c r="I14" i="11"/>
  <c r="H14" i="11"/>
  <c r="G14" i="11"/>
  <c r="F14" i="11"/>
  <c r="E14" i="11"/>
  <c r="D14" i="11"/>
  <c r="C14" i="11"/>
  <c r="B14" i="11"/>
  <c r="A14" i="11"/>
  <c r="K13" i="11"/>
  <c r="J13" i="11"/>
  <c r="I13" i="11"/>
  <c r="H13" i="11"/>
  <c r="G13" i="11"/>
  <c r="F13" i="11"/>
  <c r="E13" i="11"/>
  <c r="D13" i="11"/>
  <c r="C13" i="11"/>
  <c r="B13" i="11"/>
  <c r="A13" i="11"/>
  <c r="K12" i="11"/>
  <c r="J12" i="11"/>
  <c r="I12" i="11"/>
  <c r="H12" i="11"/>
  <c r="G12" i="11"/>
  <c r="F12" i="11"/>
  <c r="E12" i="11"/>
  <c r="D12" i="11"/>
  <c r="C12" i="11"/>
  <c r="B12" i="11"/>
  <c r="A12" i="11"/>
  <c r="K11" i="11"/>
  <c r="J11" i="11"/>
  <c r="I11" i="11"/>
  <c r="H11" i="11"/>
  <c r="G11" i="11"/>
  <c r="F11" i="11"/>
  <c r="E11" i="11"/>
  <c r="D11" i="11"/>
  <c r="C11" i="11"/>
  <c r="B11" i="11"/>
  <c r="A11" i="11"/>
  <c r="K10" i="11"/>
  <c r="J10" i="11"/>
  <c r="I10" i="11"/>
  <c r="H10" i="11"/>
  <c r="G10" i="11"/>
  <c r="F10" i="11"/>
  <c r="E10" i="11"/>
  <c r="D10" i="11"/>
  <c r="C10" i="11"/>
  <c r="B10" i="11"/>
  <c r="A10" i="11"/>
  <c r="K9" i="11"/>
  <c r="J9" i="11"/>
  <c r="I9" i="11"/>
  <c r="H9" i="11"/>
  <c r="G9" i="11"/>
  <c r="F9" i="11"/>
  <c r="E9" i="11"/>
  <c r="D9" i="11"/>
  <c r="C9" i="11"/>
  <c r="B9" i="11"/>
  <c r="A9" i="11"/>
  <c r="K8" i="11"/>
  <c r="J8" i="11"/>
  <c r="I8" i="11"/>
  <c r="H8" i="11"/>
  <c r="G8" i="11"/>
  <c r="F8" i="11"/>
  <c r="E8" i="11"/>
  <c r="D8" i="11"/>
  <c r="C8" i="11"/>
  <c r="B8" i="11"/>
  <c r="A8" i="11"/>
  <c r="K7" i="11"/>
  <c r="J7" i="11"/>
  <c r="I7" i="11"/>
  <c r="H7" i="11"/>
  <c r="G7" i="11"/>
  <c r="F7" i="11"/>
  <c r="E7" i="11"/>
  <c r="D7" i="11"/>
  <c r="C7" i="11"/>
  <c r="B7" i="11"/>
  <c r="A7" i="11"/>
  <c r="K6" i="11"/>
  <c r="J6" i="11"/>
  <c r="I6" i="11"/>
  <c r="H6" i="11"/>
  <c r="G6" i="11"/>
  <c r="F6" i="11"/>
  <c r="E6" i="11"/>
  <c r="D6" i="11"/>
  <c r="C6" i="11"/>
  <c r="B6" i="11"/>
  <c r="A6" i="11"/>
  <c r="K5" i="11"/>
  <c r="J5" i="11"/>
  <c r="I5" i="11"/>
  <c r="H5" i="11"/>
  <c r="G5" i="11"/>
  <c r="F5" i="11"/>
  <c r="E5" i="11"/>
  <c r="D5" i="11"/>
  <c r="C5" i="11"/>
  <c r="B5" i="11"/>
  <c r="A5" i="11"/>
  <c r="K4" i="11"/>
  <c r="J4" i="11"/>
  <c r="I4" i="11"/>
  <c r="H4" i="11"/>
  <c r="G4" i="11"/>
  <c r="F4" i="11"/>
  <c r="E4" i="11"/>
  <c r="D4" i="11"/>
  <c r="C4" i="11"/>
  <c r="B4" i="11"/>
  <c r="A4" i="11"/>
  <c r="K3" i="11"/>
  <c r="J3" i="11"/>
  <c r="I3" i="11"/>
  <c r="H3" i="11"/>
  <c r="G3" i="11"/>
  <c r="F3" i="11"/>
  <c r="E3" i="11"/>
  <c r="D3" i="11"/>
  <c r="C3" i="11"/>
  <c r="B3" i="11"/>
  <c r="A3" i="11"/>
  <c r="K2" i="11"/>
  <c r="J2" i="11"/>
  <c r="I2" i="11"/>
  <c r="H2" i="11"/>
  <c r="G2" i="11"/>
  <c r="F2" i="11"/>
  <c r="E2" i="11"/>
  <c r="D2" i="11"/>
  <c r="C2" i="11"/>
  <c r="B2" i="11"/>
  <c r="A2" i="11"/>
  <c r="A1" i="11"/>
  <c r="K24" i="12"/>
  <c r="J24" i="12"/>
  <c r="I24" i="12"/>
  <c r="H24" i="12"/>
  <c r="G24" i="12"/>
  <c r="F24" i="12"/>
  <c r="E24" i="12"/>
  <c r="D24" i="12"/>
  <c r="C24" i="12"/>
  <c r="B24" i="12"/>
  <c r="A24" i="12"/>
  <c r="K23" i="12"/>
  <c r="J23" i="12"/>
  <c r="I23" i="12"/>
  <c r="H23" i="12"/>
  <c r="G23" i="12"/>
  <c r="F23" i="12"/>
  <c r="E23" i="12"/>
  <c r="D23" i="12"/>
  <c r="C23" i="12"/>
  <c r="B23" i="12"/>
  <c r="A23" i="12"/>
  <c r="K22" i="12"/>
  <c r="J22" i="12"/>
  <c r="I22" i="12"/>
  <c r="H22" i="12"/>
  <c r="G22" i="12"/>
  <c r="F22" i="12"/>
  <c r="E22" i="12"/>
  <c r="D22" i="12"/>
  <c r="C22" i="12"/>
  <c r="B22" i="12"/>
  <c r="A22" i="12"/>
  <c r="K21" i="12"/>
  <c r="J21" i="12"/>
  <c r="I21" i="12"/>
  <c r="H21" i="12"/>
  <c r="G21" i="12"/>
  <c r="F21" i="12"/>
  <c r="E21" i="12"/>
  <c r="D21" i="12"/>
  <c r="C21" i="12"/>
  <c r="B21" i="12"/>
  <c r="A21" i="12"/>
  <c r="K20" i="12"/>
  <c r="J20" i="12"/>
  <c r="I20" i="12"/>
  <c r="H20" i="12"/>
  <c r="G20" i="12"/>
  <c r="F20" i="12"/>
  <c r="E20" i="12"/>
  <c r="D20" i="12"/>
  <c r="C20" i="12"/>
  <c r="B20" i="12"/>
  <c r="A20" i="12"/>
  <c r="K19" i="12"/>
  <c r="J19" i="12"/>
  <c r="I19" i="12"/>
  <c r="H19" i="12"/>
  <c r="G19" i="12"/>
  <c r="F19" i="12"/>
  <c r="E19" i="12"/>
  <c r="D19" i="12"/>
  <c r="C19" i="12"/>
  <c r="B19" i="12"/>
  <c r="A19" i="12"/>
  <c r="K18" i="12"/>
  <c r="J18" i="12"/>
  <c r="I18" i="12"/>
  <c r="H18" i="12"/>
  <c r="G18" i="12"/>
  <c r="F18" i="12"/>
  <c r="E18" i="12"/>
  <c r="D18" i="12"/>
  <c r="C18" i="12"/>
  <c r="B18" i="12"/>
  <c r="A18" i="12"/>
  <c r="K17" i="12"/>
  <c r="J17" i="12"/>
  <c r="I17" i="12"/>
  <c r="H17" i="12"/>
  <c r="G17" i="12"/>
  <c r="F17" i="12"/>
  <c r="E17" i="12"/>
  <c r="D17" i="12"/>
  <c r="C17" i="12"/>
  <c r="B17" i="12"/>
  <c r="A17" i="12"/>
  <c r="K16" i="12"/>
  <c r="J16" i="12"/>
  <c r="I16" i="12"/>
  <c r="H16" i="12"/>
  <c r="G16" i="12"/>
  <c r="F16" i="12"/>
  <c r="E16" i="12"/>
  <c r="D16" i="12"/>
  <c r="C16" i="12"/>
  <c r="B16" i="12"/>
  <c r="A16" i="12"/>
  <c r="K15" i="12"/>
  <c r="J15" i="12"/>
  <c r="I15" i="12"/>
  <c r="H15" i="12"/>
  <c r="G15" i="12"/>
  <c r="F15" i="12"/>
  <c r="E15" i="12"/>
  <c r="D15" i="12"/>
  <c r="C15" i="12"/>
  <c r="B15" i="12"/>
  <c r="A15" i="12"/>
  <c r="K14" i="12"/>
  <c r="J14" i="12"/>
  <c r="I14" i="12"/>
  <c r="H14" i="12"/>
  <c r="G14" i="12"/>
  <c r="F14" i="12"/>
  <c r="E14" i="12"/>
  <c r="D14" i="12"/>
  <c r="C14" i="12"/>
  <c r="B14" i="12"/>
  <c r="A14" i="12"/>
  <c r="K13" i="12"/>
  <c r="J13" i="12"/>
  <c r="I13" i="12"/>
  <c r="H13" i="12"/>
  <c r="G13" i="12"/>
  <c r="F13" i="12"/>
  <c r="E13" i="12"/>
  <c r="D13" i="12"/>
  <c r="C13" i="12"/>
  <c r="B13" i="12"/>
  <c r="A13" i="12"/>
  <c r="K12" i="12"/>
  <c r="J12" i="12"/>
  <c r="I12" i="12"/>
  <c r="H12" i="12"/>
  <c r="G12" i="12"/>
  <c r="F12" i="12"/>
  <c r="E12" i="12"/>
  <c r="D12" i="12"/>
  <c r="C12" i="12"/>
  <c r="B12" i="12"/>
  <c r="A12" i="12"/>
  <c r="K11" i="12"/>
  <c r="J11" i="12"/>
  <c r="I11" i="12"/>
  <c r="H11" i="12"/>
  <c r="G11" i="12"/>
  <c r="F11" i="12"/>
  <c r="E11" i="12"/>
  <c r="D11" i="12"/>
  <c r="C11" i="12"/>
  <c r="B11" i="12"/>
  <c r="A11" i="12"/>
  <c r="K10" i="12"/>
  <c r="J10" i="12"/>
  <c r="I10" i="12"/>
  <c r="H10" i="12"/>
  <c r="G10" i="12"/>
  <c r="F10" i="12"/>
  <c r="E10" i="12"/>
  <c r="D10" i="12"/>
  <c r="C10" i="12"/>
  <c r="B10" i="12"/>
  <c r="A10" i="12"/>
  <c r="K9" i="12"/>
  <c r="J9" i="12"/>
  <c r="I9" i="12"/>
  <c r="H9" i="12"/>
  <c r="G9" i="12"/>
  <c r="F9" i="12"/>
  <c r="E9" i="12"/>
  <c r="D9" i="12"/>
  <c r="C9" i="12"/>
  <c r="B9" i="12"/>
  <c r="A9" i="12"/>
  <c r="K8" i="12"/>
  <c r="J8" i="12"/>
  <c r="I8" i="12"/>
  <c r="H8" i="12"/>
  <c r="G8" i="12"/>
  <c r="F8" i="12"/>
  <c r="E8" i="12"/>
  <c r="D8" i="12"/>
  <c r="C8" i="12"/>
  <c r="B8" i="12"/>
  <c r="A8" i="12"/>
  <c r="K7" i="12"/>
  <c r="J7" i="12"/>
  <c r="I7" i="12"/>
  <c r="H7" i="12"/>
  <c r="G7" i="12"/>
  <c r="F7" i="12"/>
  <c r="E7" i="12"/>
  <c r="D7" i="12"/>
  <c r="C7" i="12"/>
  <c r="B7" i="12"/>
  <c r="A7" i="12"/>
  <c r="K6" i="12"/>
  <c r="J6" i="12"/>
  <c r="I6" i="12"/>
  <c r="H6" i="12"/>
  <c r="G6" i="12"/>
  <c r="F6" i="12"/>
  <c r="E6" i="12"/>
  <c r="D6" i="12"/>
  <c r="C6" i="12"/>
  <c r="B6" i="12"/>
  <c r="A6" i="12"/>
  <c r="K5" i="12"/>
  <c r="J5" i="12"/>
  <c r="I5" i="12"/>
  <c r="H5" i="12"/>
  <c r="G5" i="12"/>
  <c r="F5" i="12"/>
  <c r="E5" i="12"/>
  <c r="D5" i="12"/>
  <c r="C5" i="12"/>
  <c r="B5" i="12"/>
  <c r="A5" i="12"/>
  <c r="K4" i="12"/>
  <c r="J4" i="12"/>
  <c r="I4" i="12"/>
  <c r="H4" i="12"/>
  <c r="G4" i="12"/>
  <c r="F4" i="12"/>
  <c r="E4" i="12"/>
  <c r="D4" i="12"/>
  <c r="C4" i="12"/>
  <c r="B4" i="12"/>
  <c r="A4" i="12"/>
  <c r="K3" i="12"/>
  <c r="J3" i="12"/>
  <c r="I3" i="12"/>
  <c r="H3" i="12"/>
  <c r="G3" i="12"/>
  <c r="F3" i="12"/>
  <c r="E3" i="12"/>
  <c r="D3" i="12"/>
  <c r="C3" i="12"/>
  <c r="B3" i="12"/>
  <c r="A3" i="12"/>
  <c r="K2" i="12"/>
  <c r="J2" i="12"/>
  <c r="I2" i="12"/>
  <c r="H2" i="12"/>
  <c r="G2" i="12"/>
  <c r="F2" i="12"/>
  <c r="E2" i="12"/>
  <c r="D2" i="12"/>
  <c r="C2" i="12"/>
  <c r="B2" i="12"/>
  <c r="A2" i="12"/>
  <c r="A1" i="12"/>
  <c r="E9" i="15"/>
  <c r="D9" i="15"/>
  <c r="C9" i="15"/>
  <c r="B9" i="15"/>
  <c r="A9" i="15"/>
  <c r="E8" i="15"/>
  <c r="D8" i="15"/>
  <c r="C8" i="15"/>
  <c r="B8" i="15"/>
  <c r="A8" i="15"/>
  <c r="E7" i="15"/>
  <c r="D7" i="15"/>
  <c r="C7" i="15"/>
  <c r="B7" i="15"/>
  <c r="A7" i="15"/>
  <c r="E6" i="15"/>
  <c r="D6" i="15"/>
  <c r="C6" i="15"/>
  <c r="B6" i="15"/>
  <c r="A6" i="15"/>
  <c r="E5" i="15"/>
  <c r="D5" i="15"/>
  <c r="C5" i="15"/>
  <c r="B5" i="15"/>
  <c r="A5" i="15"/>
  <c r="E4" i="15"/>
  <c r="D4" i="15"/>
  <c r="C4" i="15"/>
  <c r="B4" i="15"/>
  <c r="A4" i="15"/>
  <c r="E3" i="15"/>
  <c r="D3" i="15"/>
  <c r="C3" i="15"/>
  <c r="B3" i="15"/>
  <c r="A3" i="15"/>
  <c r="E2" i="15"/>
  <c r="D2" i="15"/>
  <c r="C2" i="15"/>
  <c r="B2" i="15"/>
  <c r="A2" i="15"/>
  <c r="A1" i="15"/>
  <c r="A15" i="9"/>
  <c r="C14" i="9"/>
  <c r="B14" i="9"/>
  <c r="A14" i="9"/>
  <c r="C13" i="9"/>
  <c r="B13" i="9"/>
  <c r="A13" i="9"/>
  <c r="C12" i="9"/>
  <c r="B12" i="9"/>
  <c r="A12" i="9"/>
  <c r="C11" i="9"/>
  <c r="B11" i="9"/>
  <c r="A11" i="9"/>
  <c r="C10" i="9"/>
  <c r="B10" i="9"/>
  <c r="A10" i="9"/>
  <c r="C9" i="9"/>
  <c r="B9" i="9"/>
  <c r="A9" i="9"/>
  <c r="C8" i="9"/>
  <c r="B8" i="9"/>
  <c r="A8" i="9"/>
  <c r="C7" i="9"/>
  <c r="B7" i="9"/>
  <c r="A7" i="9"/>
  <c r="C6" i="9"/>
  <c r="B6" i="9"/>
  <c r="A6" i="9"/>
  <c r="C5" i="9"/>
  <c r="B5" i="9"/>
  <c r="A5" i="9"/>
  <c r="C4" i="9"/>
  <c r="B4" i="9"/>
  <c r="A4" i="9"/>
  <c r="C3" i="9"/>
  <c r="B3" i="9"/>
  <c r="A3" i="9"/>
  <c r="C2" i="9"/>
  <c r="B2" i="9"/>
  <c r="A2" i="9"/>
  <c r="A1" i="9"/>
  <c r="F15" i="7"/>
  <c r="E15" i="7"/>
  <c r="D15" i="7"/>
  <c r="A14" i="7"/>
  <c r="F12" i="7"/>
  <c r="E12" i="7"/>
  <c r="F16" i="7"/>
  <c r="E16" i="7"/>
  <c r="D16" i="7"/>
  <c r="C16" i="7"/>
  <c r="B16" i="7"/>
  <c r="A16" i="7"/>
  <c r="C15" i="7"/>
  <c r="B15" i="7"/>
  <c r="A15" i="7"/>
  <c r="F14" i="7"/>
  <c r="E14" i="7"/>
  <c r="D14" i="7"/>
  <c r="C14" i="7"/>
  <c r="B14" i="7"/>
  <c r="D12" i="7"/>
  <c r="C12" i="7"/>
  <c r="B12" i="7"/>
  <c r="E23" i="4" l="1"/>
  <c r="D23" i="4"/>
  <c r="E45" i="5" s="1"/>
  <c r="C23" i="4"/>
  <c r="D45" i="5" s="1"/>
  <c r="B23" i="4"/>
  <c r="A23" i="4"/>
  <c r="E22" i="4"/>
  <c r="D22" i="4"/>
  <c r="C22" i="4"/>
  <c r="B22" i="4"/>
  <c r="A22" i="4"/>
  <c r="E21" i="4"/>
  <c r="F43" i="5" s="1"/>
  <c r="D21" i="4"/>
  <c r="C21" i="4"/>
  <c r="B21" i="4"/>
  <c r="C43" i="5" s="1"/>
  <c r="A21" i="4"/>
  <c r="E20" i="4"/>
  <c r="D20" i="4"/>
  <c r="C20" i="4"/>
  <c r="B20" i="4"/>
  <c r="A20" i="4"/>
  <c r="E19" i="4"/>
  <c r="D19" i="4"/>
  <c r="C19" i="4"/>
  <c r="B19" i="4"/>
  <c r="A19" i="4"/>
  <c r="E18" i="4"/>
  <c r="D18" i="4"/>
  <c r="C18" i="4"/>
  <c r="B18" i="4"/>
  <c r="A18" i="4"/>
  <c r="E17" i="4"/>
  <c r="D17" i="4"/>
  <c r="C17" i="4"/>
  <c r="B17" i="4"/>
  <c r="A17" i="4"/>
  <c r="E16" i="4"/>
  <c r="D16" i="4"/>
  <c r="C16" i="4"/>
  <c r="B16" i="4"/>
  <c r="A16" i="4"/>
  <c r="E15" i="4"/>
  <c r="D15" i="4"/>
  <c r="C15" i="4"/>
  <c r="B15" i="4"/>
  <c r="A15" i="4"/>
  <c r="E14" i="4"/>
  <c r="D14" i="4"/>
  <c r="C14" i="4"/>
  <c r="B14" i="4"/>
  <c r="A14" i="4"/>
  <c r="E13" i="4"/>
  <c r="D13" i="4"/>
  <c r="C13" i="4"/>
  <c r="B13" i="4"/>
  <c r="A13" i="4"/>
  <c r="E12" i="4"/>
  <c r="D12" i="4"/>
  <c r="C12" i="4"/>
  <c r="B12" i="4"/>
  <c r="A12" i="4"/>
  <c r="E11" i="4"/>
  <c r="D11" i="4"/>
  <c r="C11" i="4"/>
  <c r="B11" i="4"/>
  <c r="A11" i="4"/>
  <c r="E10" i="4"/>
  <c r="D10" i="4"/>
  <c r="C10" i="4"/>
  <c r="B10" i="4"/>
  <c r="A10" i="4"/>
  <c r="E9" i="4"/>
  <c r="D9" i="4"/>
  <c r="C9" i="4"/>
  <c r="B9" i="4"/>
  <c r="A9" i="4"/>
  <c r="E8" i="4"/>
  <c r="D8" i="4"/>
  <c r="C8" i="4"/>
  <c r="B8" i="4"/>
  <c r="A8" i="4"/>
  <c r="E7" i="4"/>
  <c r="D7" i="4"/>
  <c r="C7" i="4"/>
  <c r="B7" i="4"/>
  <c r="A7" i="4"/>
  <c r="E6" i="4"/>
  <c r="D6" i="4"/>
  <c r="C6" i="4"/>
  <c r="B6" i="4"/>
  <c r="A6" i="4"/>
  <c r="E5" i="4"/>
  <c r="D5" i="4"/>
  <c r="C5" i="4"/>
  <c r="B5" i="4"/>
  <c r="A5" i="4"/>
  <c r="E4" i="4"/>
  <c r="D4" i="4"/>
  <c r="C4" i="4"/>
  <c r="B4" i="4"/>
  <c r="A4" i="4"/>
  <c r="E3" i="4"/>
  <c r="D3" i="4"/>
  <c r="C3" i="4"/>
  <c r="B3" i="4"/>
  <c r="A3" i="4"/>
  <c r="E2" i="4"/>
  <c r="D2" i="4"/>
  <c r="C2" i="4"/>
  <c r="B2" i="4"/>
  <c r="A2" i="4"/>
  <c r="A1" i="4"/>
  <c r="E23" i="3"/>
  <c r="D23" i="3"/>
  <c r="E23" i="5" s="1"/>
  <c r="C23" i="3"/>
  <c r="D23" i="5" s="1"/>
  <c r="B23" i="3"/>
  <c r="C23" i="5" s="1"/>
  <c r="A23" i="3"/>
  <c r="E22" i="3"/>
  <c r="D22" i="3"/>
  <c r="E22" i="5" s="1"/>
  <c r="C22" i="3"/>
  <c r="D22" i="5" s="1"/>
  <c r="B22" i="3"/>
  <c r="C22" i="5" s="1"/>
  <c r="A22" i="3"/>
  <c r="E21" i="3"/>
  <c r="D21" i="3"/>
  <c r="E21" i="5" s="1"/>
  <c r="C21" i="3"/>
  <c r="B21" i="3"/>
  <c r="A21" i="3"/>
  <c r="E20" i="3"/>
  <c r="D20" i="3"/>
  <c r="C20" i="3"/>
  <c r="B20" i="3"/>
  <c r="A20" i="3"/>
  <c r="E19" i="3"/>
  <c r="D19" i="3"/>
  <c r="C19" i="3"/>
  <c r="B19" i="3"/>
  <c r="A19" i="3"/>
  <c r="E18" i="3"/>
  <c r="D18" i="3"/>
  <c r="C18" i="3"/>
  <c r="B18" i="3"/>
  <c r="A18" i="3"/>
  <c r="E17" i="3"/>
  <c r="D17" i="3"/>
  <c r="C17" i="3"/>
  <c r="B17" i="3"/>
  <c r="A17" i="3"/>
  <c r="E16" i="3"/>
  <c r="D16" i="3"/>
  <c r="C16" i="3"/>
  <c r="B16" i="3"/>
  <c r="A16" i="3"/>
  <c r="E15" i="3"/>
  <c r="D15" i="3"/>
  <c r="C15" i="3"/>
  <c r="B15" i="3"/>
  <c r="A15" i="3"/>
  <c r="E14" i="3"/>
  <c r="D14" i="3"/>
  <c r="C14" i="3"/>
  <c r="B14" i="3"/>
  <c r="A14" i="3"/>
  <c r="E13" i="3"/>
  <c r="D13" i="3"/>
  <c r="C13" i="3"/>
  <c r="B13" i="3"/>
  <c r="A13" i="3"/>
  <c r="E12" i="3"/>
  <c r="D12" i="3"/>
  <c r="C12" i="3"/>
  <c r="B12" i="3"/>
  <c r="A12" i="3"/>
  <c r="E11" i="3"/>
  <c r="D11" i="3"/>
  <c r="C11" i="3"/>
  <c r="B11" i="3"/>
  <c r="A11" i="3"/>
  <c r="E10" i="3"/>
  <c r="D10" i="3"/>
  <c r="C10" i="3"/>
  <c r="B10" i="3"/>
  <c r="A10" i="3"/>
  <c r="E9" i="3"/>
  <c r="D9" i="3"/>
  <c r="C9" i="3"/>
  <c r="B9" i="3"/>
  <c r="A9" i="3"/>
  <c r="E8" i="3"/>
  <c r="D8" i="3"/>
  <c r="C8" i="3"/>
  <c r="B8" i="3"/>
  <c r="A8" i="3"/>
  <c r="E7" i="3"/>
  <c r="D7" i="3"/>
  <c r="C7" i="3"/>
  <c r="B7" i="3"/>
  <c r="A7" i="3"/>
  <c r="E6" i="3"/>
  <c r="D6" i="3"/>
  <c r="C6" i="3"/>
  <c r="B6" i="3"/>
  <c r="A6" i="3"/>
  <c r="E5" i="3"/>
  <c r="D5" i="3"/>
  <c r="C5" i="3"/>
  <c r="B5" i="3"/>
  <c r="A5" i="3"/>
  <c r="E4" i="3"/>
  <c r="D4" i="3"/>
  <c r="C4" i="3"/>
  <c r="B4" i="3"/>
  <c r="A4" i="3"/>
  <c r="E3" i="3"/>
  <c r="D3" i="3"/>
  <c r="C3" i="3"/>
  <c r="B3" i="3"/>
  <c r="A3" i="3"/>
  <c r="E2" i="3"/>
  <c r="D2" i="3"/>
  <c r="C2" i="3"/>
  <c r="B2" i="3"/>
  <c r="A2" i="3"/>
  <c r="A1" i="3"/>
  <c r="F45" i="5"/>
  <c r="C45" i="5"/>
  <c r="F44" i="5"/>
  <c r="E44" i="5"/>
  <c r="D44" i="5"/>
  <c r="C44" i="5"/>
  <c r="E43" i="5"/>
  <c r="D43" i="5"/>
  <c r="F23" i="5"/>
  <c r="F22" i="5"/>
  <c r="F21" i="5"/>
  <c r="D21" i="5"/>
  <c r="C21" i="5"/>
  <c r="F47" i="5" l="1"/>
  <c r="E47" i="5"/>
  <c r="D47" i="5"/>
  <c r="C47" i="5"/>
  <c r="F46" i="5"/>
  <c r="E46" i="5"/>
  <c r="D46" i="5"/>
  <c r="C46" i="5"/>
  <c r="E41" i="5" l="1"/>
  <c r="D41" i="5"/>
  <c r="C41" i="5"/>
  <c r="E40" i="5"/>
  <c r="D40" i="5"/>
  <c r="C40" i="5"/>
  <c r="F39" i="5"/>
  <c r="F38" i="5"/>
  <c r="F37" i="5"/>
  <c r="F36" i="5"/>
  <c r="F31" i="5"/>
  <c r="F30" i="5"/>
  <c r="F29" i="5"/>
  <c r="F28" i="5"/>
  <c r="E35" i="5"/>
  <c r="E34" i="5"/>
  <c r="E33" i="5"/>
  <c r="E32" i="5"/>
  <c r="F25" i="5"/>
  <c r="E27" i="5"/>
  <c r="D27" i="5"/>
  <c r="C27" i="5"/>
  <c r="E26" i="5"/>
  <c r="D26" i="5"/>
  <c r="C26" i="5"/>
  <c r="F19" i="5" l="1"/>
  <c r="E19" i="5"/>
  <c r="D19" i="5"/>
  <c r="C19" i="5"/>
  <c r="F18" i="5"/>
  <c r="E18" i="5"/>
  <c r="D18" i="5"/>
  <c r="C18" i="5"/>
  <c r="F17" i="5"/>
  <c r="F16" i="5"/>
  <c r="F15" i="5"/>
  <c r="F14" i="5"/>
  <c r="F9" i="5"/>
  <c r="F8" i="5"/>
  <c r="F7" i="5"/>
  <c r="F6" i="5"/>
  <c r="E13" i="5"/>
  <c r="E12" i="5"/>
  <c r="E11" i="5"/>
  <c r="E10" i="5"/>
  <c r="D9" i="5"/>
  <c r="C9" i="5"/>
  <c r="D8" i="5"/>
  <c r="C8" i="5"/>
  <c r="D7" i="5"/>
  <c r="C7" i="5"/>
  <c r="D6" i="5"/>
  <c r="C6" i="5"/>
  <c r="F5" i="5"/>
  <c r="E5" i="5"/>
  <c r="D5" i="5"/>
  <c r="C5" i="5"/>
  <c r="F4" i="5"/>
  <c r="E4" i="5"/>
  <c r="D4" i="5"/>
  <c r="F3" i="5"/>
  <c r="C4" i="5"/>
  <c r="F20" i="17"/>
  <c r="F19" i="17"/>
  <c r="F18" i="17"/>
  <c r="F17" i="17"/>
  <c r="E20" i="17"/>
  <c r="D20" i="17"/>
  <c r="C20" i="17"/>
  <c r="E19" i="17"/>
  <c r="D19" i="17"/>
  <c r="C19" i="17"/>
  <c r="E18" i="17"/>
  <c r="D18" i="17"/>
  <c r="C18" i="17"/>
  <c r="E17" i="17"/>
  <c r="D17" i="17"/>
  <c r="C17" i="17"/>
  <c r="F15" i="17"/>
  <c r="F14" i="17"/>
  <c r="E15" i="17"/>
  <c r="D15" i="17"/>
  <c r="C15" i="17"/>
  <c r="E14" i="17"/>
  <c r="D14" i="17"/>
  <c r="C14" i="17"/>
  <c r="F12" i="17"/>
  <c r="F11" i="17"/>
  <c r="F10" i="17"/>
  <c r="F9" i="17"/>
  <c r="E12" i="17"/>
  <c r="D12" i="17"/>
  <c r="C12" i="17"/>
  <c r="E11" i="17"/>
  <c r="D11" i="17"/>
  <c r="C11" i="17"/>
  <c r="E10" i="17"/>
  <c r="D10" i="17"/>
  <c r="C10" i="17"/>
  <c r="E9" i="17"/>
  <c r="D9" i="17"/>
  <c r="C9" i="17"/>
  <c r="F7" i="17"/>
  <c r="F6" i="17"/>
  <c r="F5" i="17"/>
  <c r="E7" i="17"/>
  <c r="D7" i="17"/>
  <c r="C7" i="17"/>
  <c r="E6" i="17"/>
  <c r="D6" i="17"/>
  <c r="C6" i="17"/>
  <c r="E5" i="17"/>
  <c r="D5" i="17"/>
  <c r="C5" i="17"/>
  <c r="F3" i="17"/>
  <c r="E3" i="17"/>
  <c r="D3" i="17"/>
  <c r="C3" i="17"/>
  <c r="E10" i="16" l="1"/>
  <c r="D10" i="16"/>
  <c r="C10" i="16"/>
  <c r="B10" i="16"/>
  <c r="A10" i="16"/>
  <c r="E8" i="16"/>
  <c r="D8" i="16"/>
  <c r="C8" i="16"/>
  <c r="B8" i="16"/>
  <c r="A8" i="16"/>
  <c r="E7" i="16"/>
  <c r="D7" i="16"/>
  <c r="C7" i="16"/>
  <c r="B7" i="16"/>
  <c r="A7" i="16"/>
  <c r="E6" i="16"/>
  <c r="D6" i="16"/>
  <c r="C6" i="16"/>
  <c r="B6" i="16"/>
  <c r="A6" i="16"/>
  <c r="E5" i="16"/>
  <c r="D5" i="16"/>
  <c r="C5" i="16"/>
  <c r="B5" i="16"/>
  <c r="A5" i="16"/>
  <c r="E4" i="16"/>
  <c r="D4" i="16"/>
  <c r="C4" i="16"/>
  <c r="B4" i="16"/>
  <c r="A4" i="16"/>
  <c r="E2" i="16"/>
  <c r="D2" i="16"/>
  <c r="C2" i="16"/>
  <c r="B2" i="16"/>
  <c r="A2" i="16"/>
  <c r="G8" i="14" l="1"/>
  <c r="F8" i="14"/>
  <c r="E8" i="14"/>
  <c r="D8" i="14"/>
  <c r="C8" i="14"/>
  <c r="B8" i="14"/>
  <c r="A8" i="14"/>
  <c r="G9" i="14"/>
  <c r="F9" i="14"/>
  <c r="E9" i="14"/>
  <c r="F7" i="14"/>
  <c r="E6" i="14"/>
  <c r="D5" i="14"/>
  <c r="C4" i="14"/>
  <c r="B2" i="14"/>
  <c r="D9" i="14"/>
  <c r="C9" i="14"/>
  <c r="B9" i="14"/>
  <c r="A9" i="14"/>
  <c r="G7" i="14"/>
  <c r="E7" i="14"/>
  <c r="D7" i="14"/>
  <c r="C7" i="14"/>
  <c r="B7" i="14"/>
  <c r="A7" i="14"/>
  <c r="G6" i="14"/>
  <c r="F6" i="14"/>
  <c r="D6" i="14"/>
  <c r="C6" i="14"/>
  <c r="B6" i="14"/>
  <c r="A6" i="14"/>
  <c r="G5" i="14"/>
  <c r="F5" i="14"/>
  <c r="E5" i="14"/>
  <c r="C5" i="14"/>
  <c r="B5" i="14"/>
  <c r="A5" i="14"/>
  <c r="G4" i="14"/>
  <c r="F4" i="14"/>
  <c r="E4" i="14"/>
  <c r="D4" i="14"/>
  <c r="B4" i="14"/>
  <c r="A4" i="14"/>
  <c r="G2" i="14"/>
  <c r="F2" i="14"/>
  <c r="E2" i="14"/>
  <c r="D2" i="14"/>
  <c r="C2" i="14"/>
  <c r="A2" i="14"/>
  <c r="K48" i="10"/>
  <c r="J48" i="10"/>
  <c r="I48" i="10"/>
  <c r="H48" i="10"/>
  <c r="G48" i="10"/>
  <c r="F48" i="10"/>
  <c r="E48" i="10"/>
  <c r="D48" i="10"/>
  <c r="C48" i="10"/>
  <c r="B48" i="10"/>
  <c r="A48" i="10"/>
  <c r="K47" i="10"/>
  <c r="J47" i="10"/>
  <c r="I47" i="10"/>
  <c r="H47" i="10"/>
  <c r="G47" i="10"/>
  <c r="F47" i="10"/>
  <c r="E47" i="10"/>
  <c r="D47" i="10"/>
  <c r="C47" i="10"/>
  <c r="B47" i="10"/>
  <c r="A47" i="10"/>
  <c r="K46" i="10"/>
  <c r="J46" i="10"/>
  <c r="I46" i="10"/>
  <c r="H46" i="10"/>
  <c r="G46" i="10"/>
  <c r="F46" i="10"/>
  <c r="E46" i="10"/>
  <c r="D46" i="10"/>
  <c r="C46" i="10"/>
  <c r="B46" i="10"/>
  <c r="A46" i="10"/>
  <c r="K45" i="10"/>
  <c r="J45" i="10"/>
  <c r="I45" i="10"/>
  <c r="H45" i="10"/>
  <c r="G45" i="10"/>
  <c r="F45" i="10"/>
  <c r="E45" i="10"/>
  <c r="D45" i="10"/>
  <c r="C45" i="10"/>
  <c r="B45" i="10"/>
  <c r="A45" i="10"/>
  <c r="K44" i="10"/>
  <c r="J44" i="10"/>
  <c r="I44" i="10"/>
  <c r="H44" i="10"/>
  <c r="G44" i="10"/>
  <c r="F44" i="10"/>
  <c r="E44" i="10"/>
  <c r="D44" i="10"/>
  <c r="C44" i="10"/>
  <c r="B44" i="10"/>
  <c r="A44" i="10"/>
  <c r="K43" i="10"/>
  <c r="J43" i="10"/>
  <c r="I43" i="10"/>
  <c r="H43" i="10"/>
  <c r="G43" i="10"/>
  <c r="F43" i="10"/>
  <c r="E43" i="10"/>
  <c r="D43" i="10"/>
  <c r="C43" i="10"/>
  <c r="B43" i="10"/>
  <c r="A43" i="10"/>
  <c r="K42" i="10"/>
  <c r="J42" i="10"/>
  <c r="I42" i="10"/>
  <c r="H42" i="10"/>
  <c r="G42" i="10"/>
  <c r="F42" i="10"/>
  <c r="E42" i="10"/>
  <c r="D42" i="10"/>
  <c r="C42" i="10"/>
  <c r="B42" i="10"/>
  <c r="A42" i="10"/>
  <c r="K41" i="10"/>
  <c r="J41" i="10"/>
  <c r="I41" i="10"/>
  <c r="H41" i="10"/>
  <c r="G41" i="10"/>
  <c r="F41" i="10"/>
  <c r="E41" i="10"/>
  <c r="D41" i="10"/>
  <c r="C41" i="10"/>
  <c r="B41" i="10"/>
  <c r="A41" i="10"/>
  <c r="K40" i="10"/>
  <c r="J40" i="10"/>
  <c r="I40" i="10"/>
  <c r="H40" i="10"/>
  <c r="G40" i="10"/>
  <c r="F40" i="10"/>
  <c r="E40" i="10"/>
  <c r="D40" i="10"/>
  <c r="C40" i="10"/>
  <c r="B40" i="10"/>
  <c r="A40" i="10"/>
  <c r="K39" i="10"/>
  <c r="J39" i="10"/>
  <c r="I39" i="10"/>
  <c r="H39" i="10"/>
  <c r="G39" i="10"/>
  <c r="F39" i="10"/>
  <c r="E39" i="10"/>
  <c r="D39" i="10"/>
  <c r="C39" i="10"/>
  <c r="B39" i="10"/>
  <c r="A39" i="10"/>
  <c r="K38" i="10"/>
  <c r="J38" i="10"/>
  <c r="I38" i="10"/>
  <c r="H38" i="10"/>
  <c r="G38" i="10"/>
  <c r="F38" i="10"/>
  <c r="E38" i="10"/>
  <c r="D38" i="10"/>
  <c r="C38" i="10"/>
  <c r="B38" i="10"/>
  <c r="A38" i="10"/>
  <c r="K37" i="10"/>
  <c r="J37" i="10"/>
  <c r="I37" i="10"/>
  <c r="H37" i="10"/>
  <c r="G37" i="10"/>
  <c r="F37" i="10"/>
  <c r="E37" i="10"/>
  <c r="D37" i="10"/>
  <c r="C37" i="10"/>
  <c r="B37" i="10"/>
  <c r="A37" i="10"/>
  <c r="K36" i="10"/>
  <c r="J36" i="10"/>
  <c r="I36" i="10"/>
  <c r="H36" i="10"/>
  <c r="G36" i="10"/>
  <c r="F36" i="10"/>
  <c r="E36" i="10"/>
  <c r="D36" i="10"/>
  <c r="C36" i="10"/>
  <c r="B36" i="10"/>
  <c r="A36" i="10"/>
  <c r="K35" i="10"/>
  <c r="J35" i="10"/>
  <c r="I35" i="10"/>
  <c r="H35" i="10"/>
  <c r="G35" i="10"/>
  <c r="F35" i="10"/>
  <c r="E35" i="10"/>
  <c r="D35" i="10"/>
  <c r="C35" i="10"/>
  <c r="B35" i="10"/>
  <c r="A35" i="10"/>
  <c r="K34" i="10"/>
  <c r="J34" i="10"/>
  <c r="I34" i="10"/>
  <c r="H34" i="10"/>
  <c r="G34" i="10"/>
  <c r="F34" i="10"/>
  <c r="E34" i="10"/>
  <c r="D34" i="10"/>
  <c r="C34" i="10"/>
  <c r="B34" i="10"/>
  <c r="A34" i="10"/>
  <c r="K33" i="10"/>
  <c r="J33" i="10"/>
  <c r="I33" i="10"/>
  <c r="H33" i="10"/>
  <c r="G33" i="10"/>
  <c r="F33" i="10"/>
  <c r="E33" i="10"/>
  <c r="D33" i="10"/>
  <c r="C33" i="10"/>
  <c r="B33" i="10"/>
  <c r="A33" i="10"/>
  <c r="K32" i="10"/>
  <c r="J32" i="10"/>
  <c r="I32" i="10"/>
  <c r="H32" i="10"/>
  <c r="G32" i="10"/>
  <c r="F32" i="10"/>
  <c r="E32" i="10"/>
  <c r="D32" i="10"/>
  <c r="C32" i="10"/>
  <c r="B32" i="10"/>
  <c r="A32" i="10"/>
  <c r="K31" i="10"/>
  <c r="J31" i="10"/>
  <c r="I31" i="10"/>
  <c r="H31" i="10"/>
  <c r="G31" i="10"/>
  <c r="F31" i="10"/>
  <c r="E31" i="10"/>
  <c r="D31" i="10"/>
  <c r="C31" i="10"/>
  <c r="B31" i="10"/>
  <c r="A31" i="10"/>
  <c r="K30" i="10"/>
  <c r="J30" i="10"/>
  <c r="I30" i="10"/>
  <c r="H30" i="10"/>
  <c r="G30" i="10"/>
  <c r="F30" i="10"/>
  <c r="E30" i="10"/>
  <c r="D30" i="10"/>
  <c r="C30" i="10"/>
  <c r="B30" i="10"/>
  <c r="A30" i="10"/>
  <c r="K29" i="10"/>
  <c r="J29" i="10"/>
  <c r="I29" i="10"/>
  <c r="H29" i="10"/>
  <c r="G29" i="10"/>
  <c r="F29" i="10"/>
  <c r="E29" i="10"/>
  <c r="D29" i="10"/>
  <c r="C29" i="10"/>
  <c r="B29" i="10"/>
  <c r="A29" i="10"/>
  <c r="K28" i="10"/>
  <c r="J28" i="10"/>
  <c r="I28" i="10"/>
  <c r="H28" i="10"/>
  <c r="G28" i="10"/>
  <c r="F28" i="10"/>
  <c r="E28" i="10"/>
  <c r="D28" i="10"/>
  <c r="C28" i="10"/>
  <c r="B28" i="10"/>
  <c r="A28" i="10"/>
  <c r="K27" i="10"/>
  <c r="J27" i="10"/>
  <c r="I27" i="10"/>
  <c r="H27" i="10"/>
  <c r="G27" i="10"/>
  <c r="F27" i="10"/>
  <c r="E27" i="10"/>
  <c r="D27" i="10"/>
  <c r="C27" i="10"/>
  <c r="B27" i="10"/>
  <c r="A27" i="10"/>
  <c r="K26" i="10"/>
  <c r="J26" i="10"/>
  <c r="I26" i="10"/>
  <c r="H26" i="10"/>
  <c r="G26" i="10"/>
  <c r="F26" i="10"/>
  <c r="E26" i="10"/>
  <c r="D26" i="10"/>
  <c r="C26" i="10"/>
  <c r="B26" i="10"/>
  <c r="A26" i="10"/>
  <c r="K23" i="10"/>
  <c r="J23" i="10"/>
  <c r="I23" i="10"/>
  <c r="H23" i="10"/>
  <c r="G23" i="10"/>
  <c r="F23" i="10"/>
  <c r="E23" i="10"/>
  <c r="D23" i="10"/>
  <c r="C23" i="10"/>
  <c r="B23" i="10"/>
  <c r="A23" i="10"/>
  <c r="K22" i="10"/>
  <c r="J22" i="10"/>
  <c r="I22" i="10"/>
  <c r="H22" i="10"/>
  <c r="G22" i="10"/>
  <c r="F22" i="10"/>
  <c r="E22" i="10"/>
  <c r="D22" i="10"/>
  <c r="C22" i="10"/>
  <c r="B22" i="10"/>
  <c r="A22" i="10"/>
  <c r="K21" i="10"/>
  <c r="J21" i="10"/>
  <c r="I21" i="10"/>
  <c r="H21" i="10"/>
  <c r="G21" i="10"/>
  <c r="F21" i="10"/>
  <c r="E21" i="10"/>
  <c r="D21" i="10"/>
  <c r="C21" i="10"/>
  <c r="B21" i="10"/>
  <c r="A21" i="10"/>
  <c r="K20" i="10"/>
  <c r="J20" i="10"/>
  <c r="I20" i="10"/>
  <c r="H20" i="10"/>
  <c r="G20" i="10"/>
  <c r="F20" i="10"/>
  <c r="E20" i="10"/>
  <c r="D20" i="10"/>
  <c r="C20" i="10"/>
  <c r="B20" i="10"/>
  <c r="A20" i="10"/>
  <c r="K19" i="10"/>
  <c r="J19" i="10"/>
  <c r="I19" i="10"/>
  <c r="H19" i="10"/>
  <c r="G19" i="10"/>
  <c r="F19" i="10"/>
  <c r="E19" i="10"/>
  <c r="D19" i="10"/>
  <c r="C19" i="10"/>
  <c r="B19" i="10"/>
  <c r="A19" i="10"/>
  <c r="K18" i="10"/>
  <c r="J18" i="10"/>
  <c r="I18" i="10"/>
  <c r="H18" i="10"/>
  <c r="G18" i="10"/>
  <c r="F18" i="10"/>
  <c r="E18" i="10"/>
  <c r="D18" i="10"/>
  <c r="C18" i="10"/>
  <c r="B18" i="10"/>
  <c r="A18" i="10"/>
  <c r="K17" i="10"/>
  <c r="J17" i="10"/>
  <c r="I17" i="10"/>
  <c r="H17" i="10"/>
  <c r="G17" i="10"/>
  <c r="F17" i="10"/>
  <c r="E17" i="10"/>
  <c r="D17" i="10"/>
  <c r="C17" i="10"/>
  <c r="B17" i="10"/>
  <c r="A17" i="10"/>
  <c r="K16" i="10"/>
  <c r="J16" i="10"/>
  <c r="I16" i="10"/>
  <c r="H16" i="10"/>
  <c r="G16" i="10"/>
  <c r="F16" i="10"/>
  <c r="E16" i="10"/>
  <c r="D16" i="10"/>
  <c r="C16" i="10"/>
  <c r="B16" i="10"/>
  <c r="A16" i="10"/>
  <c r="K15" i="10"/>
  <c r="J15" i="10"/>
  <c r="I15" i="10"/>
  <c r="H15" i="10"/>
  <c r="G15" i="10"/>
  <c r="F15" i="10"/>
  <c r="E15" i="10"/>
  <c r="D15" i="10"/>
  <c r="C15" i="10"/>
  <c r="B15" i="10"/>
  <c r="A15" i="10"/>
  <c r="K14" i="10"/>
  <c r="J14" i="10"/>
  <c r="I14" i="10"/>
  <c r="H14" i="10"/>
  <c r="G14" i="10"/>
  <c r="F14" i="10"/>
  <c r="E14" i="10"/>
  <c r="D14" i="10"/>
  <c r="C14" i="10"/>
  <c r="B14" i="10"/>
  <c r="A14" i="10"/>
  <c r="K13" i="10"/>
  <c r="J13" i="10"/>
  <c r="I13" i="10"/>
  <c r="H13" i="10"/>
  <c r="G13" i="10"/>
  <c r="F13" i="10"/>
  <c r="E13" i="10"/>
  <c r="D13" i="10"/>
  <c r="C13" i="10"/>
  <c r="B13" i="10"/>
  <c r="A13" i="10"/>
  <c r="K12" i="10"/>
  <c r="J12" i="10"/>
  <c r="I12" i="10"/>
  <c r="H12" i="10"/>
  <c r="G12" i="10"/>
  <c r="F12" i="10"/>
  <c r="E12" i="10"/>
  <c r="D12" i="10"/>
  <c r="C12" i="10"/>
  <c r="B12" i="10"/>
  <c r="A12" i="10"/>
  <c r="K11" i="10"/>
  <c r="J11" i="10"/>
  <c r="I11" i="10"/>
  <c r="H11" i="10"/>
  <c r="G11" i="10"/>
  <c r="F11" i="10"/>
  <c r="E11" i="10"/>
  <c r="D11" i="10"/>
  <c r="C11" i="10"/>
  <c r="B11" i="10"/>
  <c r="A11" i="10"/>
  <c r="K10" i="10"/>
  <c r="J10" i="10"/>
  <c r="I10" i="10"/>
  <c r="H10" i="10"/>
  <c r="G10" i="10"/>
  <c r="F10" i="10"/>
  <c r="E10" i="10"/>
  <c r="D10" i="10"/>
  <c r="C10" i="10"/>
  <c r="B10" i="10"/>
  <c r="A10" i="10"/>
  <c r="K9" i="10"/>
  <c r="J9" i="10"/>
  <c r="I9" i="10"/>
  <c r="H9" i="10"/>
  <c r="G9" i="10"/>
  <c r="F9" i="10"/>
  <c r="E9" i="10"/>
  <c r="D9" i="10"/>
  <c r="C9" i="10"/>
  <c r="B9" i="10"/>
  <c r="A9" i="10"/>
  <c r="K8" i="10"/>
  <c r="J8" i="10"/>
  <c r="I8" i="10"/>
  <c r="H8" i="10"/>
  <c r="G8" i="10"/>
  <c r="F8" i="10"/>
  <c r="E8" i="10"/>
  <c r="D8" i="10"/>
  <c r="C8" i="10"/>
  <c r="B8" i="10"/>
  <c r="A8" i="10"/>
  <c r="K7" i="10"/>
  <c r="J7" i="10"/>
  <c r="I7" i="10"/>
  <c r="H7" i="10"/>
  <c r="G7" i="10"/>
  <c r="F7" i="10"/>
  <c r="E7" i="10"/>
  <c r="D7" i="10"/>
  <c r="C7" i="10"/>
  <c r="B7" i="10"/>
  <c r="A7" i="10"/>
  <c r="K6" i="10"/>
  <c r="J6" i="10"/>
  <c r="I6" i="10"/>
  <c r="H6" i="10"/>
  <c r="G6" i="10"/>
  <c r="F6" i="10"/>
  <c r="E6" i="10"/>
  <c r="D6" i="10"/>
  <c r="C6" i="10"/>
  <c r="B6" i="10"/>
  <c r="A6" i="10"/>
  <c r="K5" i="10"/>
  <c r="J5" i="10"/>
  <c r="I5" i="10"/>
  <c r="H5" i="10"/>
  <c r="G5" i="10"/>
  <c r="F5" i="10"/>
  <c r="E5" i="10"/>
  <c r="D5" i="10"/>
  <c r="C5" i="10"/>
  <c r="B5" i="10"/>
  <c r="A5" i="10"/>
  <c r="K4" i="10"/>
  <c r="J4" i="10"/>
  <c r="I4" i="10"/>
  <c r="H4" i="10"/>
  <c r="G4" i="10"/>
  <c r="F4" i="10"/>
  <c r="E4" i="10"/>
  <c r="D4" i="10"/>
  <c r="C4" i="10"/>
  <c r="B4" i="10"/>
  <c r="A4" i="10"/>
  <c r="K3" i="10"/>
  <c r="J3" i="10"/>
  <c r="I3" i="10"/>
  <c r="H3" i="10"/>
  <c r="G3" i="10"/>
  <c r="F3" i="10"/>
  <c r="E3" i="10"/>
  <c r="D3" i="10"/>
  <c r="C3" i="10"/>
  <c r="B3" i="10"/>
  <c r="A3" i="10"/>
  <c r="C14" i="8"/>
  <c r="A10" i="8"/>
  <c r="B9" i="8"/>
  <c r="B7" i="8"/>
  <c r="C6" i="8"/>
  <c r="C4" i="8"/>
  <c r="A4" i="8"/>
  <c r="A2" i="8"/>
  <c r="B14" i="8"/>
  <c r="A14" i="8"/>
  <c r="C13" i="8"/>
  <c r="B13" i="8"/>
  <c r="A13" i="8"/>
  <c r="C12" i="8"/>
  <c r="B12" i="8"/>
  <c r="A12" i="8"/>
  <c r="C11" i="8"/>
  <c r="B11" i="8"/>
  <c r="A11" i="8"/>
  <c r="C10" i="8"/>
  <c r="B10" i="8"/>
  <c r="C9" i="8"/>
  <c r="A9" i="8"/>
  <c r="C8" i="8"/>
  <c r="B8" i="8"/>
  <c r="A8" i="8"/>
  <c r="C7" i="8"/>
  <c r="A7" i="8"/>
  <c r="B6" i="8"/>
  <c r="A6" i="8"/>
  <c r="C5" i="8"/>
  <c r="B5" i="8"/>
  <c r="A5" i="8"/>
  <c r="B4" i="8"/>
  <c r="A3" i="8"/>
  <c r="C2" i="8"/>
  <c r="B2" i="8"/>
  <c r="E13" i="7" l="1"/>
  <c r="E8" i="7"/>
  <c r="C8" i="7"/>
  <c r="C7" i="7"/>
  <c r="F13" i="7"/>
  <c r="D13" i="7"/>
  <c r="C13" i="7"/>
  <c r="B13" i="7"/>
  <c r="A13" i="7"/>
  <c r="F8" i="7"/>
  <c r="D8" i="7"/>
  <c r="B8" i="7"/>
  <c r="A8" i="7"/>
  <c r="F7" i="7"/>
  <c r="E7" i="7"/>
  <c r="D7" i="7"/>
  <c r="B7" i="7"/>
  <c r="A7" i="7"/>
  <c r="F6" i="7"/>
  <c r="E6" i="7"/>
  <c r="D6" i="7"/>
  <c r="C6" i="7"/>
  <c r="B6" i="7"/>
  <c r="A6" i="7"/>
  <c r="F5" i="7"/>
  <c r="E5" i="7"/>
  <c r="D5" i="7"/>
  <c r="C5" i="7"/>
  <c r="B5" i="7"/>
  <c r="A5" i="7"/>
  <c r="F11" i="7"/>
  <c r="E11" i="7"/>
  <c r="D11" i="7"/>
  <c r="C11" i="7"/>
  <c r="B11" i="7"/>
  <c r="A11" i="7"/>
  <c r="F10" i="7"/>
  <c r="E10" i="7"/>
  <c r="D10" i="7"/>
  <c r="C10" i="7"/>
  <c r="B10" i="7"/>
  <c r="A10" i="7"/>
  <c r="F9" i="7"/>
  <c r="E9" i="7"/>
  <c r="D9" i="7"/>
  <c r="C9" i="7"/>
  <c r="B9" i="7"/>
  <c r="A9" i="7"/>
  <c r="F4" i="7"/>
  <c r="E4" i="7"/>
  <c r="D4" i="7"/>
  <c r="C4" i="7"/>
  <c r="B4" i="7"/>
  <c r="A4" i="7"/>
  <c r="F3" i="7"/>
  <c r="E3" i="7"/>
  <c r="D3" i="7"/>
  <c r="C3" i="7"/>
  <c r="B3" i="7"/>
  <c r="A3" i="7"/>
  <c r="F2" i="7"/>
  <c r="E2" i="7"/>
  <c r="D2" i="7"/>
  <c r="C2" i="7"/>
  <c r="B2" i="7"/>
  <c r="A2" i="7"/>
  <c r="E48" i="5" l="1"/>
  <c r="D48" i="5"/>
  <c r="C48" i="5"/>
  <c r="A48" i="5"/>
  <c r="A41" i="5"/>
  <c r="A35" i="5"/>
  <c r="A33" i="5"/>
  <c r="A27" i="5"/>
  <c r="A26" i="5"/>
  <c r="E25" i="5"/>
  <c r="D25" i="5"/>
  <c r="C25" i="5"/>
  <c r="A25" i="5"/>
  <c r="A19" i="5"/>
  <c r="A13" i="5"/>
  <c r="A12" i="5"/>
  <c r="A11" i="5"/>
  <c r="A10" i="5"/>
  <c r="A5" i="5"/>
  <c r="A4" i="5"/>
  <c r="E3" i="5"/>
  <c r="D3" i="5"/>
  <c r="C3" i="5"/>
  <c r="A3" i="5"/>
  <c r="E8" i="2" l="1"/>
  <c r="E7" i="2"/>
  <c r="F6" i="2"/>
  <c r="E5" i="2"/>
  <c r="C5" i="2"/>
  <c r="E3" i="2"/>
  <c r="D3" i="2"/>
  <c r="C6" i="2"/>
  <c r="E6" i="2"/>
  <c r="C7" i="2"/>
  <c r="D9" i="2"/>
  <c r="F8" i="2"/>
  <c r="F12" i="2"/>
  <c r="F9" i="2"/>
  <c r="E9" i="2"/>
  <c r="C8" i="2"/>
  <c r="D6" i="2"/>
  <c r="F5" i="2"/>
  <c r="F3" i="2"/>
  <c r="F11" i="2"/>
  <c r="F7" i="2"/>
  <c r="D8" i="2"/>
  <c r="D7" i="2"/>
  <c r="C9" i="2"/>
  <c r="D5" i="2"/>
  <c r="C3" i="2"/>
</calcChain>
</file>

<file path=xl/sharedStrings.xml><?xml version="1.0" encoding="utf-8"?>
<sst xmlns="http://schemas.openxmlformats.org/spreadsheetml/2006/main" count="142" uniqueCount="89">
  <si>
    <t xml:space="preserve">Own Home </t>
  </si>
  <si>
    <t xml:space="preserve">Household Income </t>
  </si>
  <si>
    <t xml:space="preserve">&lt;$25,000 </t>
  </si>
  <si>
    <t>$25,000-$50,000</t>
  </si>
  <si>
    <t>$50,000-$100,000</t>
  </si>
  <si>
    <t>$100,000-$200,000</t>
  </si>
  <si>
    <t>&gt;$200,000</t>
  </si>
  <si>
    <t>Head of Household Education</t>
  </si>
  <si>
    <t>High School or Less</t>
  </si>
  <si>
    <t xml:space="preserve">Well Age </t>
  </si>
  <si>
    <t>0-5 years</t>
  </si>
  <si>
    <t>6-10 years</t>
  </si>
  <si>
    <t>11-20 years</t>
  </si>
  <si>
    <t>over 20 years</t>
  </si>
  <si>
    <t>0-50 feet</t>
  </si>
  <si>
    <t>51-150 feet</t>
  </si>
  <si>
    <t>over 150 feet</t>
  </si>
  <si>
    <t xml:space="preserve">Control </t>
  </si>
  <si>
    <t>Treatment</t>
  </si>
  <si>
    <t>Retirees</t>
  </si>
  <si>
    <t>Well Depth</t>
  </si>
  <si>
    <t>Uses Well for Drinking Water</t>
  </si>
  <si>
    <t>Testing</t>
  </si>
  <si>
    <t>Ever</t>
  </si>
  <si>
    <t>In Last Year</t>
  </si>
  <si>
    <t>Bottled Water Use</t>
  </si>
  <si>
    <t>Water Cooler Use</t>
  </si>
  <si>
    <t>Avoidance and Averting Behaviors</t>
  </si>
  <si>
    <t>Water Quality Perceptions</t>
  </si>
  <si>
    <t>Rates Well Good-Great</t>
  </si>
  <si>
    <t>Rates Well Poor</t>
  </si>
  <si>
    <t>Perceives Local Nitrate Problems</t>
  </si>
  <si>
    <t>Perceives State Nitrate Problems</t>
  </si>
  <si>
    <t xml:space="preserve">Infants or Children </t>
  </si>
  <si>
    <t>Household Size (Number)</t>
  </si>
  <si>
    <t>Panel A: Tested Water Quality in the Last Year</t>
  </si>
  <si>
    <t>Panel B: Tested Using Grants to County</t>
  </si>
  <si>
    <t>Unsure</t>
  </si>
  <si>
    <t>Tested in Last Year</t>
  </si>
  <si>
    <t>Tested using Grants to County</t>
  </si>
  <si>
    <t>Nitrate</t>
  </si>
  <si>
    <t>Bacteria</t>
  </si>
  <si>
    <t>Pesticides</t>
  </si>
  <si>
    <t>Heavy Metals</t>
  </si>
  <si>
    <t>Hardness</t>
  </si>
  <si>
    <t>Other</t>
  </si>
  <si>
    <t>Model</t>
  </si>
  <si>
    <t>Probit</t>
  </si>
  <si>
    <t>Logit</t>
  </si>
  <si>
    <t>All</t>
  </si>
  <si>
    <t>TC-Difference (p-value)</t>
  </si>
  <si>
    <t>F-Test of Joint Significance</t>
  </si>
  <si>
    <t>Filters Water (Any Filter)</t>
  </si>
  <si>
    <t>Filters Water (RO Filter)</t>
  </si>
  <si>
    <t>Any Filter</t>
  </si>
  <si>
    <t>RO Filter</t>
  </si>
  <si>
    <t>Round 1</t>
  </si>
  <si>
    <t>Round 2</t>
  </si>
  <si>
    <t>Mailed Test Strip (Round 1)</t>
  </si>
  <si>
    <t>Mailed Test Strip (Round 2)</t>
  </si>
  <si>
    <t>Constant</t>
  </si>
  <si>
    <t>MHT Corrected p-value</t>
  </si>
  <si>
    <t>Baseline Testing</t>
  </si>
  <si>
    <t>Missing Baseline Testing</t>
  </si>
  <si>
    <t>Observations</t>
  </si>
  <si>
    <t>County FE</t>
  </si>
  <si>
    <t>MHT Corrected p-values</t>
  </si>
  <si>
    <t>Mailed Test Strip</t>
  </si>
  <si>
    <t>H0: WTP = $5</t>
  </si>
  <si>
    <t>Associate's Degree or Higher</t>
  </si>
  <si>
    <t>Census Data</t>
  </si>
  <si>
    <t>Any Avoidance/Averting Behavior (Test, Filter, or Bottled Water/Coolers)</t>
  </si>
  <si>
    <t>Ever Using GTC</t>
  </si>
  <si>
    <t>Control</t>
  </si>
  <si>
    <t>Concentration (mg/L)</t>
  </si>
  <si>
    <t>Violations (mg/L&gt;10)</t>
  </si>
  <si>
    <t>Own Home (N=1,733)</t>
  </si>
  <si>
    <t xml:space="preserve">0.5 mile radius (N=3,423) </t>
  </si>
  <si>
    <t xml:space="preserve">1 mile radius (N=4,201) </t>
  </si>
  <si>
    <t>2 mile radius(4,502)</t>
  </si>
  <si>
    <t>5 mile radius (N=4,537)</t>
  </si>
  <si>
    <t xml:space="preserve">10 mile radius (N=4,537) </t>
  </si>
  <si>
    <t>Own Home (N=499)</t>
  </si>
  <si>
    <t xml:space="preserve">0.5 mile radius (N=1,641) </t>
  </si>
  <si>
    <t xml:space="preserve">1 mile radius (N=2,842) </t>
  </si>
  <si>
    <t>2 mile radius(4,060)</t>
  </si>
  <si>
    <t>5 mile radius (N=4,518)</t>
  </si>
  <si>
    <t>Panel B: Recent Years (2018-2020)</t>
  </si>
  <si>
    <t>Panel A: All Years (2002-2020)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</si>
</sst>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2" xfId="0" applyFont="1" applyBorder="1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/>
    <xf numFmtId="0" fontId="1" fillId="0" borderId="5" xfId="0" applyFont="1" applyBorder="1" applyAlignment="1">
      <alignment horizontal="center"/>
    </xf>
    <xf numFmtId="0" fontId="1" fillId="0" borderId="1" xfId="0" applyFont="1" applyBorder="1"/>
    <xf numFmtId="0" fontId="1" fillId="0" borderId="4" xfId="0" applyFont="1" applyBorder="1"/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2" fillId="0" borderId="0" xfId="0" applyFont="1"/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6369C-28D6-4995-AB87-6575D1A13C84}">
  <dimension ref="A1:G28"/>
  <sheetViews>
    <sheetView showGridLines="0" workbookViewId="0">
      <selection activeCell="C1" sqref="C1"/>
    </sheetView>
  </sheetViews>
  <sheetFormatPr defaultColWidth="8.77734375" defaultRowHeight="15.6" x14ac:dyDescent="0.3"/>
  <cols>
    <col min="1" max="1" width="2.6640625" style="1" customWidth="1"/>
    <col min="2" max="2" width="32.21875" style="1" bestFit="1" customWidth="1"/>
    <col min="3" max="3" width="5.77734375" style="1" bestFit="1" customWidth="1"/>
    <col min="4" max="4" width="8" style="1" bestFit="1" customWidth="1"/>
    <col min="5" max="5" width="9.77734375" style="1" bestFit="1" customWidth="1"/>
    <col min="6" max="6" width="14.109375" style="1" customWidth="1"/>
    <col min="7" max="16384" width="8.77734375" style="1"/>
  </cols>
  <sheetData>
    <row r="1" spans="1:7" ht="6.45" customHeight="1" x14ac:dyDescent="0.3"/>
    <row r="2" spans="1:7" ht="31.5" customHeight="1" x14ac:dyDescent="0.3">
      <c r="A2" s="16"/>
      <c r="B2" s="16"/>
      <c r="C2" s="17" t="s">
        <v>49</v>
      </c>
      <c r="D2" s="17" t="s">
        <v>17</v>
      </c>
      <c r="E2" s="17" t="s">
        <v>18</v>
      </c>
      <c r="F2" s="18" t="s">
        <v>50</v>
      </c>
      <c r="G2" s="19" t="s">
        <v>70</v>
      </c>
    </row>
    <row r="3" spans="1:7" x14ac:dyDescent="0.3">
      <c r="A3" s="28" t="s">
        <v>0</v>
      </c>
      <c r="B3" s="28"/>
      <c r="C3" s="3" t="str">
        <f>'table-1-raw'!B3</f>
        <v>0.944</v>
      </c>
      <c r="D3" s="3" t="str">
        <f>'table-1-raw'!C3</f>
        <v>0.939</v>
      </c>
      <c r="E3" s="3" t="str">
        <f>'table-1-raw'!D3</f>
        <v>0.949</v>
      </c>
      <c r="F3" s="3" t="str">
        <f>"(" &amp;'table-1-raw'!E3&amp; ")"</f>
        <v>(0.055)</v>
      </c>
    </row>
    <row r="4" spans="1:7" x14ac:dyDescent="0.3">
      <c r="A4" s="29" t="s">
        <v>1</v>
      </c>
      <c r="B4" s="29"/>
      <c r="C4" s="3"/>
      <c r="D4" s="3"/>
      <c r="E4" s="3"/>
      <c r="F4" s="3"/>
      <c r="G4" s="3"/>
    </row>
    <row r="5" spans="1:7" x14ac:dyDescent="0.3">
      <c r="B5" s="1" t="s">
        <v>2</v>
      </c>
      <c r="C5" s="3" t="str">
        <f>'table-1-raw'!B4</f>
        <v>0.081</v>
      </c>
      <c r="D5" s="3" t="str">
        <f>'table-1-raw'!C4</f>
        <v>0.089</v>
      </c>
      <c r="E5" s="3" t="str">
        <f>'table-1-raw'!D4</f>
        <v>0.074</v>
      </c>
      <c r="F5" s="3" t="str">
        <f>"(" &amp;'table-1-raw'!E4&amp; ")"</f>
        <v>(0.020)</v>
      </c>
      <c r="G5" s="3" t="str">
        <f>'table-1-raw'!F4</f>
        <v>0.172</v>
      </c>
    </row>
    <row r="6" spans="1:7" x14ac:dyDescent="0.3">
      <c r="B6" s="1" t="s">
        <v>3</v>
      </c>
      <c r="C6" s="3" t="str">
        <f>'table-1-raw'!B5</f>
        <v>0.260</v>
      </c>
      <c r="D6" s="3" t="str">
        <f>'table-1-raw'!C5</f>
        <v>0.246</v>
      </c>
      <c r="E6" s="3" t="str">
        <f>'table-1-raw'!D5</f>
        <v>0.275</v>
      </c>
      <c r="F6" s="3" t="str">
        <f>"(" &amp;'table-1-raw'!E5&amp; ")"</f>
        <v>(0.006)</v>
      </c>
      <c r="G6" s="3" t="str">
        <f>'table-1-raw'!F5</f>
        <v>0.227</v>
      </c>
    </row>
    <row r="7" spans="1:7" x14ac:dyDescent="0.3">
      <c r="B7" s="1" t="s">
        <v>4</v>
      </c>
      <c r="C7" s="3" t="str">
        <f>'table-1-raw'!B6</f>
        <v>0.423</v>
      </c>
      <c r="D7" s="3" t="str">
        <f>'table-1-raw'!C6</f>
        <v>0.427</v>
      </c>
      <c r="E7" s="3" t="str">
        <f>'table-1-raw'!D6</f>
        <v>0.418</v>
      </c>
      <c r="F7" s="3" t="str">
        <f>"(" &amp;'table-1-raw'!E6&amp; ")"</f>
        <v>(0.447)</v>
      </c>
      <c r="G7" s="3" t="str">
        <f>'table-1-raw'!F6</f>
        <v>0.352</v>
      </c>
    </row>
    <row r="8" spans="1:7" x14ac:dyDescent="0.3">
      <c r="B8" s="1" t="s">
        <v>5</v>
      </c>
      <c r="C8" s="3" t="str">
        <f>'table-1-raw'!B7</f>
        <v>0.197</v>
      </c>
      <c r="D8" s="3" t="str">
        <f>'table-1-raw'!C7</f>
        <v>0.196</v>
      </c>
      <c r="E8" s="3" t="str">
        <f>'table-1-raw'!D7</f>
        <v>0.199</v>
      </c>
      <c r="F8" s="3" t="str">
        <f>"(" &amp;'table-1-raw'!E7&amp; ")"</f>
        <v>(0.793)</v>
      </c>
      <c r="G8" s="3" t="str">
        <f>'table-1-raw'!F7</f>
        <v>0.206</v>
      </c>
    </row>
    <row r="9" spans="1:7" x14ac:dyDescent="0.3">
      <c r="B9" s="1" t="s">
        <v>6</v>
      </c>
      <c r="C9" s="3" t="str">
        <f>'table-1-raw'!B8</f>
        <v>0.038</v>
      </c>
      <c r="D9" s="3" t="str">
        <f>'table-1-raw'!C8</f>
        <v>0.042</v>
      </c>
      <c r="E9" s="3" t="str">
        <f>'table-1-raw'!D8</f>
        <v>0.035</v>
      </c>
      <c r="F9" s="3" t="str">
        <f>"(" &amp;'table-1-raw'!E8&amp; ")"</f>
        <v>(0.118)</v>
      </c>
      <c r="G9" s="3" t="str">
        <f>'table-1-raw'!F8</f>
        <v>0.042</v>
      </c>
    </row>
    <row r="10" spans="1:7" x14ac:dyDescent="0.3">
      <c r="A10" s="29" t="s">
        <v>7</v>
      </c>
      <c r="B10" s="29"/>
      <c r="C10" s="3"/>
      <c r="D10" s="3"/>
      <c r="E10" s="3"/>
      <c r="F10" s="3"/>
      <c r="G10" s="3"/>
    </row>
    <row r="11" spans="1:7" x14ac:dyDescent="0.3">
      <c r="B11" s="1" t="s">
        <v>8</v>
      </c>
      <c r="C11" s="3" t="str">
        <f>'table-1-raw'!B9</f>
        <v>0.600</v>
      </c>
      <c r="D11" s="3" t="str">
        <f>'table-1-raw'!C9</f>
        <v>0.600</v>
      </c>
      <c r="E11" s="3" t="str">
        <f>'table-1-raw'!D9</f>
        <v>0.600</v>
      </c>
      <c r="F11" s="3" t="str">
        <f>"(" &amp;'table-1-raw'!E9&amp; ")"</f>
        <v>(0.996)</v>
      </c>
      <c r="G11" s="3" t="str">
        <f>'table-1-raw'!F9</f>
        <v>0.639</v>
      </c>
    </row>
    <row r="12" spans="1:7" x14ac:dyDescent="0.3">
      <c r="B12" s="1" t="s">
        <v>69</v>
      </c>
      <c r="C12" s="3" t="str">
        <f>'table-1-raw'!B10</f>
        <v>0.400</v>
      </c>
      <c r="D12" s="3" t="str">
        <f>'table-1-raw'!C10</f>
        <v>0.400</v>
      </c>
      <c r="E12" s="3" t="str">
        <f>'table-1-raw'!D10</f>
        <v>0.400</v>
      </c>
      <c r="F12" s="3" t="str">
        <f>"(" &amp;'table-1-raw'!E10&amp; ")"</f>
        <v>(0.996)</v>
      </c>
      <c r="G12" s="3" t="str">
        <f>'table-1-raw'!F10</f>
        <v>0.361</v>
      </c>
    </row>
    <row r="13" spans="1:7" x14ac:dyDescent="0.3">
      <c r="A13" s="29" t="s">
        <v>34</v>
      </c>
      <c r="B13" s="29"/>
      <c r="C13" s="3" t="str">
        <f>'table-1-raw'!B11</f>
        <v>2.498</v>
      </c>
      <c r="D13" s="3" t="str">
        <f>'table-1-raw'!C11</f>
        <v>2.504</v>
      </c>
      <c r="E13" s="3" t="str">
        <f>'table-1-raw'!D11</f>
        <v>2.491</v>
      </c>
      <c r="F13" s="3" t="str">
        <f>"(" &amp;'table-1-raw'!E11&amp; ")"</f>
        <v>(0.708)</v>
      </c>
      <c r="G13" s="3" t="str">
        <f>'table-1-raw'!F11</f>
        <v>2.377</v>
      </c>
    </row>
    <row r="14" spans="1:7" x14ac:dyDescent="0.3">
      <c r="B14" s="1" t="s">
        <v>33</v>
      </c>
      <c r="C14" s="3" t="str">
        <f>'table-1-raw'!B12</f>
        <v>0.211</v>
      </c>
      <c r="D14" s="3" t="str">
        <f>'table-1-raw'!C12</f>
        <v>0.217</v>
      </c>
      <c r="E14" s="3" t="str">
        <f>'table-1-raw'!D12</f>
        <v>0.206</v>
      </c>
      <c r="F14" s="3" t="str">
        <f>"(" &amp;'table-1-raw'!E12&amp; ")"</f>
        <v>(0.240)</v>
      </c>
      <c r="G14" s="3"/>
    </row>
    <row r="15" spans="1:7" x14ac:dyDescent="0.3">
      <c r="B15" s="1" t="s">
        <v>19</v>
      </c>
      <c r="C15" s="3" t="str">
        <f>'table-1-raw'!B13</f>
        <v>0.457</v>
      </c>
      <c r="D15" s="3" t="str">
        <f>'table-1-raw'!C13</f>
        <v>0.455</v>
      </c>
      <c r="E15" s="3" t="str">
        <f>'table-1-raw'!D13</f>
        <v>0.460</v>
      </c>
      <c r="F15" s="3" t="str">
        <f>"(" &amp;'table-1-raw'!E13&amp; ")"</f>
        <v>(0.646)</v>
      </c>
      <c r="G15" s="3"/>
    </row>
    <row r="16" spans="1:7" x14ac:dyDescent="0.3">
      <c r="A16" s="29" t="s">
        <v>9</v>
      </c>
      <c r="B16" s="29"/>
      <c r="C16" s="3"/>
      <c r="D16" s="3"/>
      <c r="E16" s="3"/>
      <c r="F16" s="3"/>
      <c r="G16" s="3"/>
    </row>
    <row r="17" spans="1:7" x14ac:dyDescent="0.3">
      <c r="B17" s="1" t="s">
        <v>10</v>
      </c>
      <c r="C17" s="3" t="str">
        <f>'table-1-raw'!B14</f>
        <v>0.032</v>
      </c>
      <c r="D17" s="3" t="str">
        <f>'table-1-raw'!C14</f>
        <v>0.031</v>
      </c>
      <c r="E17" s="3" t="str">
        <f>'table-1-raw'!D14</f>
        <v>0.034</v>
      </c>
      <c r="F17" s="3" t="str">
        <f>"(" &amp;'table-1-raw'!E14&amp; ")"</f>
        <v>(0.383)</v>
      </c>
      <c r="G17" s="3"/>
    </row>
    <row r="18" spans="1:7" x14ac:dyDescent="0.3">
      <c r="B18" s="1" t="s">
        <v>11</v>
      </c>
      <c r="C18" s="3" t="str">
        <f>'table-1-raw'!B15</f>
        <v>0.045</v>
      </c>
      <c r="D18" s="3" t="str">
        <f>'table-1-raw'!C15</f>
        <v>0.047</v>
      </c>
      <c r="E18" s="3" t="str">
        <f>'table-1-raw'!D15</f>
        <v>0.043</v>
      </c>
      <c r="F18" s="3" t="str">
        <f>"(" &amp;'table-1-raw'!E15&amp; ")"</f>
        <v>(0.378)</v>
      </c>
      <c r="G18" s="3"/>
    </row>
    <row r="19" spans="1:7" x14ac:dyDescent="0.3">
      <c r="B19" s="1" t="s">
        <v>12</v>
      </c>
      <c r="C19" s="3" t="str">
        <f>'table-1-raw'!B16</f>
        <v>0.144</v>
      </c>
      <c r="D19" s="3" t="str">
        <f>'table-1-raw'!C16</f>
        <v>0.143</v>
      </c>
      <c r="E19" s="3" t="str">
        <f>'table-1-raw'!D16</f>
        <v>0.145</v>
      </c>
      <c r="F19" s="3" t="str">
        <f>"(" &amp;'table-1-raw'!E16&amp; ")"</f>
        <v>(0.794)</v>
      </c>
      <c r="G19" s="3"/>
    </row>
    <row r="20" spans="1:7" x14ac:dyDescent="0.3">
      <c r="B20" s="1" t="s">
        <v>13</v>
      </c>
      <c r="C20" s="3" t="str">
        <f>'table-1-raw'!B17</f>
        <v>0.675</v>
      </c>
      <c r="D20" s="3" t="str">
        <f>'table-1-raw'!C17</f>
        <v>0.677</v>
      </c>
      <c r="E20" s="3" t="str">
        <f>'table-1-raw'!D17</f>
        <v>0.673</v>
      </c>
      <c r="F20" s="3" t="str">
        <f>"(" &amp;'table-1-raw'!E17&amp; ")"</f>
        <v>(0.712)</v>
      </c>
      <c r="G20" s="3"/>
    </row>
    <row r="21" spans="1:7" x14ac:dyDescent="0.3">
      <c r="B21" s="1" t="s">
        <v>37</v>
      </c>
      <c r="C21" s="3" t="str">
        <f>'table-1-raw'!B18</f>
        <v>0.103</v>
      </c>
      <c r="D21" s="3" t="str">
        <f>'table-1-raw'!C18</f>
        <v>0.102</v>
      </c>
      <c r="E21" s="3" t="str">
        <f>'table-1-raw'!D18</f>
        <v>0.105</v>
      </c>
      <c r="F21" s="3" t="str">
        <f>"(" &amp;'table-1-raw'!E18&amp; ")"</f>
        <v>(0.717)</v>
      </c>
      <c r="G21" s="3"/>
    </row>
    <row r="22" spans="1:7" x14ac:dyDescent="0.3">
      <c r="A22" s="29" t="s">
        <v>20</v>
      </c>
      <c r="B22" s="29"/>
      <c r="C22" s="3"/>
      <c r="D22" s="3"/>
      <c r="E22" s="3"/>
      <c r="F22" s="3"/>
      <c r="G22" s="3"/>
    </row>
    <row r="23" spans="1:7" x14ac:dyDescent="0.3">
      <c r="B23" s="1" t="s">
        <v>14</v>
      </c>
      <c r="C23" s="3" t="str">
        <f>'table-1-raw'!B19</f>
        <v>0.091</v>
      </c>
      <c r="D23" s="3" t="str">
        <f>'table-1-raw'!C19</f>
        <v>0.088</v>
      </c>
      <c r="E23" s="3" t="str">
        <f>'table-1-raw'!D19</f>
        <v>0.094</v>
      </c>
      <c r="F23" s="3" t="str">
        <f>"(" &amp;'table-1-raw'!E19&amp; ")"</f>
        <v>(0.413)</v>
      </c>
      <c r="G23" s="3"/>
    </row>
    <row r="24" spans="1:7" x14ac:dyDescent="0.3">
      <c r="B24" s="1" t="s">
        <v>15</v>
      </c>
      <c r="C24" s="3" t="str">
        <f>'table-1-raw'!B20</f>
        <v>0.319</v>
      </c>
      <c r="D24" s="3" t="str">
        <f>'table-1-raw'!C20</f>
        <v>0.321</v>
      </c>
      <c r="E24" s="3" t="str">
        <f>'table-1-raw'!D20</f>
        <v>0.318</v>
      </c>
      <c r="F24" s="3" t="str">
        <f>"(" &amp;'table-1-raw'!E20&amp; ")"</f>
        <v>(0.785)</v>
      </c>
      <c r="G24" s="3"/>
    </row>
    <row r="25" spans="1:7" x14ac:dyDescent="0.3">
      <c r="B25" s="1" t="s">
        <v>16</v>
      </c>
      <c r="C25" s="3" t="str">
        <f>'table-1-raw'!B21</f>
        <v>0.404</v>
      </c>
      <c r="D25" s="3" t="str">
        <f>'table-1-raw'!C21</f>
        <v>0.403</v>
      </c>
      <c r="E25" s="3" t="str">
        <f>'table-1-raw'!D21</f>
        <v>0.406</v>
      </c>
      <c r="F25" s="3" t="str">
        <f>"(" &amp;'table-1-raw'!E21&amp; ")"</f>
        <v>(0.794)</v>
      </c>
      <c r="G25" s="3"/>
    </row>
    <row r="26" spans="1:7" x14ac:dyDescent="0.3">
      <c r="A26" s="2"/>
      <c r="B26" s="2" t="s">
        <v>37</v>
      </c>
      <c r="C26" s="4" t="str">
        <f>'table-1-raw'!B22</f>
        <v>0.185</v>
      </c>
      <c r="D26" s="4" t="str">
        <f>'table-1-raw'!C22</f>
        <v>0.188</v>
      </c>
      <c r="E26" s="4" t="str">
        <f>'table-1-raw'!D22</f>
        <v>0.183</v>
      </c>
      <c r="F26" s="4" t="str">
        <f>"(" &amp;'table-1-raw'!E22&amp; ")"</f>
        <v>(0.542)</v>
      </c>
      <c r="G26" s="2"/>
    </row>
    <row r="27" spans="1:7" ht="16.2" thickBot="1" x14ac:dyDescent="0.35">
      <c r="A27" s="7" t="s">
        <v>51</v>
      </c>
      <c r="B27" s="7"/>
      <c r="C27" s="7" t="str">
        <f>'table-1-raw'!B23</f>
        <v>1.031</v>
      </c>
      <c r="D27" s="7"/>
      <c r="E27" s="7"/>
      <c r="F27" s="7"/>
      <c r="G27" s="7"/>
    </row>
    <row r="28" spans="1:7" ht="7.2" customHeight="1" thickTop="1" x14ac:dyDescent="0.3"/>
  </sheetData>
  <mergeCells count="6">
    <mergeCell ref="A3:B3"/>
    <mergeCell ref="A4:B4"/>
    <mergeCell ref="A10:B10"/>
    <mergeCell ref="A22:B22"/>
    <mergeCell ref="A16:B16"/>
    <mergeCell ref="A13:B1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3E473-A802-4C90-BECC-C29F994E2D2B}">
  <dimension ref="A1:R42"/>
  <sheetViews>
    <sheetView showGridLines="0" topLeftCell="A15" workbookViewId="0">
      <selection sqref="A1:F42"/>
    </sheetView>
  </sheetViews>
  <sheetFormatPr defaultRowHeight="15.6" x14ac:dyDescent="0.3"/>
  <cols>
    <col min="1" max="1" width="3" style="22" customWidth="1"/>
    <col min="2" max="2" width="24.6640625" style="22" bestFit="1" customWidth="1"/>
    <col min="3" max="3" width="4.88671875" style="22" bestFit="1" customWidth="1"/>
    <col min="4" max="4" width="9.77734375" style="22" bestFit="1" customWidth="1"/>
    <col min="5" max="5" width="7.6640625" style="22" bestFit="1" customWidth="1"/>
    <col min="6" max="6" width="14" style="22" bestFit="1" customWidth="1"/>
  </cols>
  <sheetData>
    <row r="1" spans="1:6" ht="7.2" customHeight="1" x14ac:dyDescent="0.3"/>
    <row r="2" spans="1:6" ht="31.2" x14ac:dyDescent="0.3">
      <c r="A2" s="23"/>
      <c r="B2" s="24"/>
      <c r="C2" s="21" t="s">
        <v>49</v>
      </c>
      <c r="D2" s="17" t="s">
        <v>18</v>
      </c>
      <c r="E2" s="19" t="s">
        <v>73</v>
      </c>
      <c r="F2" s="19" t="s">
        <v>50</v>
      </c>
    </row>
    <row r="3" spans="1:6" x14ac:dyDescent="0.3">
      <c r="A3" s="32" t="s">
        <v>88</v>
      </c>
      <c r="B3" s="32"/>
      <c r="C3" s="32"/>
      <c r="D3" s="32"/>
      <c r="E3" s="32"/>
      <c r="F3" s="32"/>
    </row>
    <row r="4" spans="1:6" x14ac:dyDescent="0.3">
      <c r="A4" s="22" t="s">
        <v>76</v>
      </c>
      <c r="C4" s="3"/>
      <c r="D4" s="3"/>
      <c r="E4" s="3"/>
      <c r="F4" s="3"/>
    </row>
    <row r="5" spans="1:6" x14ac:dyDescent="0.3">
      <c r="B5" s="22" t="s">
        <v>74</v>
      </c>
      <c r="C5" s="3" t="str">
        <f>'table-s1-raw'!B3</f>
        <v>4.65</v>
      </c>
      <c r="D5" s="3" t="str">
        <f>'table-s1-raw'!C3</f>
        <v>4.63</v>
      </c>
      <c r="E5" s="3" t="str">
        <f>'table-s1-raw'!D3</f>
        <v>4.67</v>
      </c>
      <c r="F5" s="3" t="str">
        <f>'table-s1-raw'!E3</f>
        <v>0.91</v>
      </c>
    </row>
    <row r="6" spans="1:6" x14ac:dyDescent="0.3">
      <c r="B6" s="22" t="s">
        <v>75</v>
      </c>
      <c r="C6" s="3" t="str">
        <f>'table-s1-raw'!B4</f>
        <v>0.16</v>
      </c>
      <c r="D6" s="3" t="str">
        <f>'table-s1-raw'!C4</f>
        <v>0.15</v>
      </c>
      <c r="E6" s="3" t="str">
        <f>'table-s1-raw'!D4</f>
        <v>0.17</v>
      </c>
      <c r="F6" s="3" t="str">
        <f>'table-s1-raw'!E4</f>
        <v>0.42</v>
      </c>
    </row>
    <row r="7" spans="1:6" x14ac:dyDescent="0.3">
      <c r="A7" s="22" t="s">
        <v>77</v>
      </c>
      <c r="C7" s="3"/>
      <c r="D7" s="3"/>
      <c r="E7" s="3"/>
      <c r="F7" s="3"/>
    </row>
    <row r="8" spans="1:6" x14ac:dyDescent="0.3">
      <c r="B8" s="22" t="s">
        <v>74</v>
      </c>
      <c r="C8" s="3" t="str">
        <f>'table-s1-raw'!B5</f>
        <v>4.29</v>
      </c>
      <c r="D8" s="3" t="str">
        <f>'table-s1-raw'!C5</f>
        <v>4.46</v>
      </c>
      <c r="E8" s="3" t="str">
        <f>'table-s1-raw'!D5</f>
        <v>4.12</v>
      </c>
      <c r="F8" s="3" t="str">
        <f>'table-s1-raw'!E5</f>
        <v>0.09</v>
      </c>
    </row>
    <row r="9" spans="1:6" x14ac:dyDescent="0.3">
      <c r="B9" s="22" t="s">
        <v>75</v>
      </c>
      <c r="C9" s="3" t="str">
        <f>'table-s1-raw'!B6</f>
        <v>0.13</v>
      </c>
      <c r="D9" s="3" t="str">
        <f>'table-s1-raw'!C6</f>
        <v>0.13</v>
      </c>
      <c r="E9" s="3" t="str">
        <f>'table-s1-raw'!D6</f>
        <v>0.13</v>
      </c>
      <c r="F9" s="3" t="str">
        <f>'table-s1-raw'!E6</f>
        <v>0.45</v>
      </c>
    </row>
    <row r="10" spans="1:6" x14ac:dyDescent="0.3">
      <c r="A10" s="22" t="s">
        <v>78</v>
      </c>
      <c r="C10" s="3"/>
      <c r="D10" s="3"/>
      <c r="E10" s="3"/>
      <c r="F10" s="3"/>
    </row>
    <row r="11" spans="1:6" x14ac:dyDescent="0.3">
      <c r="B11" s="22" t="s">
        <v>74</v>
      </c>
      <c r="C11" s="3" t="str">
        <f>'table-s1-raw'!B7</f>
        <v>4.39</v>
      </c>
      <c r="D11" s="3" t="str">
        <f>'table-s1-raw'!C7</f>
        <v>4.49</v>
      </c>
      <c r="E11" s="3" t="str">
        <f>'table-s1-raw'!D7</f>
        <v>4.27</v>
      </c>
      <c r="F11" s="3" t="str">
        <f>'table-s1-raw'!E7</f>
        <v>0.14</v>
      </c>
    </row>
    <row r="12" spans="1:6" x14ac:dyDescent="0.3">
      <c r="B12" s="22" t="s">
        <v>75</v>
      </c>
      <c r="C12" s="3" t="str">
        <f>'table-s1-raw'!B8</f>
        <v>0.12</v>
      </c>
      <c r="D12" s="3" t="str">
        <f>'table-s1-raw'!C8</f>
        <v>0.12</v>
      </c>
      <c r="E12" s="3" t="str">
        <f>'table-s1-raw'!D8</f>
        <v>0.12</v>
      </c>
      <c r="F12" s="3" t="str">
        <f>'table-s1-raw'!E8</f>
        <v>0.73</v>
      </c>
    </row>
    <row r="13" spans="1:6" x14ac:dyDescent="0.3">
      <c r="A13" s="22" t="s">
        <v>79</v>
      </c>
      <c r="C13" s="3"/>
      <c r="D13" s="3"/>
      <c r="E13" s="3"/>
      <c r="F13" s="3"/>
    </row>
    <row r="14" spans="1:6" x14ac:dyDescent="0.3">
      <c r="B14" s="22" t="s">
        <v>74</v>
      </c>
      <c r="C14" s="3" t="str">
        <f>'table-s1-raw'!B9</f>
        <v>4.36</v>
      </c>
      <c r="D14" s="3" t="str">
        <f>'table-s1-raw'!C9</f>
        <v>4.44</v>
      </c>
      <c r="E14" s="3" t="str">
        <f>'table-s1-raw'!D9</f>
        <v>4.27</v>
      </c>
      <c r="F14" s="3" t="str">
        <f>'table-s1-raw'!E9</f>
        <v>0.14</v>
      </c>
    </row>
    <row r="15" spans="1:6" x14ac:dyDescent="0.3">
      <c r="B15" s="22" t="s">
        <v>75</v>
      </c>
      <c r="C15" s="3" t="str">
        <f>'table-s1-raw'!B10</f>
        <v>0.09</v>
      </c>
      <c r="D15" s="3" t="str">
        <f>'table-s1-raw'!C10</f>
        <v>0.10</v>
      </c>
      <c r="E15" s="3" t="str">
        <f>'table-s1-raw'!D10</f>
        <v>0.09</v>
      </c>
      <c r="F15" s="3" t="str">
        <f>'table-s1-raw'!E10</f>
        <v>0.45</v>
      </c>
    </row>
    <row r="16" spans="1:6" x14ac:dyDescent="0.3">
      <c r="A16" s="22" t="s">
        <v>80</v>
      </c>
      <c r="C16" s="3"/>
      <c r="D16" s="3"/>
      <c r="E16" s="3"/>
      <c r="F16" s="3"/>
    </row>
    <row r="17" spans="1:18" x14ac:dyDescent="0.3">
      <c r="B17" s="22" t="s">
        <v>74</v>
      </c>
      <c r="C17" s="3" t="str">
        <f>'table-s1-raw'!B11</f>
        <v>4.42</v>
      </c>
      <c r="D17" s="3" t="str">
        <f>'table-s1-raw'!C11</f>
        <v>4.46</v>
      </c>
      <c r="E17" s="3" t="str">
        <f>'table-s1-raw'!D11</f>
        <v>4.37</v>
      </c>
      <c r="F17" s="3" t="str">
        <f>'table-s1-raw'!E11</f>
        <v>0.29</v>
      </c>
    </row>
    <row r="18" spans="1:18" x14ac:dyDescent="0.3">
      <c r="B18" s="22" t="s">
        <v>75</v>
      </c>
      <c r="C18" s="3" t="str">
        <f>'table-s1-raw'!B12</f>
        <v>0.06</v>
      </c>
      <c r="D18" s="3" t="str">
        <f>'table-s1-raw'!C12</f>
        <v>0.06</v>
      </c>
      <c r="E18" s="3" t="str">
        <f>'table-s1-raw'!D12</f>
        <v>0.05</v>
      </c>
      <c r="F18" s="3" t="str">
        <f>'table-s1-raw'!E12</f>
        <v>0.05</v>
      </c>
    </row>
    <row r="19" spans="1:18" x14ac:dyDescent="0.3">
      <c r="A19" s="22" t="s">
        <v>81</v>
      </c>
      <c r="C19" s="3"/>
      <c r="D19" s="3"/>
      <c r="E19" s="3"/>
      <c r="F19" s="3"/>
    </row>
    <row r="20" spans="1:18" x14ac:dyDescent="0.3">
      <c r="B20" s="22" t="s">
        <v>74</v>
      </c>
      <c r="C20" s="3" t="str">
        <f>'table-s1-raw'!B13</f>
        <v>4.42</v>
      </c>
      <c r="D20" s="3" t="str">
        <f>'table-s1-raw'!C13</f>
        <v>4.47</v>
      </c>
      <c r="E20" s="3" t="str">
        <f>'table-s1-raw'!D13</f>
        <v>4.37</v>
      </c>
      <c r="F20" s="3" t="str">
        <f>'table-s1-raw'!E13</f>
        <v>0.16</v>
      </c>
    </row>
    <row r="21" spans="1:18" x14ac:dyDescent="0.3">
      <c r="B21" s="22" t="s">
        <v>75</v>
      </c>
      <c r="C21" s="3" t="str">
        <f>'table-s1-raw'!B14</f>
        <v>0.02</v>
      </c>
      <c r="D21" s="3" t="str">
        <f>'table-s1-raw'!C14</f>
        <v>0.02</v>
      </c>
      <c r="E21" s="3" t="str">
        <f>'table-s1-raw'!D14</f>
        <v>0.01</v>
      </c>
      <c r="F21" s="3" t="str">
        <f>'table-s1-raw'!E14</f>
        <v>0.03</v>
      </c>
    </row>
    <row r="22" spans="1:18" ht="2.4" customHeight="1" x14ac:dyDescent="0.3">
      <c r="A22" s="25"/>
      <c r="B22" s="25"/>
      <c r="C22" s="25"/>
      <c r="D22" s="25"/>
      <c r="E22" s="25"/>
      <c r="F22" s="25"/>
    </row>
    <row r="23" spans="1:18" x14ac:dyDescent="0.3">
      <c r="A23" s="33" t="s">
        <v>87</v>
      </c>
      <c r="B23" s="33"/>
      <c r="C23" s="33"/>
      <c r="D23" s="33"/>
      <c r="E23" s="33"/>
      <c r="F23" s="33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</row>
    <row r="24" spans="1:18" x14ac:dyDescent="0.3">
      <c r="A24" s="22" t="s">
        <v>82</v>
      </c>
    </row>
    <row r="25" spans="1:18" x14ac:dyDescent="0.3">
      <c r="B25" s="22" t="s">
        <v>74</v>
      </c>
      <c r="C25" s="3" t="str">
        <f>'table-s1-raw'!B15</f>
        <v>3.77</v>
      </c>
      <c r="D25" s="3" t="str">
        <f>'table-s1-raw'!C15</f>
        <v>3.91</v>
      </c>
      <c r="E25" s="3" t="str">
        <f>'table-s1-raw'!D15</f>
        <v>3.60</v>
      </c>
      <c r="F25" s="3" t="str">
        <f>'table-s1-raw'!E15</f>
        <v>0.52</v>
      </c>
    </row>
    <row r="26" spans="1:18" x14ac:dyDescent="0.3">
      <c r="B26" s="22" t="s">
        <v>75</v>
      </c>
      <c r="C26" s="3" t="str">
        <f>'table-s1-raw'!B16</f>
        <v>0.15</v>
      </c>
      <c r="D26" s="3" t="str">
        <f>'table-s1-raw'!C16</f>
        <v>0.14</v>
      </c>
      <c r="E26" s="3" t="str">
        <f>'table-s1-raw'!D16</f>
        <v>0.15</v>
      </c>
      <c r="F26" s="3" t="str">
        <f>'table-s1-raw'!E16</f>
        <v>0.65</v>
      </c>
    </row>
    <row r="27" spans="1:18" x14ac:dyDescent="0.3">
      <c r="A27" s="22" t="s">
        <v>83</v>
      </c>
      <c r="C27" s="3"/>
      <c r="D27" s="3"/>
      <c r="E27" s="3"/>
      <c r="F27" s="3"/>
    </row>
    <row r="28" spans="1:18" x14ac:dyDescent="0.3">
      <c r="B28" s="22" t="s">
        <v>74</v>
      </c>
      <c r="C28" s="3" t="str">
        <f>'table-s1-raw'!B17</f>
        <v>3.78</v>
      </c>
      <c r="D28" s="3" t="str">
        <f>'table-s1-raw'!C17</f>
        <v>3.80</v>
      </c>
      <c r="E28" s="3" t="str">
        <f>'table-s1-raw'!D17</f>
        <v>3.76</v>
      </c>
      <c r="F28" s="3" t="str">
        <f>'table-s1-raw'!E17</f>
        <v>0.87</v>
      </c>
    </row>
    <row r="29" spans="1:18" x14ac:dyDescent="0.3">
      <c r="B29" s="22" t="s">
        <v>75</v>
      </c>
      <c r="C29" s="3" t="str">
        <f>'table-s1-raw'!B18</f>
        <v>0.13</v>
      </c>
      <c r="D29" s="3" t="str">
        <f>'table-s1-raw'!C18</f>
        <v>0.12</v>
      </c>
      <c r="E29" s="3" t="str">
        <f>'table-s1-raw'!D18</f>
        <v>0.14</v>
      </c>
      <c r="F29" s="3" t="str">
        <f>'table-s1-raw'!E18</f>
        <v>0.37</v>
      </c>
    </row>
    <row r="30" spans="1:18" x14ac:dyDescent="0.3">
      <c r="A30" s="22" t="s">
        <v>84</v>
      </c>
      <c r="C30" s="3"/>
      <c r="D30" s="3"/>
      <c r="E30" s="3"/>
      <c r="F30" s="3"/>
    </row>
    <row r="31" spans="1:18" x14ac:dyDescent="0.3">
      <c r="B31" s="22" t="s">
        <v>74</v>
      </c>
      <c r="C31" s="3" t="str">
        <f>'table-s1-raw'!B19</f>
        <v>3.65</v>
      </c>
      <c r="D31" s="3" t="str">
        <f>'table-s1-raw'!C19</f>
        <v>3.71</v>
      </c>
      <c r="E31" s="3" t="str">
        <f>'table-s1-raw'!D19</f>
        <v>3.58</v>
      </c>
      <c r="F31" s="3" t="str">
        <f>'table-s1-raw'!E19</f>
        <v>0.46</v>
      </c>
    </row>
    <row r="32" spans="1:18" x14ac:dyDescent="0.3">
      <c r="B32" s="22" t="s">
        <v>75</v>
      </c>
      <c r="C32" s="3" t="str">
        <f>'table-s1-raw'!B20</f>
        <v>0.11</v>
      </c>
      <c r="D32" s="3" t="str">
        <f>'table-s1-raw'!C20</f>
        <v>0.11</v>
      </c>
      <c r="E32" s="3" t="str">
        <f>'table-s1-raw'!D20</f>
        <v>0.11</v>
      </c>
      <c r="F32" s="3" t="str">
        <f>'table-s1-raw'!E20</f>
        <v>0.89</v>
      </c>
    </row>
    <row r="33" spans="1:6" x14ac:dyDescent="0.3">
      <c r="A33" s="22" t="s">
        <v>85</v>
      </c>
      <c r="C33" s="3"/>
      <c r="D33" s="3"/>
      <c r="E33" s="3"/>
      <c r="F33" s="3"/>
    </row>
    <row r="34" spans="1:6" x14ac:dyDescent="0.3">
      <c r="B34" s="22" t="s">
        <v>74</v>
      </c>
      <c r="C34" s="3" t="str">
        <f>'table-s1-raw'!B21</f>
        <v>3.58</v>
      </c>
      <c r="D34" s="3" t="str">
        <f>'table-s1-raw'!C21</f>
        <v>3.63</v>
      </c>
      <c r="E34" s="3" t="str">
        <f>'table-s1-raw'!D21</f>
        <v>3.54</v>
      </c>
      <c r="F34" s="3" t="str">
        <f>'table-s1-raw'!E21</f>
        <v>0.45</v>
      </c>
    </row>
    <row r="35" spans="1:6" x14ac:dyDescent="0.3">
      <c r="B35" s="22" t="s">
        <v>75</v>
      </c>
      <c r="C35" s="3" t="str">
        <f>'table-s1-raw'!B22</f>
        <v>0.07</v>
      </c>
      <c r="D35" s="3" t="str">
        <f>'table-s1-raw'!C22</f>
        <v>0.07</v>
      </c>
      <c r="E35" s="3" t="str">
        <f>'table-s1-raw'!D22</f>
        <v>0.07</v>
      </c>
      <c r="F35" s="3" t="str">
        <f>'table-s1-raw'!E22</f>
        <v>0.80</v>
      </c>
    </row>
    <row r="36" spans="1:6" x14ac:dyDescent="0.3">
      <c r="A36" s="22" t="s">
        <v>86</v>
      </c>
      <c r="C36" s="3"/>
      <c r="D36" s="3"/>
      <c r="E36" s="3"/>
      <c r="F36" s="3"/>
    </row>
    <row r="37" spans="1:6" x14ac:dyDescent="0.3">
      <c r="B37" s="22" t="s">
        <v>74</v>
      </c>
      <c r="C37" s="3" t="str">
        <f>'table-s1-raw'!B23</f>
        <v>3.67</v>
      </c>
      <c r="D37" s="3" t="str">
        <f>'table-s1-raw'!C23</f>
        <v>3.75</v>
      </c>
      <c r="E37" s="3" t="str">
        <f>'table-s1-raw'!D23</f>
        <v>3.58</v>
      </c>
      <c r="F37" s="3" t="str">
        <f>'table-s1-raw'!E23</f>
        <v>0.04</v>
      </c>
    </row>
    <row r="38" spans="1:6" x14ac:dyDescent="0.3">
      <c r="B38" s="22" t="s">
        <v>75</v>
      </c>
      <c r="C38" s="3" t="str">
        <f>'table-s1-raw'!B24</f>
        <v>0.02</v>
      </c>
      <c r="D38" s="3" t="str">
        <f>'table-s1-raw'!C24</f>
        <v>0.02</v>
      </c>
      <c r="E38" s="3" t="str">
        <f>'table-s1-raw'!D24</f>
        <v>0.01</v>
      </c>
      <c r="F38" s="3" t="str">
        <f>'table-s1-raw'!E24</f>
        <v>0.00</v>
      </c>
    </row>
    <row r="39" spans="1:6" x14ac:dyDescent="0.3">
      <c r="A39" s="22" t="s">
        <v>81</v>
      </c>
      <c r="C39" s="3"/>
      <c r="D39" s="3"/>
      <c r="E39" s="3"/>
      <c r="F39" s="3"/>
    </row>
    <row r="40" spans="1:6" x14ac:dyDescent="0.3">
      <c r="B40" s="22" t="s">
        <v>74</v>
      </c>
      <c r="C40" s="3" t="str">
        <f>'table-s1-raw'!B25</f>
        <v>3.58</v>
      </c>
      <c r="D40" s="3" t="str">
        <f>'table-s1-raw'!C25</f>
        <v>3.64</v>
      </c>
      <c r="E40" s="3" t="str">
        <f>'table-s1-raw'!D25</f>
        <v>3.52</v>
      </c>
      <c r="F40" s="3" t="str">
        <f>'table-s1-raw'!E25</f>
        <v>0.05</v>
      </c>
    </row>
    <row r="41" spans="1:6" ht="16.2" thickBot="1" x14ac:dyDescent="0.35">
      <c r="A41" s="26"/>
      <c r="B41" s="26" t="s">
        <v>75</v>
      </c>
      <c r="C41" s="8" t="str">
        <f>'table-s1-raw'!B26</f>
        <v>0.00</v>
      </c>
      <c r="D41" s="8" t="str">
        <f>'table-s1-raw'!C26</f>
        <v>0.00</v>
      </c>
      <c r="E41" s="8" t="str">
        <f>'table-s1-raw'!D26</f>
        <v>0.00</v>
      </c>
      <c r="F41" s="8" t="str">
        <f>'table-s1-raw'!E26</f>
        <v>0.01</v>
      </c>
    </row>
    <row r="42" spans="1:6" ht="4.2" customHeight="1" thickTop="1" x14ac:dyDescent="0.3"/>
  </sheetData>
  <mergeCells count="3">
    <mergeCell ref="H23:R23"/>
    <mergeCell ref="A3:F3"/>
    <mergeCell ref="A23:F23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6C651-FC22-4C68-A725-A2946527AD8D}">
  <dimension ref="A1:C15"/>
  <sheetViews>
    <sheetView showGridLines="0" workbookViewId="0">
      <selection activeCell="B8" sqref="B8"/>
    </sheetView>
  </sheetViews>
  <sheetFormatPr defaultRowHeight="14.4" x14ac:dyDescent="0.3"/>
  <cols>
    <col min="1" max="1" width="29.77734375" bestFit="1" customWidth="1"/>
    <col min="2" max="2" width="18.21875" bestFit="1" customWidth="1"/>
    <col min="3" max="3" width="27.77734375" bestFit="1" customWidth="1"/>
  </cols>
  <sheetData>
    <row r="1" spans="1:3" ht="10.5" customHeight="1" x14ac:dyDescent="0.3">
      <c r="A1" s="5"/>
      <c r="B1" s="5"/>
      <c r="C1" s="5"/>
    </row>
    <row r="2" spans="1:3" ht="15.6" x14ac:dyDescent="0.3">
      <c r="A2" s="1" t="str">
        <f>'table-s2-raw'!A2</f>
        <v/>
      </c>
      <c r="B2" s="10" t="str">
        <f>'table-s2-raw'!B2</f>
        <v>(1)</v>
      </c>
      <c r="C2" s="10" t="str">
        <f>'table-s2-raw'!C2</f>
        <v>(2)</v>
      </c>
    </row>
    <row r="3" spans="1:3" ht="15.6" x14ac:dyDescent="0.3">
      <c r="A3" s="1" t="str">
        <f>'table-s2-raw'!A3</f>
        <v/>
      </c>
      <c r="B3" s="10" t="s">
        <v>38</v>
      </c>
      <c r="C3" s="10" t="s">
        <v>39</v>
      </c>
    </row>
    <row r="4" spans="1:3" ht="15.6" x14ac:dyDescent="0.3">
      <c r="A4" s="1" t="str">
        <f>'table-s2-raw'!A4</f>
        <v>Treatment Group - Response</v>
      </c>
      <c r="B4" s="10" t="str">
        <f>'table-s2-raw'!B4</f>
        <v>0.087***</v>
      </c>
      <c r="C4" s="10" t="str">
        <f>'table-s2-raw'!C4</f>
        <v>0.535***</v>
      </c>
    </row>
    <row r="5" spans="1:3" ht="15.6" x14ac:dyDescent="0.3">
      <c r="A5" s="1" t="str">
        <f>'table-s2-raw'!A5</f>
        <v/>
      </c>
      <c r="B5" s="10" t="str">
        <f>'table-s2-raw'!B5</f>
        <v>(0.006)</v>
      </c>
      <c r="C5" s="10" t="str">
        <f>'table-s2-raw'!C5</f>
        <v>(0.015)</v>
      </c>
    </row>
    <row r="6" spans="1:3" ht="15.6" x14ac:dyDescent="0.3">
      <c r="A6" s="1" t="str">
        <f>'table-s2-raw'!A6</f>
        <v>Control Group - Response</v>
      </c>
      <c r="B6" s="10" t="str">
        <f>'table-s2-raw'!B6</f>
        <v>0.094***</v>
      </c>
      <c r="C6" s="10" t="str">
        <f>'table-s2-raw'!C6</f>
        <v>0.536***</v>
      </c>
    </row>
    <row r="7" spans="1:3" ht="15.6" x14ac:dyDescent="0.3">
      <c r="A7" s="1" t="str">
        <f>'table-s2-raw'!A7</f>
        <v/>
      </c>
      <c r="B7" s="10" t="str">
        <f>'table-s2-raw'!B7</f>
        <v>(0.006)</v>
      </c>
      <c r="C7" s="10" t="str">
        <f>'table-s2-raw'!C7</f>
        <v>(0.015)</v>
      </c>
    </row>
    <row r="8" spans="1:3" ht="15.6" x14ac:dyDescent="0.3">
      <c r="A8" s="1" t="str">
        <f>'table-s2-raw'!A8</f>
        <v>Treatment Group - No Response</v>
      </c>
      <c r="B8" s="10" t="str">
        <f>'table-s2-raw'!B8</f>
        <v>0.087***</v>
      </c>
      <c r="C8" s="10" t="str">
        <f>'table-s2-raw'!C8</f>
        <v>0.453***</v>
      </c>
    </row>
    <row r="9" spans="1:3" ht="15.6" x14ac:dyDescent="0.3">
      <c r="A9" s="1" t="str">
        <f>'table-s2-raw'!A9</f>
        <v/>
      </c>
      <c r="B9" s="10" t="str">
        <f>'table-s2-raw'!B9</f>
        <v>(0.007)</v>
      </c>
      <c r="C9" s="10" t="str">
        <f>'table-s2-raw'!C9</f>
        <v>(0.017)</v>
      </c>
    </row>
    <row r="10" spans="1:3" ht="15.6" x14ac:dyDescent="0.3">
      <c r="A10" s="1" t="str">
        <f>'table-s2-raw'!A10</f>
        <v>Control Group - No Response</v>
      </c>
      <c r="B10" s="10" t="str">
        <f>'table-s2-raw'!B10</f>
        <v>0.086***</v>
      </c>
      <c r="C10" s="10" t="str">
        <f>'table-s2-raw'!C10</f>
        <v>0.460***</v>
      </c>
    </row>
    <row r="11" spans="1:3" ht="15.6" x14ac:dyDescent="0.3">
      <c r="A11" s="2" t="str">
        <f>'table-s2-raw'!A11</f>
        <v/>
      </c>
      <c r="B11" s="11" t="str">
        <f>'table-s2-raw'!B11</f>
        <v>(0.007)</v>
      </c>
      <c r="C11" s="11" t="str">
        <f>'table-s2-raw'!C11</f>
        <v>(0.018)</v>
      </c>
    </row>
    <row r="12" spans="1:3" ht="15.6" x14ac:dyDescent="0.3">
      <c r="A12" s="1" t="str">
        <f>'table-s2-raw'!A13</f>
        <v>IV-R Test</v>
      </c>
      <c r="B12" s="10" t="str">
        <f>'table-s2-raw'!B13</f>
        <v>0.7453</v>
      </c>
      <c r="C12" s="10" t="str">
        <f>'table-s2-raw'!C13</f>
        <v>0.9547</v>
      </c>
    </row>
    <row r="13" spans="1:3" ht="15.6" x14ac:dyDescent="0.3">
      <c r="A13" s="2" t="str">
        <f>'table-s2-raw'!A14</f>
        <v>IV-P Test</v>
      </c>
      <c r="B13" s="11" t="str">
        <f>'table-s2-raw'!B14</f>
        <v>0.7987</v>
      </c>
      <c r="C13" s="11" t="str">
        <f>'table-s2-raw'!C14</f>
        <v>0.0000</v>
      </c>
    </row>
    <row r="14" spans="1:3" ht="16.2" thickBot="1" x14ac:dyDescent="0.35">
      <c r="A14" s="13" t="str">
        <f>'table-s2-raw'!A12</f>
        <v>Observations</v>
      </c>
      <c r="B14" s="14" t="str">
        <f>'table-s2-raw'!B12</f>
        <v>7897</v>
      </c>
      <c r="C14" s="14" t="str">
        <f>'table-s2-raw'!C12</f>
        <v>3886</v>
      </c>
    </row>
    <row r="15" spans="1:3" ht="15" thickTop="1" x14ac:dyDescent="0.3"/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F8FD4-9AAE-4580-A772-59840F28DA78}">
  <dimension ref="A1:E11"/>
  <sheetViews>
    <sheetView showGridLines="0" workbookViewId="0">
      <selection activeCell="C25" sqref="C25"/>
    </sheetView>
  </sheetViews>
  <sheetFormatPr defaultRowHeight="14.4" x14ac:dyDescent="0.3"/>
  <cols>
    <col min="1" max="1" width="15.88671875" bestFit="1" customWidth="1"/>
    <col min="2" max="3" width="18.21875" bestFit="1" customWidth="1"/>
    <col min="4" max="5" width="27.77734375" bestFit="1" customWidth="1"/>
  </cols>
  <sheetData>
    <row r="1" spans="1:5" ht="6" customHeight="1" x14ac:dyDescent="0.3">
      <c r="A1" s="5"/>
      <c r="B1" s="5"/>
      <c r="C1" s="5"/>
      <c r="D1" s="5"/>
      <c r="E1" s="5"/>
    </row>
    <row r="2" spans="1:5" ht="15.6" x14ac:dyDescent="0.3">
      <c r="A2" s="1" t="str">
        <f>'table-s3-raw'!A2</f>
        <v/>
      </c>
      <c r="B2" s="10" t="str">
        <f>'table-s3-raw'!B2</f>
        <v>(1)</v>
      </c>
      <c r="C2" s="10" t="str">
        <f>'table-s3-raw'!C2</f>
        <v>(2)</v>
      </c>
      <c r="D2" s="10" t="str">
        <f>'table-s3-raw'!D2</f>
        <v>(3)</v>
      </c>
      <c r="E2" s="10" t="str">
        <f>'table-s3-raw'!E2</f>
        <v>(4)</v>
      </c>
    </row>
    <row r="3" spans="1:5" ht="15.6" x14ac:dyDescent="0.3">
      <c r="A3" s="1"/>
      <c r="B3" s="10" t="s">
        <v>38</v>
      </c>
      <c r="C3" s="10" t="s">
        <v>38</v>
      </c>
      <c r="D3" s="10" t="s">
        <v>39</v>
      </c>
      <c r="E3" s="10" t="s">
        <v>39</v>
      </c>
    </row>
    <row r="4" spans="1:5" ht="15.6" x14ac:dyDescent="0.3">
      <c r="A4" s="1" t="str">
        <f>'table-s3-raw'!A4</f>
        <v>Mailed Test Strip</v>
      </c>
      <c r="B4" s="10" t="str">
        <f>'table-s3-raw'!B4</f>
        <v>0.698***</v>
      </c>
      <c r="C4" s="10" t="str">
        <f>'table-s3-raw'!C4</f>
        <v>1.160***</v>
      </c>
      <c r="D4" s="10" t="str">
        <f>'table-s3-raw'!D4</f>
        <v>0.160***</v>
      </c>
      <c r="E4" s="10" t="str">
        <f>'table-s3-raw'!E4</f>
        <v>0.304***</v>
      </c>
    </row>
    <row r="5" spans="1:5" ht="15.6" x14ac:dyDescent="0.3">
      <c r="A5" s="1" t="str">
        <f>'table-s3-raw'!A5</f>
        <v/>
      </c>
      <c r="B5" s="10" t="str">
        <f>'table-s3-raw'!B5</f>
        <v>(0.040)</v>
      </c>
      <c r="C5" s="10" t="str">
        <f>'table-s3-raw'!C5</f>
        <v>(0.068)</v>
      </c>
      <c r="D5" s="10" t="str">
        <f>'table-s3-raw'!D5</f>
        <v>(0.049)</v>
      </c>
      <c r="E5" s="10" t="str">
        <f>'table-s3-raw'!E5</f>
        <v>(0.093)</v>
      </c>
    </row>
    <row r="6" spans="1:5" ht="15.6" x14ac:dyDescent="0.3">
      <c r="A6" s="1" t="str">
        <f>'table-s3-raw'!A6</f>
        <v>Constant</v>
      </c>
      <c r="B6" s="10" t="str">
        <f>'table-s3-raw'!B6</f>
        <v>-0.865***</v>
      </c>
      <c r="C6" s="10" t="str">
        <f>'table-s3-raw'!C6</f>
        <v>-1.427***</v>
      </c>
      <c r="D6" s="10" t="str">
        <f>'table-s3-raw'!D6</f>
        <v>-1.282***</v>
      </c>
      <c r="E6" s="10" t="str">
        <f>'table-s3-raw'!E6</f>
        <v>-2.198***</v>
      </c>
    </row>
    <row r="7" spans="1:5" ht="15.6" x14ac:dyDescent="0.3">
      <c r="A7" s="2" t="str">
        <f>'table-s3-raw'!A7</f>
        <v/>
      </c>
      <c r="B7" s="11" t="str">
        <f>'table-s3-raw'!B7</f>
        <v>(0.030)</v>
      </c>
      <c r="C7" s="11" t="str">
        <f>'table-s3-raw'!C7</f>
        <v>(0.052)</v>
      </c>
      <c r="D7" s="11" t="str">
        <f>'table-s3-raw'!D7</f>
        <v>(0.035)</v>
      </c>
      <c r="E7" s="11" t="str">
        <f>'table-s3-raw'!E7</f>
        <v>(0.068)</v>
      </c>
    </row>
    <row r="8" spans="1:5" ht="15.6" x14ac:dyDescent="0.3">
      <c r="A8" s="1" t="str">
        <f>'table-s3-raw'!A9</f>
        <v>Marginal Effect</v>
      </c>
      <c r="B8" s="10" t="str">
        <f>'table-s3-raw'!B9</f>
        <v>0.2311</v>
      </c>
      <c r="C8" s="10" t="str">
        <f>'table-s3-raw'!C9</f>
        <v>0.2307</v>
      </c>
      <c r="D8" s="10" t="str">
        <f>'table-s3-raw'!D9</f>
        <v>0.0308</v>
      </c>
      <c r="E8" s="10" t="str">
        <f>'table-s3-raw'!E9</f>
        <v>0.0309</v>
      </c>
    </row>
    <row r="9" spans="1:5" ht="15.6" x14ac:dyDescent="0.3">
      <c r="A9" s="1" t="s">
        <v>46</v>
      </c>
      <c r="B9" s="10" t="s">
        <v>47</v>
      </c>
      <c r="C9" s="10" t="s">
        <v>48</v>
      </c>
      <c r="D9" s="10" t="s">
        <v>47</v>
      </c>
      <c r="E9" s="10" t="s">
        <v>48</v>
      </c>
    </row>
    <row r="10" spans="1:5" ht="16.2" thickBot="1" x14ac:dyDescent="0.35">
      <c r="A10" s="7" t="str">
        <f>'table-s3-raw'!A8</f>
        <v>Observations</v>
      </c>
      <c r="B10" s="12" t="str">
        <f>'table-s3-raw'!B8</f>
        <v>4541</v>
      </c>
      <c r="C10" s="12" t="str">
        <f>'table-s3-raw'!C8</f>
        <v>4541</v>
      </c>
      <c r="D10" s="12" t="str">
        <f>'table-s3-raw'!D8</f>
        <v>4541</v>
      </c>
      <c r="E10" s="12" t="str">
        <f>'table-s3-raw'!E8</f>
        <v>4541</v>
      </c>
    </row>
    <row r="11" spans="1:5" ht="15" thickTop="1" x14ac:dyDescent="0.3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7B1A0-7B13-4FFB-A766-A0FD3025A116}">
  <dimension ref="A1:K49"/>
  <sheetViews>
    <sheetView showGridLines="0" workbookViewId="0">
      <selection activeCell="A25" sqref="A25:K25"/>
    </sheetView>
  </sheetViews>
  <sheetFormatPr defaultColWidth="8.77734375" defaultRowHeight="15.6" x14ac:dyDescent="0.3"/>
  <cols>
    <col min="1" max="1" width="27.6640625" style="1" customWidth="1"/>
    <col min="2" max="11" width="9.109375" style="1" bestFit="1" customWidth="1"/>
    <col min="12" max="16384" width="8.77734375" style="1"/>
  </cols>
  <sheetData>
    <row r="1" spans="1:11" ht="5.55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3">
      <c r="A2" s="31" t="s">
        <v>35</v>
      </c>
      <c r="B2" s="31"/>
      <c r="C2" s="31"/>
      <c r="D2" s="31"/>
      <c r="E2" s="31"/>
      <c r="F2" s="31"/>
      <c r="G2" s="31"/>
      <c r="H2" s="31"/>
      <c r="I2" s="31"/>
      <c r="J2" s="31"/>
      <c r="K2" s="31"/>
    </row>
    <row r="3" spans="1:11" x14ac:dyDescent="0.3">
      <c r="A3" s="1" t="str">
        <f>'table-s4a-raw'!A2</f>
        <v/>
      </c>
      <c r="B3" s="10" t="str">
        <f>'table-s4a-raw'!B2</f>
        <v>(1)</v>
      </c>
      <c r="C3" s="10" t="str">
        <f>'table-s4a-raw'!C2</f>
        <v>(2)</v>
      </c>
      <c r="D3" s="10" t="str">
        <f>'table-s4a-raw'!D2</f>
        <v>(3)</v>
      </c>
      <c r="E3" s="10" t="str">
        <f>'table-s4a-raw'!E2</f>
        <v>(4)</v>
      </c>
      <c r="F3" s="10" t="str">
        <f>'table-s4a-raw'!F2</f>
        <v>(5)</v>
      </c>
      <c r="G3" s="10" t="str">
        <f>'table-s4a-raw'!G2</f>
        <v>(6)</v>
      </c>
      <c r="H3" s="10" t="str">
        <f>'table-s4a-raw'!H2</f>
        <v>(7)</v>
      </c>
      <c r="I3" s="10" t="str">
        <f>'table-s4a-raw'!I2</f>
        <v>(8)</v>
      </c>
      <c r="J3" s="10" t="str">
        <f>'table-s4a-raw'!J2</f>
        <v>(9)</v>
      </c>
      <c r="K3" s="10" t="str">
        <f>'table-s4a-raw'!K2</f>
        <v>(10)</v>
      </c>
    </row>
    <row r="4" spans="1:11" x14ac:dyDescent="0.3">
      <c r="A4" s="1" t="str">
        <f>'table-s4a-raw'!A3</f>
        <v>Mailed Test Strip</v>
      </c>
      <c r="B4" s="10" t="str">
        <f>'table-s4a-raw'!B3</f>
        <v>0.237***</v>
      </c>
      <c r="C4" s="10" t="str">
        <f>'table-s4a-raw'!C3</f>
        <v>0.239***</v>
      </c>
      <c r="D4" s="10" t="str">
        <f>'table-s4a-raw'!D3</f>
        <v>0.236***</v>
      </c>
      <c r="E4" s="10" t="str">
        <f>'table-s4a-raw'!E3</f>
        <v>0.241***</v>
      </c>
      <c r="F4" s="10" t="str">
        <f>'table-s4a-raw'!F3</f>
        <v>0.250***</v>
      </c>
      <c r="G4" s="10" t="str">
        <f>'table-s4a-raw'!G3</f>
        <v>0.233***</v>
      </c>
      <c r="H4" s="10" t="str">
        <f>'table-s4a-raw'!H3</f>
        <v>0.218***</v>
      </c>
      <c r="I4" s="10" t="str">
        <f>'table-s4a-raw'!I3</f>
        <v>0.216***</v>
      </c>
      <c r="J4" s="10" t="str">
        <f>'table-s4a-raw'!J3</f>
        <v>0.184***</v>
      </c>
      <c r="K4" s="10" t="str">
        <f>'table-s4a-raw'!K3</f>
        <v>0.192***</v>
      </c>
    </row>
    <row r="5" spans="1:11" x14ac:dyDescent="0.3">
      <c r="A5" s="1" t="str">
        <f>'table-s4a-raw'!A4</f>
        <v/>
      </c>
      <c r="B5" s="10" t="str">
        <f>'table-s4a-raw'!B4</f>
        <v>(0.020)</v>
      </c>
      <c r="C5" s="10" t="str">
        <f>'table-s4a-raw'!C4</f>
        <v>(0.014)</v>
      </c>
      <c r="D5" s="10" t="str">
        <f>'table-s4a-raw'!D4</f>
        <v>(0.014)</v>
      </c>
      <c r="E5" s="10" t="str">
        <f>'table-s4a-raw'!E4</f>
        <v>(0.014)</v>
      </c>
      <c r="F5" s="10" t="str">
        <f>'table-s4a-raw'!F4</f>
        <v>(0.016)</v>
      </c>
      <c r="G5" s="10" t="str">
        <f>'table-s4a-raw'!G4</f>
        <v>(0.014)</v>
      </c>
      <c r="H5" s="10" t="str">
        <f>'table-s4a-raw'!H4</f>
        <v>(0.016)</v>
      </c>
      <c r="I5" s="10" t="str">
        <f>'table-s4a-raw'!I4</f>
        <v>(0.015)</v>
      </c>
      <c r="J5" s="10" t="str">
        <f>'table-s4a-raw'!J4</f>
        <v>(0.030)</v>
      </c>
      <c r="K5" s="10" t="str">
        <f>'table-s4a-raw'!K4</f>
        <v>(0.030)</v>
      </c>
    </row>
    <row r="6" spans="1:11" x14ac:dyDescent="0.3">
      <c r="A6" s="1" t="str">
        <f>'table-s4a-raw'!A5</f>
        <v>Treat x Well Age&gt;20 Years</v>
      </c>
      <c r="B6" s="10" t="str">
        <f>'table-s4a-raw'!B5</f>
        <v>0.005</v>
      </c>
      <c r="C6" s="10" t="str">
        <f>'table-s4a-raw'!C5</f>
        <v/>
      </c>
      <c r="D6" s="10" t="str">
        <f>'table-s4a-raw'!D5</f>
        <v/>
      </c>
      <c r="E6" s="10" t="str">
        <f>'table-s4a-raw'!E5</f>
        <v/>
      </c>
      <c r="F6" s="10" t="str">
        <f>'table-s4a-raw'!F5</f>
        <v/>
      </c>
      <c r="G6" s="10" t="str">
        <f>'table-s4a-raw'!G5</f>
        <v/>
      </c>
      <c r="H6" s="10" t="str">
        <f>'table-s4a-raw'!H5</f>
        <v/>
      </c>
      <c r="I6" s="10" t="str">
        <f>'table-s4a-raw'!I5</f>
        <v/>
      </c>
      <c r="J6" s="10" t="str">
        <f>'table-s4a-raw'!J5</f>
        <v>0.016</v>
      </c>
      <c r="K6" s="10" t="str">
        <f>'table-s4a-raw'!K5</f>
        <v>0.017</v>
      </c>
    </row>
    <row r="7" spans="1:11" x14ac:dyDescent="0.3">
      <c r="A7" s="1" t="str">
        <f>'table-s4a-raw'!A6</f>
        <v/>
      </c>
      <c r="B7" s="10" t="str">
        <f>'table-s4a-raw'!B6</f>
        <v>(0.021)</v>
      </c>
      <c r="C7" s="10" t="str">
        <f>'table-s4a-raw'!C6</f>
        <v/>
      </c>
      <c r="D7" s="10" t="str">
        <f>'table-s4a-raw'!D6</f>
        <v/>
      </c>
      <c r="E7" s="10" t="str">
        <f>'table-s4a-raw'!E6</f>
        <v/>
      </c>
      <c r="F7" s="10" t="str">
        <f>'table-s4a-raw'!F6</f>
        <v/>
      </c>
      <c r="G7" s="10" t="str">
        <f>'table-s4a-raw'!G6</f>
        <v/>
      </c>
      <c r="H7" s="10" t="str">
        <f>'table-s4a-raw'!H6</f>
        <v/>
      </c>
      <c r="I7" s="10" t="str">
        <f>'table-s4a-raw'!I6</f>
        <v/>
      </c>
      <c r="J7" s="10" t="str">
        <f>'table-s4a-raw'!J6</f>
        <v>(0.026)</v>
      </c>
      <c r="K7" s="10" t="str">
        <f>'table-s4a-raw'!K6</f>
        <v>(0.026)</v>
      </c>
    </row>
    <row r="8" spans="1:11" x14ac:dyDescent="0.3">
      <c r="A8" s="1" t="str">
        <f>'table-s4a-raw'!A7</f>
        <v>Treat x Unsure Well Age</v>
      </c>
      <c r="B8" s="10" t="str">
        <f>'table-s4a-raw'!B7</f>
        <v/>
      </c>
      <c r="C8" s="10" t="str">
        <f>'table-s4a-raw'!C7</f>
        <v>0.012</v>
      </c>
      <c r="D8" s="10" t="str">
        <f>'table-s4a-raw'!D7</f>
        <v/>
      </c>
      <c r="E8" s="10" t="str">
        <f>'table-s4a-raw'!E7</f>
        <v/>
      </c>
      <c r="F8" s="10" t="str">
        <f>'table-s4a-raw'!F7</f>
        <v/>
      </c>
      <c r="G8" s="10" t="str">
        <f>'table-s4a-raw'!G7</f>
        <v/>
      </c>
      <c r="H8" s="10" t="str">
        <f>'table-s4a-raw'!H7</f>
        <v/>
      </c>
      <c r="I8" s="10" t="str">
        <f>'table-s4a-raw'!I7</f>
        <v/>
      </c>
      <c r="J8" s="10" t="str">
        <f>'table-s4a-raw'!J7</f>
        <v>0.035</v>
      </c>
      <c r="K8" s="10" t="str">
        <f>'table-s4a-raw'!K7</f>
        <v>0.035</v>
      </c>
    </row>
    <row r="9" spans="1:11" x14ac:dyDescent="0.3">
      <c r="A9" s="1" t="str">
        <f>'table-s4a-raw'!A8</f>
        <v/>
      </c>
      <c r="B9" s="10" t="str">
        <f>'table-s4a-raw'!B8</f>
        <v/>
      </c>
      <c r="C9" s="10" t="str">
        <f>'table-s4a-raw'!C8</f>
        <v>(0.035)</v>
      </c>
      <c r="D9" s="10" t="str">
        <f>'table-s4a-raw'!D8</f>
        <v/>
      </c>
      <c r="E9" s="10" t="str">
        <f>'table-s4a-raw'!E8</f>
        <v/>
      </c>
      <c r="F9" s="10" t="str">
        <f>'table-s4a-raw'!F8</f>
        <v/>
      </c>
      <c r="G9" s="10" t="str">
        <f>'table-s4a-raw'!G8</f>
        <v/>
      </c>
      <c r="H9" s="10" t="str">
        <f>'table-s4a-raw'!H8</f>
        <v/>
      </c>
      <c r="I9" s="10" t="str">
        <f>'table-s4a-raw'!I8</f>
        <v/>
      </c>
      <c r="J9" s="10" t="str">
        <f>'table-s4a-raw'!J8</f>
        <v>(0.047)</v>
      </c>
      <c r="K9" s="10" t="str">
        <f>'table-s4a-raw'!K8</f>
        <v>(0.047)</v>
      </c>
    </row>
    <row r="10" spans="1:11" x14ac:dyDescent="0.3">
      <c r="A10" s="1" t="str">
        <f>'table-s4a-raw'!A9</f>
        <v>Treat x Well Depth &lt;50 Feet</v>
      </c>
      <c r="B10" s="10" t="str">
        <f>'table-s4a-raw'!B9</f>
        <v/>
      </c>
      <c r="C10" s="10" t="str">
        <f>'table-s4a-raw'!C9</f>
        <v/>
      </c>
      <c r="D10" s="10" t="str">
        <f>'table-s4a-raw'!D9</f>
        <v>0.033</v>
      </c>
      <c r="E10" s="10" t="str">
        <f>'table-s4a-raw'!E9</f>
        <v/>
      </c>
      <c r="F10" s="10" t="str">
        <f>'table-s4a-raw'!F9</f>
        <v/>
      </c>
      <c r="G10" s="10" t="str">
        <f>'table-s4a-raw'!G9</f>
        <v/>
      </c>
      <c r="H10" s="10" t="str">
        <f>'table-s4a-raw'!H9</f>
        <v/>
      </c>
      <c r="I10" s="10" t="str">
        <f>'table-s4a-raw'!I9</f>
        <v/>
      </c>
      <c r="J10" s="10" t="str">
        <f>'table-s4a-raw'!J9</f>
        <v>0.059</v>
      </c>
      <c r="K10" s="10" t="str">
        <f>'table-s4a-raw'!K9</f>
        <v>0.035</v>
      </c>
    </row>
    <row r="11" spans="1:11" x14ac:dyDescent="0.3">
      <c r="A11" s="1" t="str">
        <f>'table-s4a-raw'!A10</f>
        <v/>
      </c>
      <c r="B11" s="10" t="str">
        <f>'table-s4a-raw'!B10</f>
        <v/>
      </c>
      <c r="C11" s="10" t="str">
        <f>'table-s4a-raw'!C10</f>
        <v/>
      </c>
      <c r="D11" s="10" t="str">
        <f>'table-s4a-raw'!D10</f>
        <v>(0.033)</v>
      </c>
      <c r="E11" s="10" t="str">
        <f>'table-s4a-raw'!E10</f>
        <v/>
      </c>
      <c r="F11" s="10" t="str">
        <f>'table-s4a-raw'!F10</f>
        <v/>
      </c>
      <c r="G11" s="10" t="str">
        <f>'table-s4a-raw'!G10</f>
        <v/>
      </c>
      <c r="H11" s="10" t="str">
        <f>'table-s4a-raw'!H10</f>
        <v/>
      </c>
      <c r="I11" s="10" t="str">
        <f>'table-s4a-raw'!I10</f>
        <v/>
      </c>
      <c r="J11" s="10" t="str">
        <f>'table-s4a-raw'!J10</f>
        <v>(0.036)</v>
      </c>
      <c r="K11" s="10" t="str">
        <f>'table-s4a-raw'!K10</f>
        <v>(0.037)</v>
      </c>
    </row>
    <row r="12" spans="1:11" x14ac:dyDescent="0.3">
      <c r="A12" s="1" t="str">
        <f>'table-s4a-raw'!A11</f>
        <v>Treat x Unsure Well Depth</v>
      </c>
      <c r="B12" s="10" t="str">
        <f>'table-s4a-raw'!B11</f>
        <v/>
      </c>
      <c r="C12" s="10" t="str">
        <f>'table-s4a-raw'!C11</f>
        <v/>
      </c>
      <c r="D12" s="10" t="str">
        <f>'table-s4a-raw'!D11</f>
        <v/>
      </c>
      <c r="E12" s="10" t="str">
        <f>'table-s4a-raw'!E11</f>
        <v>-0.013</v>
      </c>
      <c r="F12" s="10" t="str">
        <f>'table-s4a-raw'!F11</f>
        <v/>
      </c>
      <c r="G12" s="10" t="str">
        <f>'table-s4a-raw'!G11</f>
        <v/>
      </c>
      <c r="H12" s="10" t="str">
        <f>'table-s4a-raw'!H11</f>
        <v/>
      </c>
      <c r="I12" s="10" t="str">
        <f>'table-s4a-raw'!I11</f>
        <v/>
      </c>
      <c r="J12" s="10" t="str">
        <f>'table-s4a-raw'!J11</f>
        <v>-0.034</v>
      </c>
      <c r="K12" s="10" t="str">
        <f>'table-s4a-raw'!K11</f>
        <v>-0.037</v>
      </c>
    </row>
    <row r="13" spans="1:11" x14ac:dyDescent="0.3">
      <c r="A13" s="1" t="str">
        <f>'table-s4a-raw'!A12</f>
        <v/>
      </c>
      <c r="B13" s="10" t="str">
        <f>'table-s4a-raw'!B12</f>
        <v/>
      </c>
      <c r="C13" s="10" t="str">
        <f>'table-s4a-raw'!C12</f>
        <v/>
      </c>
      <c r="D13" s="10" t="str">
        <f>'table-s4a-raw'!D12</f>
        <v/>
      </c>
      <c r="E13" s="10" t="str">
        <f>'table-s4a-raw'!E12</f>
        <v>(0.027)</v>
      </c>
      <c r="F13" s="10" t="str">
        <f>'table-s4a-raw'!F12</f>
        <v/>
      </c>
      <c r="G13" s="10" t="str">
        <f>'table-s4a-raw'!G12</f>
        <v/>
      </c>
      <c r="H13" s="10" t="str">
        <f>'table-s4a-raw'!H12</f>
        <v/>
      </c>
      <c r="I13" s="10" t="str">
        <f>'table-s4a-raw'!I12</f>
        <v/>
      </c>
      <c r="J13" s="10" t="str">
        <f>'table-s4a-raw'!J12</f>
        <v>(0.032)</v>
      </c>
      <c r="K13" s="10" t="str">
        <f>'table-s4a-raw'!K12</f>
        <v>(0.032)</v>
      </c>
    </row>
    <row r="14" spans="1:11" x14ac:dyDescent="0.3">
      <c r="A14" s="1" t="str">
        <f>'table-s4a-raw'!A13</f>
        <v>Treat x Retiree in Household</v>
      </c>
      <c r="B14" s="10" t="str">
        <f>'table-s4a-raw'!B13</f>
        <v/>
      </c>
      <c r="C14" s="10" t="str">
        <f>'table-s4a-raw'!C13</f>
        <v/>
      </c>
      <c r="D14" s="10" t="str">
        <f>'table-s4a-raw'!D13</f>
        <v/>
      </c>
      <c r="E14" s="10" t="str">
        <f>'table-s4a-raw'!E13</f>
        <v/>
      </c>
      <c r="F14" s="10" t="str">
        <f>'table-s4a-raw'!F13</f>
        <v>-0.021</v>
      </c>
      <c r="G14" s="10" t="str">
        <f>'table-s4a-raw'!G13</f>
        <v/>
      </c>
      <c r="H14" s="10" t="str">
        <f>'table-s4a-raw'!H13</f>
        <v/>
      </c>
      <c r="I14" s="10" t="str">
        <f>'table-s4a-raw'!I13</f>
        <v/>
      </c>
      <c r="J14" s="10" t="str">
        <f>'table-s4a-raw'!J13</f>
        <v>-0.005</v>
      </c>
      <c r="K14" s="10" t="str">
        <f>'table-s4a-raw'!K13</f>
        <v>-0.011</v>
      </c>
    </row>
    <row r="15" spans="1:11" x14ac:dyDescent="0.3">
      <c r="A15" s="1" t="str">
        <f>'table-s4a-raw'!A14</f>
        <v/>
      </c>
      <c r="B15" s="10" t="str">
        <f>'table-s4a-raw'!B14</f>
        <v/>
      </c>
      <c r="C15" s="10" t="str">
        <f>'table-s4a-raw'!C14</f>
        <v/>
      </c>
      <c r="D15" s="10" t="str">
        <f>'table-s4a-raw'!D14</f>
        <v/>
      </c>
      <c r="E15" s="10" t="str">
        <f>'table-s4a-raw'!E14</f>
        <v/>
      </c>
      <c r="F15" s="10" t="str">
        <f>'table-s4a-raw'!F14</f>
        <v>(0.019)</v>
      </c>
      <c r="G15" s="10" t="str">
        <f>'table-s4a-raw'!G14</f>
        <v/>
      </c>
      <c r="H15" s="10" t="str">
        <f>'table-s4a-raw'!H14</f>
        <v/>
      </c>
      <c r="I15" s="10" t="str">
        <f>'table-s4a-raw'!I14</f>
        <v/>
      </c>
      <c r="J15" s="10" t="str">
        <f>'table-s4a-raw'!J14</f>
        <v>(0.023)</v>
      </c>
      <c r="K15" s="10" t="str">
        <f>'table-s4a-raw'!K14</f>
        <v>(0.023)</v>
      </c>
    </row>
    <row r="16" spans="1:11" x14ac:dyDescent="0.3">
      <c r="A16" s="1" t="str">
        <f>'table-s4a-raw'!A15</f>
        <v>Treat x Children in Household</v>
      </c>
      <c r="B16" s="10" t="str">
        <f>'table-s4a-raw'!B15</f>
        <v/>
      </c>
      <c r="C16" s="10" t="str">
        <f>'table-s4a-raw'!C15</f>
        <v/>
      </c>
      <c r="D16" s="10" t="str">
        <f>'table-s4a-raw'!D15</f>
        <v/>
      </c>
      <c r="E16" s="10" t="str">
        <f>'table-s4a-raw'!E15</f>
        <v/>
      </c>
      <c r="F16" s="10" t="str">
        <f>'table-s4a-raw'!F15</f>
        <v/>
      </c>
      <c r="G16" s="10" t="str">
        <f>'table-s4a-raw'!G15</f>
        <v>0.037</v>
      </c>
      <c r="H16" s="10" t="str">
        <f>'table-s4a-raw'!H15</f>
        <v/>
      </c>
      <c r="I16" s="10" t="str">
        <f>'table-s4a-raw'!I15</f>
        <v/>
      </c>
      <c r="J16" s="10" t="str">
        <f>'table-s4a-raw'!J15</f>
        <v>0.029</v>
      </c>
      <c r="K16" s="10" t="str">
        <f>'table-s4a-raw'!K15</f>
        <v>0.030</v>
      </c>
    </row>
    <row r="17" spans="1:11" x14ac:dyDescent="0.3">
      <c r="A17" s="1" t="str">
        <f>'table-s4a-raw'!A16</f>
        <v/>
      </c>
      <c r="B17" s="10" t="str">
        <f>'table-s4a-raw'!B16</f>
        <v/>
      </c>
      <c r="C17" s="10" t="str">
        <f>'table-s4a-raw'!C16</f>
        <v/>
      </c>
      <c r="D17" s="10" t="str">
        <f>'table-s4a-raw'!D16</f>
        <v/>
      </c>
      <c r="E17" s="10" t="str">
        <f>'table-s4a-raw'!E16</f>
        <v/>
      </c>
      <c r="F17" s="10" t="str">
        <f>'table-s4a-raw'!F16</f>
        <v/>
      </c>
      <c r="G17" s="10" t="str">
        <f>'table-s4a-raw'!G16</f>
        <v>(0.026)</v>
      </c>
      <c r="H17" s="10" t="str">
        <f>'table-s4a-raw'!H16</f>
        <v/>
      </c>
      <c r="I17" s="10" t="str">
        <f>'table-s4a-raw'!I16</f>
        <v/>
      </c>
      <c r="J17" s="10" t="str">
        <f>'table-s4a-raw'!J16</f>
        <v>(0.030)</v>
      </c>
      <c r="K17" s="10" t="str">
        <f>'table-s4a-raw'!K16</f>
        <v>(0.030)</v>
      </c>
    </row>
    <row r="18" spans="1:11" x14ac:dyDescent="0.3">
      <c r="A18" s="1" t="str">
        <f>'table-s4a-raw'!A17</f>
        <v>Treat x Bachelor's or Higher</v>
      </c>
      <c r="B18" s="10" t="str">
        <f>'table-s4a-raw'!B17</f>
        <v/>
      </c>
      <c r="C18" s="10" t="str">
        <f>'table-s4a-raw'!C17</f>
        <v/>
      </c>
      <c r="D18" s="10" t="str">
        <f>'table-s4a-raw'!D17</f>
        <v/>
      </c>
      <c r="E18" s="10" t="str">
        <f>'table-s4a-raw'!E17</f>
        <v/>
      </c>
      <c r="F18" s="10" t="str">
        <f>'table-s4a-raw'!F17</f>
        <v/>
      </c>
      <c r="G18" s="10" t="str">
        <f>'table-s4a-raw'!G17</f>
        <v/>
      </c>
      <c r="H18" s="10" t="str">
        <f>'table-s4a-raw'!H17</f>
        <v>0.047**</v>
      </c>
      <c r="I18" s="10" t="str">
        <f>'table-s4a-raw'!I17</f>
        <v/>
      </c>
      <c r="J18" s="10" t="str">
        <f>'table-s4a-raw'!J17</f>
        <v>0.046**</v>
      </c>
      <c r="K18" s="10" t="str">
        <f>'table-s4a-raw'!K17</f>
        <v>0.040*</v>
      </c>
    </row>
    <row r="19" spans="1:11" x14ac:dyDescent="0.3">
      <c r="A19" s="1" t="str">
        <f>'table-s4a-raw'!A18</f>
        <v/>
      </c>
      <c r="B19" s="10" t="str">
        <f>'table-s4a-raw'!B18</f>
        <v/>
      </c>
      <c r="C19" s="10" t="str">
        <f>'table-s4a-raw'!C18</f>
        <v/>
      </c>
      <c r="D19" s="10" t="str">
        <f>'table-s4a-raw'!D18</f>
        <v/>
      </c>
      <c r="E19" s="10" t="str">
        <f>'table-s4a-raw'!E18</f>
        <v/>
      </c>
      <c r="F19" s="10" t="str">
        <f>'table-s4a-raw'!F18</f>
        <v/>
      </c>
      <c r="G19" s="10" t="str">
        <f>'table-s4a-raw'!G18</f>
        <v/>
      </c>
      <c r="H19" s="10" t="str">
        <f>'table-s4a-raw'!H18</f>
        <v>(0.020)</v>
      </c>
      <c r="I19" s="10" t="str">
        <f>'table-s4a-raw'!I18</f>
        <v/>
      </c>
      <c r="J19" s="10" t="str">
        <f>'table-s4a-raw'!J18</f>
        <v>(0.023)</v>
      </c>
      <c r="K19" s="10" t="str">
        <f>'table-s4a-raw'!K18</f>
        <v>(0.023)</v>
      </c>
    </row>
    <row r="20" spans="1:11" x14ac:dyDescent="0.3">
      <c r="A20" s="1" t="str">
        <f>'table-s4a-raw'!A19</f>
        <v>Treat x Income &gt;$200K</v>
      </c>
      <c r="B20" s="10" t="str">
        <f>'table-s4a-raw'!B19</f>
        <v/>
      </c>
      <c r="C20" s="10" t="str">
        <f>'table-s4a-raw'!C19</f>
        <v/>
      </c>
      <c r="D20" s="10" t="str">
        <f>'table-s4a-raw'!D19</f>
        <v/>
      </c>
      <c r="E20" s="10" t="str">
        <f>'table-s4a-raw'!E19</f>
        <v/>
      </c>
      <c r="F20" s="10" t="str">
        <f>'table-s4a-raw'!F19</f>
        <v/>
      </c>
      <c r="G20" s="10" t="str">
        <f>'table-s4a-raw'!G19</f>
        <v/>
      </c>
      <c r="H20" s="10" t="str">
        <f>'table-s4a-raw'!H19</f>
        <v/>
      </c>
      <c r="I20" s="10" t="str">
        <f>'table-s4a-raw'!I19</f>
        <v>0.043*</v>
      </c>
      <c r="J20" s="10" t="str">
        <f>'table-s4a-raw'!J19</f>
        <v>0.027</v>
      </c>
      <c r="K20" s="10" t="str">
        <f>'table-s4a-raw'!K19</f>
        <v>0.024</v>
      </c>
    </row>
    <row r="21" spans="1:11" x14ac:dyDescent="0.3">
      <c r="A21" s="1" t="str">
        <f>'table-s4a-raw'!A20</f>
        <v/>
      </c>
      <c r="B21" s="10" t="str">
        <f>'table-s4a-raw'!B20</f>
        <v/>
      </c>
      <c r="C21" s="10" t="str">
        <f>'table-s4a-raw'!C20</f>
        <v/>
      </c>
      <c r="D21" s="10" t="str">
        <f>'table-s4a-raw'!D20</f>
        <v/>
      </c>
      <c r="E21" s="10" t="str">
        <f>'table-s4a-raw'!E20</f>
        <v/>
      </c>
      <c r="F21" s="10" t="str">
        <f>'table-s4a-raw'!F20</f>
        <v/>
      </c>
      <c r="G21" s="10" t="str">
        <f>'table-s4a-raw'!G20</f>
        <v/>
      </c>
      <c r="H21" s="10" t="str">
        <f>'table-s4a-raw'!H20</f>
        <v/>
      </c>
      <c r="I21" s="10" t="str">
        <f>'table-s4a-raw'!I20</f>
        <v>(0.024)</v>
      </c>
      <c r="J21" s="10" t="str">
        <f>'table-s4a-raw'!J20</f>
        <v>(0.026)</v>
      </c>
      <c r="K21" s="10" t="str">
        <f>'table-s4a-raw'!K20</f>
        <v>(0.026)</v>
      </c>
    </row>
    <row r="22" spans="1:11" x14ac:dyDescent="0.3">
      <c r="A22" s="1" t="str">
        <f>'table-s4a-raw'!A21</f>
        <v>Constant</v>
      </c>
      <c r="B22" s="10" t="str">
        <f>'table-s4a-raw'!B21</f>
        <v>0.194***</v>
      </c>
      <c r="C22" s="10" t="str">
        <f>'table-s4a-raw'!C21</f>
        <v>0.194***</v>
      </c>
      <c r="D22" s="10" t="str">
        <f>'table-s4a-raw'!D21</f>
        <v>0.194***</v>
      </c>
      <c r="E22" s="10" t="str">
        <f>'table-s4a-raw'!E21</f>
        <v>0.194***</v>
      </c>
      <c r="F22" s="10" t="str">
        <f>'table-s4a-raw'!F21</f>
        <v>0.194***</v>
      </c>
      <c r="G22" s="10" t="str">
        <f>'table-s4a-raw'!G21</f>
        <v>0.194***</v>
      </c>
      <c r="H22" s="10" t="str">
        <f>'table-s4a-raw'!H21</f>
        <v>0.193***</v>
      </c>
      <c r="I22" s="10" t="str">
        <f>'table-s4a-raw'!I21</f>
        <v>0.197***</v>
      </c>
      <c r="J22" s="10" t="str">
        <f>'table-s4a-raw'!J21</f>
        <v>0.195***</v>
      </c>
      <c r="K22" s="10" t="str">
        <f>'table-s4a-raw'!K21</f>
        <v>0.195***</v>
      </c>
    </row>
    <row r="23" spans="1:11" x14ac:dyDescent="0.3">
      <c r="A23" s="2" t="str">
        <f>'table-s4a-raw'!A22</f>
        <v/>
      </c>
      <c r="B23" s="11" t="str">
        <f>'table-s4a-raw'!B22</f>
        <v>(0.009)</v>
      </c>
      <c r="C23" s="11" t="str">
        <f>'table-s4a-raw'!C22</f>
        <v>(0.009)</v>
      </c>
      <c r="D23" s="11" t="str">
        <f>'table-s4a-raw'!D22</f>
        <v>(0.009)</v>
      </c>
      <c r="E23" s="11" t="str">
        <f>'table-s4a-raw'!E22</f>
        <v>(0.009)</v>
      </c>
      <c r="F23" s="11" t="str">
        <f>'table-s4a-raw'!F22</f>
        <v>(0.009)</v>
      </c>
      <c r="G23" s="11" t="str">
        <f>'table-s4a-raw'!G22</f>
        <v>(0.009)</v>
      </c>
      <c r="H23" s="11" t="str">
        <f>'table-s4a-raw'!H22</f>
        <v>(0.009)</v>
      </c>
      <c r="I23" s="11" t="str">
        <f>'table-s4a-raw'!I22</f>
        <v>(0.010)</v>
      </c>
      <c r="J23" s="11" t="str">
        <f>'table-s4a-raw'!J22</f>
        <v>(0.010)</v>
      </c>
      <c r="K23" s="11" t="str">
        <f>'table-s4a-raw'!K22</f>
        <v>(0.010)</v>
      </c>
    </row>
    <row r="24" spans="1:11" ht="6" customHeight="1" x14ac:dyDescent="0.3"/>
    <row r="25" spans="1:11" x14ac:dyDescent="0.3">
      <c r="A25" s="31" t="s">
        <v>36</v>
      </c>
      <c r="B25" s="31"/>
      <c r="C25" s="31"/>
      <c r="D25" s="31"/>
      <c r="E25" s="31"/>
      <c r="F25" s="31"/>
      <c r="G25" s="31"/>
      <c r="H25" s="31"/>
      <c r="I25" s="31"/>
      <c r="J25" s="31"/>
      <c r="K25" s="31"/>
    </row>
    <row r="26" spans="1:11" x14ac:dyDescent="0.3">
      <c r="A26" s="1" t="str">
        <f>'table-s4b-raw'!A2</f>
        <v/>
      </c>
      <c r="B26" s="10" t="str">
        <f>'table-s4b-raw'!B2</f>
        <v>(1)</v>
      </c>
      <c r="C26" s="10" t="str">
        <f>'table-s4b-raw'!C2</f>
        <v>(2)</v>
      </c>
      <c r="D26" s="10" t="str">
        <f>'table-s4b-raw'!D2</f>
        <v>(3)</v>
      </c>
      <c r="E26" s="10" t="str">
        <f>'table-s4b-raw'!E2</f>
        <v>(4)</v>
      </c>
      <c r="F26" s="10" t="str">
        <f>'table-s4b-raw'!F2</f>
        <v>(5)</v>
      </c>
      <c r="G26" s="10" t="str">
        <f>'table-s4b-raw'!G2</f>
        <v>(6)</v>
      </c>
      <c r="H26" s="10" t="str">
        <f>'table-s4b-raw'!H2</f>
        <v>(7)</v>
      </c>
      <c r="I26" s="10" t="str">
        <f>'table-s4b-raw'!I2</f>
        <v>(8)</v>
      </c>
      <c r="J26" s="10" t="str">
        <f>'table-s4b-raw'!J2</f>
        <v>(9)</v>
      </c>
      <c r="K26" s="10" t="str">
        <f>'table-s4b-raw'!K2</f>
        <v>(10)</v>
      </c>
    </row>
    <row r="27" spans="1:11" x14ac:dyDescent="0.3">
      <c r="A27" s="1" t="str">
        <f>'table-s4b-raw'!A3</f>
        <v>Mailed Test Strip</v>
      </c>
      <c r="B27" s="10" t="str">
        <f>'table-s4b-raw'!B3</f>
        <v>0.034**</v>
      </c>
      <c r="C27" s="10" t="str">
        <f>'table-s4b-raw'!C3</f>
        <v>0.031***</v>
      </c>
      <c r="D27" s="10" t="str">
        <f>'table-s4b-raw'!D3</f>
        <v>0.030***</v>
      </c>
      <c r="E27" s="10" t="str">
        <f>'table-s4b-raw'!E3</f>
        <v>0.036***</v>
      </c>
      <c r="F27" s="10" t="str">
        <f>'table-s4b-raw'!F3</f>
        <v>0.038***</v>
      </c>
      <c r="G27" s="10" t="str">
        <f>'table-s4b-raw'!G3</f>
        <v>0.023**</v>
      </c>
      <c r="H27" s="10" t="str">
        <f>'table-s4b-raw'!H3</f>
        <v>0.020*</v>
      </c>
      <c r="I27" s="10" t="str">
        <f>'table-s4b-raw'!I3</f>
        <v>0.033***</v>
      </c>
      <c r="J27" s="10" t="str">
        <f>'table-s4b-raw'!J3</f>
        <v>0.018</v>
      </c>
      <c r="K27" s="10" t="str">
        <f>'table-s4b-raw'!K3</f>
        <v>0.025</v>
      </c>
    </row>
    <row r="28" spans="1:11" x14ac:dyDescent="0.3">
      <c r="A28" s="1" t="str">
        <f>'table-s4b-raw'!A4</f>
        <v/>
      </c>
      <c r="B28" s="10" t="str">
        <f>'table-s4b-raw'!B4</f>
        <v>(0.014)</v>
      </c>
      <c r="C28" s="10" t="str">
        <f>'table-s4b-raw'!C4</f>
        <v>(0.010)</v>
      </c>
      <c r="D28" s="10" t="str">
        <f>'table-s4b-raw'!D4</f>
        <v>(0.010)</v>
      </c>
      <c r="E28" s="10" t="str">
        <f>'table-s4b-raw'!E4</f>
        <v>(0.010)</v>
      </c>
      <c r="F28" s="10" t="str">
        <f>'table-s4b-raw'!F4</f>
        <v>(0.012)</v>
      </c>
      <c r="G28" s="10" t="str">
        <f>'table-s4b-raw'!G4</f>
        <v>(0.010)</v>
      </c>
      <c r="H28" s="10" t="str">
        <f>'table-s4b-raw'!H4</f>
        <v>(0.012)</v>
      </c>
      <c r="I28" s="10" t="str">
        <f>'table-s4b-raw'!I4</f>
        <v>(0.011)</v>
      </c>
      <c r="J28" s="10" t="str">
        <f>'table-s4b-raw'!J4</f>
        <v>(0.022)</v>
      </c>
      <c r="K28" s="10" t="str">
        <f>'table-s4b-raw'!K4</f>
        <v>(0.022)</v>
      </c>
    </row>
    <row r="29" spans="1:11" x14ac:dyDescent="0.3">
      <c r="A29" s="1" t="str">
        <f>'table-s4b-raw'!A5</f>
        <v>Treat x Well Age&gt;20 Years</v>
      </c>
      <c r="B29" s="10" t="str">
        <f>'table-s4b-raw'!B5</f>
        <v>-0.004</v>
      </c>
      <c r="C29" s="10" t="str">
        <f>'table-s4b-raw'!C5</f>
        <v/>
      </c>
      <c r="D29" s="10" t="str">
        <f>'table-s4b-raw'!D5</f>
        <v/>
      </c>
      <c r="E29" s="10" t="str">
        <f>'table-s4b-raw'!E5</f>
        <v/>
      </c>
      <c r="F29" s="10" t="str">
        <f>'table-s4b-raw'!F5</f>
        <v/>
      </c>
      <c r="G29" s="10" t="str">
        <f>'table-s4b-raw'!G5</f>
        <v/>
      </c>
      <c r="H29" s="10" t="str">
        <f>'table-s4b-raw'!H5</f>
        <v/>
      </c>
      <c r="I29" s="10" t="str">
        <f>'table-s4b-raw'!I5</f>
        <v/>
      </c>
      <c r="J29" s="10" t="str">
        <f>'table-s4b-raw'!J5</f>
        <v>-0.001</v>
      </c>
      <c r="K29" s="10" t="str">
        <f>'table-s4b-raw'!K5</f>
        <v>-0.003</v>
      </c>
    </row>
    <row r="30" spans="1:11" x14ac:dyDescent="0.3">
      <c r="A30" s="1" t="str">
        <f>'table-s4b-raw'!A6</f>
        <v/>
      </c>
      <c r="B30" s="10" t="str">
        <f>'table-s4b-raw'!B6</f>
        <v>(0.015)</v>
      </c>
      <c r="C30" s="10" t="str">
        <f>'table-s4b-raw'!C6</f>
        <v/>
      </c>
      <c r="D30" s="10" t="str">
        <f>'table-s4b-raw'!D6</f>
        <v/>
      </c>
      <c r="E30" s="10" t="str">
        <f>'table-s4b-raw'!E6</f>
        <v/>
      </c>
      <c r="F30" s="10" t="str">
        <f>'table-s4b-raw'!F6</f>
        <v/>
      </c>
      <c r="G30" s="10" t="str">
        <f>'table-s4b-raw'!G6</f>
        <v/>
      </c>
      <c r="H30" s="10" t="str">
        <f>'table-s4b-raw'!H6</f>
        <v/>
      </c>
      <c r="I30" s="10" t="str">
        <f>'table-s4b-raw'!I6</f>
        <v/>
      </c>
      <c r="J30" s="10" t="str">
        <f>'table-s4b-raw'!J6</f>
        <v>(0.019)</v>
      </c>
      <c r="K30" s="10" t="str">
        <f>'table-s4b-raw'!K6</f>
        <v>(0.019)</v>
      </c>
    </row>
    <row r="31" spans="1:11" x14ac:dyDescent="0.3">
      <c r="A31" s="1" t="str">
        <f>'table-s4b-raw'!A7</f>
        <v>Treat x Unsure Well Age</v>
      </c>
      <c r="B31" s="10" t="str">
        <f>'table-s4b-raw'!B7</f>
        <v/>
      </c>
      <c r="C31" s="10" t="str">
        <f>'table-s4b-raw'!C7</f>
        <v>0.002</v>
      </c>
      <c r="D31" s="10" t="str">
        <f>'table-s4b-raw'!D7</f>
        <v/>
      </c>
      <c r="E31" s="10" t="str">
        <f>'table-s4b-raw'!E7</f>
        <v/>
      </c>
      <c r="F31" s="10" t="str">
        <f>'table-s4b-raw'!F7</f>
        <v/>
      </c>
      <c r="G31" s="10" t="str">
        <f>'table-s4b-raw'!G7</f>
        <v/>
      </c>
      <c r="H31" s="10" t="str">
        <f>'table-s4b-raw'!H7</f>
        <v/>
      </c>
      <c r="I31" s="10" t="str">
        <f>'table-s4b-raw'!I7</f>
        <v/>
      </c>
      <c r="J31" s="10" t="str">
        <f>'table-s4b-raw'!J7</f>
        <v>0.010</v>
      </c>
      <c r="K31" s="10" t="str">
        <f>'table-s4b-raw'!K7</f>
        <v>0.008</v>
      </c>
    </row>
    <row r="32" spans="1:11" x14ac:dyDescent="0.3">
      <c r="A32" s="1" t="str">
        <f>'table-s4b-raw'!A8</f>
        <v/>
      </c>
      <c r="B32" s="10" t="str">
        <f>'table-s4b-raw'!B8</f>
        <v/>
      </c>
      <c r="C32" s="10" t="str">
        <f>'table-s4b-raw'!C8</f>
        <v>(0.025)</v>
      </c>
      <c r="D32" s="10" t="str">
        <f>'table-s4b-raw'!D8</f>
        <v/>
      </c>
      <c r="E32" s="10" t="str">
        <f>'table-s4b-raw'!E8</f>
        <v/>
      </c>
      <c r="F32" s="10" t="str">
        <f>'table-s4b-raw'!F8</f>
        <v/>
      </c>
      <c r="G32" s="10" t="str">
        <f>'table-s4b-raw'!G8</f>
        <v/>
      </c>
      <c r="H32" s="10" t="str">
        <f>'table-s4b-raw'!H8</f>
        <v/>
      </c>
      <c r="I32" s="10" t="str">
        <f>'table-s4b-raw'!I8</f>
        <v/>
      </c>
      <c r="J32" s="10" t="str">
        <f>'table-s4b-raw'!J8</f>
        <v>(0.034)</v>
      </c>
      <c r="K32" s="10" t="str">
        <f>'table-s4b-raw'!K8</f>
        <v>(0.034)</v>
      </c>
    </row>
    <row r="33" spans="1:11" x14ac:dyDescent="0.3">
      <c r="A33" s="1" t="str">
        <f>'table-s4b-raw'!A9</f>
        <v>Treat x Well Depth &lt;50 Feet</v>
      </c>
      <c r="B33" s="10" t="str">
        <f>'table-s4b-raw'!B9</f>
        <v/>
      </c>
      <c r="C33" s="10" t="str">
        <f>'table-s4b-raw'!C9</f>
        <v/>
      </c>
      <c r="D33" s="10" t="str">
        <f>'table-s4b-raw'!D9</f>
        <v>0.027</v>
      </c>
      <c r="E33" s="10" t="str">
        <f>'table-s4b-raw'!E9</f>
        <v/>
      </c>
      <c r="F33" s="10" t="str">
        <f>'table-s4b-raw'!F9</f>
        <v/>
      </c>
      <c r="G33" s="10" t="str">
        <f>'table-s4b-raw'!G9</f>
        <v/>
      </c>
      <c r="H33" s="10" t="str">
        <f>'table-s4b-raw'!H9</f>
        <v/>
      </c>
      <c r="I33" s="10" t="str">
        <f>'table-s4b-raw'!I9</f>
        <v/>
      </c>
      <c r="J33" s="10" t="str">
        <f>'table-s4b-raw'!J9</f>
        <v>0.033</v>
      </c>
      <c r="K33" s="10" t="str">
        <f>'table-s4b-raw'!K9</f>
        <v>0.017</v>
      </c>
    </row>
    <row r="34" spans="1:11" x14ac:dyDescent="0.3">
      <c r="A34" s="1" t="str">
        <f>'table-s4b-raw'!A10</f>
        <v/>
      </c>
      <c r="B34" s="10" t="str">
        <f>'table-s4b-raw'!B10</f>
        <v/>
      </c>
      <c r="C34" s="10" t="str">
        <f>'table-s4b-raw'!C10</f>
        <v/>
      </c>
      <c r="D34" s="10" t="str">
        <f>'table-s4b-raw'!D10</f>
        <v>(0.023)</v>
      </c>
      <c r="E34" s="10" t="str">
        <f>'table-s4b-raw'!E10</f>
        <v/>
      </c>
      <c r="F34" s="10" t="str">
        <f>'table-s4b-raw'!F10</f>
        <v/>
      </c>
      <c r="G34" s="10" t="str">
        <f>'table-s4b-raw'!G10</f>
        <v/>
      </c>
      <c r="H34" s="10" t="str">
        <f>'table-s4b-raw'!H10</f>
        <v/>
      </c>
      <c r="I34" s="10" t="str">
        <f>'table-s4b-raw'!I10</f>
        <v/>
      </c>
      <c r="J34" s="10" t="str">
        <f>'table-s4b-raw'!J10</f>
        <v>(0.026)</v>
      </c>
      <c r="K34" s="10" t="str">
        <f>'table-s4b-raw'!K10</f>
        <v>(0.027)</v>
      </c>
    </row>
    <row r="35" spans="1:11" x14ac:dyDescent="0.3">
      <c r="A35" s="1" t="str">
        <f>'table-s4b-raw'!A11</f>
        <v>Treat x Unsure Well Depth</v>
      </c>
      <c r="B35" s="10" t="str">
        <f>'table-s4b-raw'!B11</f>
        <v/>
      </c>
      <c r="C35" s="10" t="str">
        <f>'table-s4b-raw'!C11</f>
        <v/>
      </c>
      <c r="D35" s="10" t="str">
        <f>'table-s4b-raw'!D11</f>
        <v/>
      </c>
      <c r="E35" s="10" t="str">
        <f>'table-s4b-raw'!E11</f>
        <v>-0.024</v>
      </c>
      <c r="F35" s="10" t="str">
        <f>'table-s4b-raw'!F11</f>
        <v/>
      </c>
      <c r="G35" s="10" t="str">
        <f>'table-s4b-raw'!G11</f>
        <v/>
      </c>
      <c r="H35" s="10" t="str">
        <f>'table-s4b-raw'!H11</f>
        <v/>
      </c>
      <c r="I35" s="10" t="str">
        <f>'table-s4b-raw'!I11</f>
        <v/>
      </c>
      <c r="J35" s="10" t="str">
        <f>'table-s4b-raw'!J11</f>
        <v>-0.040*</v>
      </c>
      <c r="K35" s="10" t="str">
        <f>'table-s4b-raw'!K11</f>
        <v>-0.042*</v>
      </c>
    </row>
    <row r="36" spans="1:11" x14ac:dyDescent="0.3">
      <c r="A36" s="1" t="str">
        <f>'table-s4b-raw'!A12</f>
        <v/>
      </c>
      <c r="B36" s="10" t="str">
        <f>'table-s4b-raw'!B12</f>
        <v/>
      </c>
      <c r="C36" s="10" t="str">
        <f>'table-s4b-raw'!C12</f>
        <v/>
      </c>
      <c r="D36" s="10" t="str">
        <f>'table-s4b-raw'!D12</f>
        <v/>
      </c>
      <c r="E36" s="10" t="str">
        <f>'table-s4b-raw'!E12</f>
        <v>(0.019)</v>
      </c>
      <c r="F36" s="10" t="str">
        <f>'table-s4b-raw'!F12</f>
        <v/>
      </c>
      <c r="G36" s="10" t="str">
        <f>'table-s4b-raw'!G12</f>
        <v/>
      </c>
      <c r="H36" s="10" t="str">
        <f>'table-s4b-raw'!H12</f>
        <v/>
      </c>
      <c r="I36" s="10" t="str">
        <f>'table-s4b-raw'!I12</f>
        <v/>
      </c>
      <c r="J36" s="10" t="str">
        <f>'table-s4b-raw'!J12</f>
        <v>(0.023)</v>
      </c>
      <c r="K36" s="10" t="str">
        <f>'table-s4b-raw'!K12</f>
        <v>(0.023)</v>
      </c>
    </row>
    <row r="37" spans="1:11" x14ac:dyDescent="0.3">
      <c r="A37" s="1" t="str">
        <f>'table-s4b-raw'!A13</f>
        <v>Treat x Retiree in Household</v>
      </c>
      <c r="B37" s="10" t="str">
        <f>'table-s4b-raw'!B13</f>
        <v/>
      </c>
      <c r="C37" s="10" t="str">
        <f>'table-s4b-raw'!C13</f>
        <v/>
      </c>
      <c r="D37" s="10" t="str">
        <f>'table-s4b-raw'!D13</f>
        <v/>
      </c>
      <c r="E37" s="10" t="str">
        <f>'table-s4b-raw'!E13</f>
        <v/>
      </c>
      <c r="F37" s="10" t="str">
        <f>'table-s4b-raw'!F13</f>
        <v>-0.014</v>
      </c>
      <c r="G37" s="10" t="str">
        <f>'table-s4b-raw'!G13</f>
        <v/>
      </c>
      <c r="H37" s="10" t="str">
        <f>'table-s4b-raw'!H13</f>
        <v/>
      </c>
      <c r="I37" s="10" t="str">
        <f>'table-s4b-raw'!I13</f>
        <v/>
      </c>
      <c r="J37" s="10" t="str">
        <f>'table-s4b-raw'!J13</f>
        <v>-0.001</v>
      </c>
      <c r="K37" s="10" t="str">
        <f>'table-s4b-raw'!K13</f>
        <v>-0.004</v>
      </c>
    </row>
    <row r="38" spans="1:11" x14ac:dyDescent="0.3">
      <c r="A38" s="1" t="str">
        <f>'table-s4b-raw'!A14</f>
        <v/>
      </c>
      <c r="B38" s="10" t="str">
        <f>'table-s4b-raw'!B14</f>
        <v/>
      </c>
      <c r="C38" s="10" t="str">
        <f>'table-s4b-raw'!C14</f>
        <v/>
      </c>
      <c r="D38" s="10" t="str">
        <f>'table-s4b-raw'!D14</f>
        <v/>
      </c>
      <c r="E38" s="10" t="str">
        <f>'table-s4b-raw'!E14</f>
        <v/>
      </c>
      <c r="F38" s="10" t="str">
        <f>'table-s4b-raw'!F14</f>
        <v>(0.014)</v>
      </c>
      <c r="G38" s="10" t="str">
        <f>'table-s4b-raw'!G14</f>
        <v/>
      </c>
      <c r="H38" s="10" t="str">
        <f>'table-s4b-raw'!H14</f>
        <v/>
      </c>
      <c r="I38" s="10" t="str">
        <f>'table-s4b-raw'!I14</f>
        <v/>
      </c>
      <c r="J38" s="10" t="str">
        <f>'table-s4b-raw'!J14</f>
        <v>(0.017)</v>
      </c>
      <c r="K38" s="10" t="str">
        <f>'table-s4b-raw'!K14</f>
        <v>(0.017)</v>
      </c>
    </row>
    <row r="39" spans="1:11" x14ac:dyDescent="0.3">
      <c r="A39" s="1" t="str">
        <f>'table-s4b-raw'!A15</f>
        <v>Treat x Children in Household</v>
      </c>
      <c r="B39" s="10" t="str">
        <f>'table-s4b-raw'!B15</f>
        <v/>
      </c>
      <c r="C39" s="10" t="str">
        <f>'table-s4b-raw'!C15</f>
        <v/>
      </c>
      <c r="D39" s="10" t="str">
        <f>'table-s4b-raw'!D15</f>
        <v/>
      </c>
      <c r="E39" s="10" t="str">
        <f>'table-s4b-raw'!E15</f>
        <v/>
      </c>
      <c r="F39" s="10" t="str">
        <f>'table-s4b-raw'!F15</f>
        <v/>
      </c>
      <c r="G39" s="10" t="str">
        <f>'table-s4b-raw'!G15</f>
        <v>0.036*</v>
      </c>
      <c r="H39" s="10" t="str">
        <f>'table-s4b-raw'!H15</f>
        <v/>
      </c>
      <c r="I39" s="10" t="str">
        <f>'table-s4b-raw'!I15</f>
        <v/>
      </c>
      <c r="J39" s="10" t="str">
        <f>'table-s4b-raw'!J15</f>
        <v>0.034</v>
      </c>
      <c r="K39" s="10" t="str">
        <f>'table-s4b-raw'!K15</f>
        <v>0.036*</v>
      </c>
    </row>
    <row r="40" spans="1:11" x14ac:dyDescent="0.3">
      <c r="A40" s="1" t="str">
        <f>'table-s4b-raw'!A16</f>
        <v/>
      </c>
      <c r="B40" s="10" t="str">
        <f>'table-s4b-raw'!B16</f>
        <v/>
      </c>
      <c r="C40" s="10" t="str">
        <f>'table-s4b-raw'!C16</f>
        <v/>
      </c>
      <c r="D40" s="10" t="str">
        <f>'table-s4b-raw'!D16</f>
        <v/>
      </c>
      <c r="E40" s="10" t="str">
        <f>'table-s4b-raw'!E16</f>
        <v/>
      </c>
      <c r="F40" s="10" t="str">
        <f>'table-s4b-raw'!F16</f>
        <v/>
      </c>
      <c r="G40" s="10" t="str">
        <f>'table-s4b-raw'!G16</f>
        <v>(0.018)</v>
      </c>
      <c r="H40" s="10" t="str">
        <f>'table-s4b-raw'!H16</f>
        <v/>
      </c>
      <c r="I40" s="10" t="str">
        <f>'table-s4b-raw'!I16</f>
        <v/>
      </c>
      <c r="J40" s="10" t="str">
        <f>'table-s4b-raw'!J16</f>
        <v>(0.021)</v>
      </c>
      <c r="K40" s="10" t="str">
        <f>'table-s4b-raw'!K16</f>
        <v>(0.021)</v>
      </c>
    </row>
    <row r="41" spans="1:11" x14ac:dyDescent="0.3">
      <c r="A41" s="1" t="str">
        <f>'table-s4b-raw'!A17</f>
        <v>Treat x Bachelor's or Higher</v>
      </c>
      <c r="B41" s="10" t="str">
        <f>'table-s4b-raw'!B17</f>
        <v/>
      </c>
      <c r="C41" s="10" t="str">
        <f>'table-s4b-raw'!C17</f>
        <v/>
      </c>
      <c r="D41" s="10" t="str">
        <f>'table-s4b-raw'!D17</f>
        <v/>
      </c>
      <c r="E41" s="10" t="str">
        <f>'table-s4b-raw'!E17</f>
        <v/>
      </c>
      <c r="F41" s="10" t="str">
        <f>'table-s4b-raw'!F17</f>
        <v/>
      </c>
      <c r="G41" s="10" t="str">
        <f>'table-s4b-raw'!G17</f>
        <v/>
      </c>
      <c r="H41" s="10" t="str">
        <f>'table-s4b-raw'!H17</f>
        <v>0.033**</v>
      </c>
      <c r="I41" s="10" t="str">
        <f>'table-s4b-raw'!I17</f>
        <v/>
      </c>
      <c r="J41" s="10" t="str">
        <f>'table-s4b-raw'!J17</f>
        <v>0.039**</v>
      </c>
      <c r="K41" s="10" t="str">
        <f>'table-s4b-raw'!K17</f>
        <v>0.037**</v>
      </c>
    </row>
    <row r="42" spans="1:11" x14ac:dyDescent="0.3">
      <c r="A42" s="1" t="str">
        <f>'table-s4b-raw'!A18</f>
        <v/>
      </c>
      <c r="B42" s="10" t="str">
        <f>'table-s4b-raw'!B18</f>
        <v/>
      </c>
      <c r="C42" s="10" t="str">
        <f>'table-s4b-raw'!C18</f>
        <v/>
      </c>
      <c r="D42" s="10" t="str">
        <f>'table-s4b-raw'!D18</f>
        <v/>
      </c>
      <c r="E42" s="10" t="str">
        <f>'table-s4b-raw'!E18</f>
        <v/>
      </c>
      <c r="F42" s="10" t="str">
        <f>'table-s4b-raw'!F18</f>
        <v/>
      </c>
      <c r="G42" s="10" t="str">
        <f>'table-s4b-raw'!G18</f>
        <v/>
      </c>
      <c r="H42" s="10" t="str">
        <f>'table-s4b-raw'!H18</f>
        <v>(0.014)</v>
      </c>
      <c r="I42" s="10" t="str">
        <f>'table-s4b-raw'!I18</f>
        <v/>
      </c>
      <c r="J42" s="10" t="str">
        <f>'table-s4b-raw'!J18</f>
        <v>(0.016)</v>
      </c>
      <c r="K42" s="10" t="str">
        <f>'table-s4b-raw'!K18</f>
        <v>(0.017)</v>
      </c>
    </row>
    <row r="43" spans="1:11" x14ac:dyDescent="0.3">
      <c r="A43" s="1" t="str">
        <f>'table-s4b-raw'!A19</f>
        <v>Treat x Income &gt;$200K</v>
      </c>
      <c r="B43" s="10" t="str">
        <f>'table-s4b-raw'!B19</f>
        <v/>
      </c>
      <c r="C43" s="10" t="str">
        <f>'table-s4b-raw'!C19</f>
        <v/>
      </c>
      <c r="D43" s="10" t="str">
        <f>'table-s4b-raw'!D19</f>
        <v/>
      </c>
      <c r="E43" s="10" t="str">
        <f>'table-s4b-raw'!E19</f>
        <v/>
      </c>
      <c r="F43" s="10" t="str">
        <f>'table-s4b-raw'!F19</f>
        <v/>
      </c>
      <c r="G43" s="10" t="str">
        <f>'table-s4b-raw'!G19</f>
        <v/>
      </c>
      <c r="H43" s="10" t="str">
        <f>'table-s4b-raw'!H19</f>
        <v/>
      </c>
      <c r="I43" s="10" t="str">
        <f>'table-s4b-raw'!I19</f>
        <v>-0.004</v>
      </c>
      <c r="J43" s="10" t="str">
        <f>'table-s4b-raw'!J19</f>
        <v>-0.017</v>
      </c>
      <c r="K43" s="10" t="str">
        <f>'table-s4b-raw'!K19</f>
        <v>-0.022</v>
      </c>
    </row>
    <row r="44" spans="1:11" x14ac:dyDescent="0.3">
      <c r="A44" s="1" t="str">
        <f>'table-s4b-raw'!A20</f>
        <v/>
      </c>
      <c r="B44" s="10" t="str">
        <f>'table-s4b-raw'!B20</f>
        <v/>
      </c>
      <c r="C44" s="10" t="str">
        <f>'table-s4b-raw'!C20</f>
        <v/>
      </c>
      <c r="D44" s="10" t="str">
        <f>'table-s4b-raw'!D20</f>
        <v/>
      </c>
      <c r="E44" s="10" t="str">
        <f>'table-s4b-raw'!E20</f>
        <v/>
      </c>
      <c r="F44" s="10" t="str">
        <f>'table-s4b-raw'!F20</f>
        <v/>
      </c>
      <c r="G44" s="10" t="str">
        <f>'table-s4b-raw'!G20</f>
        <v/>
      </c>
      <c r="H44" s="10" t="str">
        <f>'table-s4b-raw'!H20</f>
        <v/>
      </c>
      <c r="I44" s="10" t="str">
        <f>'table-s4b-raw'!I20</f>
        <v>(0.018)</v>
      </c>
      <c r="J44" s="10" t="str">
        <f>'table-s4b-raw'!J20</f>
        <v>(0.019)</v>
      </c>
      <c r="K44" s="10" t="str">
        <f>'table-s4b-raw'!K20</f>
        <v>(0.019)</v>
      </c>
    </row>
    <row r="45" spans="1:11" x14ac:dyDescent="0.3">
      <c r="A45" s="1" t="str">
        <f>'table-s4b-raw'!A21</f>
        <v>Constant</v>
      </c>
      <c r="B45" s="10" t="str">
        <f>'table-s4b-raw'!B21</f>
        <v>0.100***</v>
      </c>
      <c r="C45" s="10" t="str">
        <f>'table-s4b-raw'!C21</f>
        <v>0.100***</v>
      </c>
      <c r="D45" s="10" t="str">
        <f>'table-s4b-raw'!D21</f>
        <v>0.100***</v>
      </c>
      <c r="E45" s="10" t="str">
        <f>'table-s4b-raw'!E21</f>
        <v>0.100***</v>
      </c>
      <c r="F45" s="10" t="str">
        <f>'table-s4b-raw'!F21</f>
        <v>0.100***</v>
      </c>
      <c r="G45" s="10" t="str">
        <f>'table-s4b-raw'!G21</f>
        <v>0.101***</v>
      </c>
      <c r="H45" s="10" t="str">
        <f>'table-s4b-raw'!H21</f>
        <v>0.099***</v>
      </c>
      <c r="I45" s="10" t="str">
        <f>'table-s4b-raw'!I21</f>
        <v>0.102***</v>
      </c>
      <c r="J45" s="10" t="str">
        <f>'table-s4b-raw'!J21</f>
        <v>0.100***</v>
      </c>
      <c r="K45" s="10" t="str">
        <f>'table-s4b-raw'!K21</f>
        <v>0.100***</v>
      </c>
    </row>
    <row r="46" spans="1:11" x14ac:dyDescent="0.3">
      <c r="A46" s="2" t="str">
        <f>'table-s4b-raw'!A22</f>
        <v/>
      </c>
      <c r="B46" s="11" t="str">
        <f>'table-s4b-raw'!B22</f>
        <v>(0.007)</v>
      </c>
      <c r="C46" s="11" t="str">
        <f>'table-s4b-raw'!C22</f>
        <v>(0.007)</v>
      </c>
      <c r="D46" s="11" t="str">
        <f>'table-s4b-raw'!D22</f>
        <v>(0.007)</v>
      </c>
      <c r="E46" s="11" t="str">
        <f>'table-s4b-raw'!E22</f>
        <v>(0.007)</v>
      </c>
      <c r="F46" s="11" t="str">
        <f>'table-s4b-raw'!F22</f>
        <v>(0.007)</v>
      </c>
      <c r="G46" s="11" t="str">
        <f>'table-s4b-raw'!G22</f>
        <v>(0.007)</v>
      </c>
      <c r="H46" s="11" t="str">
        <f>'table-s4b-raw'!H22</f>
        <v>(0.007)</v>
      </c>
      <c r="I46" s="11" t="str">
        <f>'table-s4b-raw'!I22</f>
        <v>(0.007)</v>
      </c>
      <c r="J46" s="11" t="str">
        <f>'table-s4b-raw'!J22</f>
        <v>(0.007)</v>
      </c>
      <c r="K46" s="11" t="str">
        <f>'table-s4b-raw'!K22</f>
        <v>(0.007)</v>
      </c>
    </row>
    <row r="47" spans="1:11" x14ac:dyDescent="0.3">
      <c r="A47" s="1" t="str">
        <f>'table-s4b-raw'!A23</f>
        <v>Observations</v>
      </c>
      <c r="B47" s="10" t="str">
        <f>'table-s4b-raw'!B23</f>
        <v>4517</v>
      </c>
      <c r="C47" s="10" t="str">
        <f>'table-s4b-raw'!C23</f>
        <v>4517</v>
      </c>
      <c r="D47" s="10" t="str">
        <f>'table-s4b-raw'!D23</f>
        <v>4442</v>
      </c>
      <c r="E47" s="10" t="str">
        <f>'table-s4b-raw'!E23</f>
        <v>4442</v>
      </c>
      <c r="F47" s="10" t="str">
        <f>'table-s4b-raw'!F23</f>
        <v>4541</v>
      </c>
      <c r="G47" s="10" t="str">
        <f>'table-s4b-raw'!G23</f>
        <v>4500</v>
      </c>
      <c r="H47" s="10" t="str">
        <f>'table-s4b-raw'!H23</f>
        <v>4239</v>
      </c>
      <c r="I47" s="10" t="str">
        <f>'table-s4b-raw'!I23</f>
        <v>3903</v>
      </c>
      <c r="J47" s="10" t="str">
        <f>'table-s4b-raw'!J23</f>
        <v>3711</v>
      </c>
      <c r="K47" s="10" t="str">
        <f>'table-s4b-raw'!K23</f>
        <v>3711</v>
      </c>
    </row>
    <row r="48" spans="1:11" ht="16.2" thickBot="1" x14ac:dyDescent="0.35">
      <c r="A48" s="7" t="str">
        <f>'table-s4b-raw'!A24</f>
        <v>County FE</v>
      </c>
      <c r="B48" s="12" t="str">
        <f>'table-s4b-raw'!B24</f>
        <v>No</v>
      </c>
      <c r="C48" s="12" t="str">
        <f>'table-s4b-raw'!C24</f>
        <v>No</v>
      </c>
      <c r="D48" s="12" t="str">
        <f>'table-s4b-raw'!D24</f>
        <v>No</v>
      </c>
      <c r="E48" s="12" t="str">
        <f>'table-s4b-raw'!E24</f>
        <v>No</v>
      </c>
      <c r="F48" s="12" t="str">
        <f>'table-s4b-raw'!F24</f>
        <v>No</v>
      </c>
      <c r="G48" s="12" t="str">
        <f>'table-s4b-raw'!G24</f>
        <v>No</v>
      </c>
      <c r="H48" s="12" t="str">
        <f>'table-s4b-raw'!H24</f>
        <v>No</v>
      </c>
      <c r="I48" s="12" t="str">
        <f>'table-s4b-raw'!I24</f>
        <v>No</v>
      </c>
      <c r="J48" s="12" t="str">
        <f>'table-s4b-raw'!J24</f>
        <v>No</v>
      </c>
      <c r="K48" s="12" t="str">
        <f>'table-s4b-raw'!K24</f>
        <v>Yes</v>
      </c>
    </row>
    <row r="49" ht="16.2" thickTop="1" x14ac:dyDescent="0.3"/>
  </sheetData>
  <mergeCells count="2">
    <mergeCell ref="A2:K2"/>
    <mergeCell ref="A25:K2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C218-EB08-4B74-B4CF-F10F185CFF22}">
  <dimension ref="A1:K68"/>
  <sheetViews>
    <sheetView showGridLines="0" workbookViewId="0">
      <selection activeCell="A4" sqref="A4:B5"/>
    </sheetView>
  </sheetViews>
  <sheetFormatPr defaultRowHeight="15.6" x14ac:dyDescent="0.3"/>
  <cols>
    <col min="1" max="1" width="38.6640625" style="1" bestFit="1" customWidth="1"/>
    <col min="2" max="6" width="9" style="1" bestFit="1" customWidth="1"/>
    <col min="7" max="16384" width="8.88671875" style="1"/>
  </cols>
  <sheetData>
    <row r="1" spans="1:6" ht="6" customHeight="1" x14ac:dyDescent="0.3"/>
    <row r="2" spans="1:6" x14ac:dyDescent="0.3">
      <c r="A2" s="30" t="s">
        <v>35</v>
      </c>
      <c r="B2" s="30"/>
      <c r="C2" s="30"/>
      <c r="D2" s="30"/>
      <c r="E2" s="30"/>
      <c r="F2" s="30"/>
    </row>
    <row r="3" spans="1:6" x14ac:dyDescent="0.3">
      <c r="A3" s="1" t="str">
        <f>'table-s5a-raw'!A2</f>
        <v/>
      </c>
      <c r="B3" s="10" t="str">
        <f>'table-s5a-raw'!B2</f>
        <v>(1)</v>
      </c>
      <c r="C3" s="10" t="str">
        <f>'table-s5a-raw'!C2</f>
        <v>(2)</v>
      </c>
      <c r="D3" s="10" t="str">
        <f>'table-s5a-raw'!D2</f>
        <v>(3)</v>
      </c>
      <c r="E3" s="10" t="str">
        <f>'table-s5a-raw'!E2</f>
        <v>(4)</v>
      </c>
      <c r="F3" s="10" t="str">
        <f>'table-s5a-raw'!F2</f>
        <v>(5)</v>
      </c>
    </row>
    <row r="4" spans="1:6" x14ac:dyDescent="0.3">
      <c r="A4" s="1" t="str">
        <f>'table-s5a-raw'!A3</f>
        <v>GTC Test (Own)</v>
      </c>
      <c r="B4" s="22" t="str">
        <f>'table-s5a-raw'!B3</f>
        <v>0.500***</v>
      </c>
      <c r="C4" s="22" t="str">
        <f>'table-s5a-raw'!C3</f>
        <v/>
      </c>
      <c r="D4" s="22" t="str">
        <f>'table-s5a-raw'!D3</f>
        <v/>
      </c>
      <c r="E4" s="22" t="str">
        <f>'table-s5a-raw'!E3</f>
        <v/>
      </c>
      <c r="F4" s="22" t="str">
        <f>'table-s5a-raw'!F3</f>
        <v/>
      </c>
    </row>
    <row r="5" spans="1:6" x14ac:dyDescent="0.3">
      <c r="A5" s="1" t="str">
        <f>'table-s5a-raw'!A4</f>
        <v/>
      </c>
      <c r="B5" s="22" t="str">
        <f>'table-s5a-raw'!B4</f>
        <v>(0.027)</v>
      </c>
      <c r="C5" s="22" t="str">
        <f>'table-s5a-raw'!C4</f>
        <v/>
      </c>
      <c r="D5" s="22" t="str">
        <f>'table-s5a-raw'!D4</f>
        <v/>
      </c>
      <c r="E5" s="22" t="str">
        <f>'table-s5a-raw'!E4</f>
        <v/>
      </c>
      <c r="F5" s="22" t="str">
        <f>'table-s5a-raw'!F4</f>
        <v/>
      </c>
    </row>
    <row r="6" spans="1:6" x14ac:dyDescent="0.3">
      <c r="A6" s="1" t="str">
        <f>'table-s5a-raw'!A5</f>
        <v>GTC Test (0.5 miles)</v>
      </c>
      <c r="B6" s="22" t="str">
        <f>'table-s5a-raw'!B5</f>
        <v/>
      </c>
      <c r="C6" s="22" t="str">
        <f>'table-s5a-raw'!C5</f>
        <v>0.156***</v>
      </c>
      <c r="D6" s="22" t="str">
        <f>'table-s5a-raw'!D5</f>
        <v/>
      </c>
      <c r="E6" s="22" t="str">
        <f>'table-s5a-raw'!E5</f>
        <v/>
      </c>
      <c r="F6" s="22" t="str">
        <f>'table-s5a-raw'!F5</f>
        <v/>
      </c>
    </row>
    <row r="7" spans="1:6" x14ac:dyDescent="0.3">
      <c r="A7" s="1" t="str">
        <f>'table-s5a-raw'!A6</f>
        <v/>
      </c>
      <c r="B7" s="22" t="str">
        <f>'table-s5a-raw'!B6</f>
        <v/>
      </c>
      <c r="C7" s="22" t="str">
        <f>'table-s5a-raw'!C6</f>
        <v>(0.019)</v>
      </c>
      <c r="D7" s="22" t="str">
        <f>'table-s5a-raw'!D6</f>
        <v/>
      </c>
      <c r="E7" s="22" t="str">
        <f>'table-s5a-raw'!E6</f>
        <v/>
      </c>
      <c r="F7" s="22" t="str">
        <f>'table-s5a-raw'!F6</f>
        <v/>
      </c>
    </row>
    <row r="8" spans="1:6" x14ac:dyDescent="0.3">
      <c r="A8" s="1" t="str">
        <f>'table-s5a-raw'!A7</f>
        <v>GTC Test (&lt;1 mile)</v>
      </c>
      <c r="B8" s="22" t="str">
        <f>'table-s5a-raw'!B7</f>
        <v/>
      </c>
      <c r="C8" s="22" t="str">
        <f>'table-s5a-raw'!C7</f>
        <v/>
      </c>
      <c r="D8" s="22" t="str">
        <f>'table-s5a-raw'!D7</f>
        <v>0.075***</v>
      </c>
      <c r="E8" s="22" t="str">
        <f>'table-s5a-raw'!E7</f>
        <v/>
      </c>
      <c r="F8" s="22" t="str">
        <f>'table-s5a-raw'!F7</f>
        <v/>
      </c>
    </row>
    <row r="9" spans="1:6" x14ac:dyDescent="0.3">
      <c r="A9" s="1" t="str">
        <f>'table-s5a-raw'!A8</f>
        <v/>
      </c>
      <c r="B9" s="22" t="str">
        <f>'table-s5a-raw'!B8</f>
        <v/>
      </c>
      <c r="C9" s="22" t="str">
        <f>'table-s5a-raw'!C8</f>
        <v/>
      </c>
      <c r="D9" s="22" t="str">
        <f>'table-s5a-raw'!D8</f>
        <v>(0.019)</v>
      </c>
      <c r="E9" s="22" t="str">
        <f>'table-s5a-raw'!E8</f>
        <v/>
      </c>
      <c r="F9" s="22" t="str">
        <f>'table-s5a-raw'!F8</f>
        <v/>
      </c>
    </row>
    <row r="10" spans="1:6" x14ac:dyDescent="0.3">
      <c r="A10" s="1" t="str">
        <f>'table-s5a-raw'!A9</f>
        <v>GTC Test (&lt;2 miles)</v>
      </c>
      <c r="B10" s="22" t="str">
        <f>'table-s5a-raw'!B9</f>
        <v/>
      </c>
      <c r="C10" s="22" t="str">
        <f>'table-s5a-raw'!C9</f>
        <v/>
      </c>
      <c r="D10" s="22" t="str">
        <f>'table-s5a-raw'!D9</f>
        <v/>
      </c>
      <c r="E10" s="22" t="str">
        <f>'table-s5a-raw'!E9</f>
        <v>0.014</v>
      </c>
      <c r="F10" s="22" t="str">
        <f>'table-s5a-raw'!F9</f>
        <v/>
      </c>
    </row>
    <row r="11" spans="1:6" x14ac:dyDescent="0.3">
      <c r="A11" s="1" t="str">
        <f>'table-s5a-raw'!A10</f>
        <v/>
      </c>
      <c r="B11" s="22" t="str">
        <f>'table-s5a-raw'!B10</f>
        <v/>
      </c>
      <c r="C11" s="22" t="str">
        <f>'table-s5a-raw'!C10</f>
        <v/>
      </c>
      <c r="D11" s="22" t="str">
        <f>'table-s5a-raw'!D10</f>
        <v/>
      </c>
      <c r="E11" s="22" t="str">
        <f>'table-s5a-raw'!E10</f>
        <v>(0.029)</v>
      </c>
      <c r="F11" s="22" t="str">
        <f>'table-s5a-raw'!F10</f>
        <v/>
      </c>
    </row>
    <row r="12" spans="1:6" x14ac:dyDescent="0.3">
      <c r="A12" s="1" t="str">
        <f>'table-s5a-raw'!A11</f>
        <v>Mailed Test Strip (Treated)</v>
      </c>
      <c r="B12" s="22" t="str">
        <f>'table-s5a-raw'!B11</f>
        <v>0.261***</v>
      </c>
      <c r="C12" s="22" t="str">
        <f>'table-s5a-raw'!C11</f>
        <v>0.243***</v>
      </c>
      <c r="D12" s="22" t="str">
        <f>'table-s5a-raw'!D11</f>
        <v>0.238***</v>
      </c>
      <c r="E12" s="22" t="str">
        <f>'table-s5a-raw'!E11</f>
        <v>0.205***</v>
      </c>
      <c r="F12" s="22" t="str">
        <f>'table-s5a-raw'!F11</f>
        <v>0.239***</v>
      </c>
    </row>
    <row r="13" spans="1:6" x14ac:dyDescent="0.3">
      <c r="A13" s="1" t="str">
        <f>'table-s5a-raw'!A12</f>
        <v/>
      </c>
      <c r="B13" s="22" t="str">
        <f>'table-s5a-raw'!B12</f>
        <v>(0.013)</v>
      </c>
      <c r="C13" s="22" t="str">
        <f>'table-s5a-raw'!C12</f>
        <v>(0.016)</v>
      </c>
      <c r="D13" s="22" t="str">
        <f>'table-s5a-raw'!D12</f>
        <v>(0.022)</v>
      </c>
      <c r="E13" s="22" t="str">
        <f>'table-s5a-raw'!E12</f>
        <v>(0.041)</v>
      </c>
      <c r="F13" s="22" t="str">
        <f>'table-s5a-raw'!F12</f>
        <v>(0.013)</v>
      </c>
    </row>
    <row r="14" spans="1:6" x14ac:dyDescent="0.3">
      <c r="A14" s="1" t="str">
        <f>'table-s5a-raw'!A13</f>
        <v>GTC Test (Own) + Treated</v>
      </c>
      <c r="B14" s="22" t="str">
        <f>'table-s5a-raw'!B13</f>
        <v>-0.158***</v>
      </c>
      <c r="C14" s="22" t="str">
        <f>'table-s5a-raw'!C13</f>
        <v/>
      </c>
      <c r="D14" s="22" t="str">
        <f>'table-s5a-raw'!D13</f>
        <v/>
      </c>
      <c r="E14" s="22" t="str">
        <f>'table-s5a-raw'!E13</f>
        <v/>
      </c>
      <c r="F14" s="22" t="str">
        <f>'table-s5a-raw'!F13</f>
        <v/>
      </c>
    </row>
    <row r="15" spans="1:6" x14ac:dyDescent="0.3">
      <c r="A15" s="1" t="str">
        <f>'table-s5a-raw'!A14</f>
        <v/>
      </c>
      <c r="B15" s="22" t="str">
        <f>'table-s5a-raw'!B14</f>
        <v>(0.042)</v>
      </c>
      <c r="C15" s="22" t="str">
        <f>'table-s5a-raw'!C14</f>
        <v/>
      </c>
      <c r="D15" s="22" t="str">
        <f>'table-s5a-raw'!D14</f>
        <v/>
      </c>
      <c r="E15" s="22" t="str">
        <f>'table-s5a-raw'!E14</f>
        <v/>
      </c>
      <c r="F15" s="22" t="str">
        <f>'table-s5a-raw'!F14</f>
        <v/>
      </c>
    </row>
    <row r="16" spans="1:6" x14ac:dyDescent="0.3">
      <c r="A16" s="1" t="str">
        <f>'table-s5a-raw'!A15</f>
        <v>GTC Test (0.5 miles) + Treated</v>
      </c>
      <c r="B16" s="22" t="str">
        <f>'table-s5a-raw'!B15</f>
        <v/>
      </c>
      <c r="C16" s="22" t="str">
        <f>'table-s5a-raw'!C15</f>
        <v>-0.008</v>
      </c>
      <c r="D16" s="22" t="str">
        <f>'table-s5a-raw'!D15</f>
        <v/>
      </c>
      <c r="E16" s="22" t="str">
        <f>'table-s5a-raw'!E15</f>
        <v/>
      </c>
      <c r="F16" s="22" t="str">
        <f>'table-s5a-raw'!F15</f>
        <v/>
      </c>
    </row>
    <row r="17" spans="1:9" x14ac:dyDescent="0.3">
      <c r="A17" s="1" t="str">
        <f>'table-s5a-raw'!A16</f>
        <v/>
      </c>
      <c r="B17" s="22" t="str">
        <f>'table-s5a-raw'!B16</f>
        <v/>
      </c>
      <c r="C17" s="22" t="str">
        <f>'table-s5a-raw'!C16</f>
        <v>(0.028)</v>
      </c>
      <c r="D17" s="22" t="str">
        <f>'table-s5a-raw'!D16</f>
        <v/>
      </c>
      <c r="E17" s="22" t="str">
        <f>'table-s5a-raw'!E16</f>
        <v/>
      </c>
      <c r="F17" s="22" t="str">
        <f>'table-s5a-raw'!F16</f>
        <v/>
      </c>
    </row>
    <row r="18" spans="1:9" x14ac:dyDescent="0.3">
      <c r="A18" s="1" t="str">
        <f>'table-s5a-raw'!A17</f>
        <v>GTC Test (&lt;1 mile) + Treated</v>
      </c>
      <c r="B18" s="22" t="str">
        <f>'table-s5a-raw'!B17</f>
        <v/>
      </c>
      <c r="C18" s="22" t="str">
        <f>'table-s5a-raw'!C17</f>
        <v/>
      </c>
      <c r="D18" s="22" t="str">
        <f>'table-s5a-raw'!D17</f>
        <v>0.004</v>
      </c>
      <c r="E18" s="22" t="str">
        <f>'table-s5a-raw'!E17</f>
        <v/>
      </c>
      <c r="F18" s="22" t="str">
        <f>'table-s5a-raw'!F17</f>
        <v/>
      </c>
    </row>
    <row r="19" spans="1:9" x14ac:dyDescent="0.3">
      <c r="A19" s="1" t="str">
        <f>'table-s5a-raw'!A18</f>
        <v/>
      </c>
      <c r="B19" s="22" t="str">
        <f>'table-s5a-raw'!B18</f>
        <v/>
      </c>
      <c r="C19" s="22" t="str">
        <f>'table-s5a-raw'!C18</f>
        <v/>
      </c>
      <c r="D19" s="22" t="str">
        <f>'table-s5a-raw'!D18</f>
        <v>(0.028)</v>
      </c>
      <c r="E19" s="22" t="str">
        <f>'table-s5a-raw'!E18</f>
        <v/>
      </c>
      <c r="F19" s="22" t="str">
        <f>'table-s5a-raw'!F18</f>
        <v/>
      </c>
    </row>
    <row r="20" spans="1:9" x14ac:dyDescent="0.3">
      <c r="A20" s="1" t="str">
        <f>'table-s5a-raw'!A19</f>
        <v>GTC Test (&lt;2 miles) + Treated</v>
      </c>
      <c r="B20" s="22" t="str">
        <f>'table-s5a-raw'!B19</f>
        <v/>
      </c>
      <c r="C20" s="22" t="str">
        <f>'table-s5a-raw'!C19</f>
        <v/>
      </c>
      <c r="D20" s="22" t="str">
        <f>'table-s5a-raw'!D19</f>
        <v/>
      </c>
      <c r="E20" s="22" t="str">
        <f>'table-s5a-raw'!E19</f>
        <v>0.041</v>
      </c>
      <c r="F20" s="22" t="str">
        <f>'table-s5a-raw'!F19</f>
        <v/>
      </c>
    </row>
    <row r="21" spans="1:9" x14ac:dyDescent="0.3">
      <c r="A21" s="1" t="str">
        <f>'table-s5a-raw'!A20</f>
        <v/>
      </c>
      <c r="B21" s="22" t="str">
        <f>'table-s5a-raw'!B20</f>
        <v/>
      </c>
      <c r="C21" s="22" t="str">
        <f>'table-s5a-raw'!C20</f>
        <v/>
      </c>
      <c r="D21" s="22" t="str">
        <f>'table-s5a-raw'!D20</f>
        <v/>
      </c>
      <c r="E21" s="22" t="str">
        <f>'table-s5a-raw'!E20</f>
        <v>(0.043)</v>
      </c>
      <c r="F21" s="22" t="str">
        <f>'table-s5a-raw'!F20</f>
        <v/>
      </c>
    </row>
    <row r="22" spans="1:9" x14ac:dyDescent="0.3">
      <c r="A22" s="1" t="str">
        <f>'table-s5a-raw'!A21</f>
        <v>GTC Test (Own) + Treated + Hi Test</v>
      </c>
      <c r="B22" s="22" t="str">
        <f>'table-s5a-raw'!B21</f>
        <v>0.032</v>
      </c>
      <c r="C22" s="22" t="str">
        <f>'table-s5a-raw'!C21</f>
        <v/>
      </c>
      <c r="D22" s="22" t="str">
        <f>'table-s5a-raw'!D21</f>
        <v/>
      </c>
      <c r="E22" s="22" t="str">
        <f>'table-s5a-raw'!E21</f>
        <v/>
      </c>
      <c r="F22" s="22" t="str">
        <f>'table-s5a-raw'!F21</f>
        <v/>
      </c>
    </row>
    <row r="23" spans="1:9" x14ac:dyDescent="0.3">
      <c r="A23" s="1" t="str">
        <f>'table-s5a-raw'!A22</f>
        <v/>
      </c>
      <c r="B23" s="22" t="str">
        <f>'table-s5a-raw'!B22</f>
        <v>(0.078)</v>
      </c>
      <c r="C23" s="22" t="str">
        <f>'table-s5a-raw'!C22</f>
        <v/>
      </c>
      <c r="D23" s="22" t="str">
        <f>'table-s5a-raw'!D22</f>
        <v/>
      </c>
      <c r="E23" s="22" t="str">
        <f>'table-s5a-raw'!E22</f>
        <v/>
      </c>
      <c r="F23" s="22" t="str">
        <f>'table-s5a-raw'!F22</f>
        <v/>
      </c>
    </row>
    <row r="24" spans="1:9" x14ac:dyDescent="0.3">
      <c r="A24" s="1" t="str">
        <f>'table-s5a-raw'!A23</f>
        <v>GTC Test (0.5 miles) + Treated + Hi Test</v>
      </c>
      <c r="B24" s="22" t="str">
        <f>'table-s5a-raw'!B23</f>
        <v/>
      </c>
      <c r="C24" s="22" t="str">
        <f>'table-s5a-raw'!C23</f>
        <v>-0.005</v>
      </c>
      <c r="D24" s="22" t="str">
        <f>'table-s5a-raw'!D23</f>
        <v/>
      </c>
      <c r="E24" s="22" t="str">
        <f>'table-s5a-raw'!E23</f>
        <v/>
      </c>
      <c r="F24" s="22" t="str">
        <f>'table-s5a-raw'!F23</f>
        <v/>
      </c>
    </row>
    <row r="25" spans="1:9" x14ac:dyDescent="0.3">
      <c r="A25" s="1" t="str">
        <f>'table-s5a-raw'!A24</f>
        <v/>
      </c>
      <c r="B25" s="22" t="str">
        <f>'table-s5a-raw'!B24</f>
        <v/>
      </c>
      <c r="C25" s="22" t="str">
        <f>'table-s5a-raw'!C24</f>
        <v>(0.046)</v>
      </c>
      <c r="D25" s="22" t="str">
        <f>'table-s5a-raw'!D24</f>
        <v/>
      </c>
      <c r="E25" s="22" t="str">
        <f>'table-s5a-raw'!E24</f>
        <v/>
      </c>
      <c r="F25" s="22" t="str">
        <f>'table-s5a-raw'!F24</f>
        <v/>
      </c>
    </row>
    <row r="26" spans="1:9" x14ac:dyDescent="0.3">
      <c r="A26" s="1" t="str">
        <f>'table-s5a-raw'!A25</f>
        <v>GTC Test (&lt;1 mile) + Treated + Hi Test</v>
      </c>
      <c r="B26" s="22" t="str">
        <f>'table-s5a-raw'!B25</f>
        <v/>
      </c>
      <c r="C26" s="22" t="str">
        <f>'table-s5a-raw'!C25</f>
        <v/>
      </c>
      <c r="D26" s="22" t="str">
        <f>'table-s5a-raw'!D25</f>
        <v>-0.015</v>
      </c>
      <c r="E26" s="22" t="str">
        <f>'table-s5a-raw'!E25</f>
        <v/>
      </c>
      <c r="F26" s="22" t="str">
        <f>'table-s5a-raw'!F25</f>
        <v/>
      </c>
    </row>
    <row r="27" spans="1:9" x14ac:dyDescent="0.3">
      <c r="A27" s="1" t="str">
        <f>'table-s5a-raw'!A26</f>
        <v/>
      </c>
      <c r="B27" s="22" t="str">
        <f>'table-s5a-raw'!B26</f>
        <v/>
      </c>
      <c r="C27" s="22" t="str">
        <f>'table-s5a-raw'!C26</f>
        <v/>
      </c>
      <c r="D27" s="22" t="str">
        <f>'table-s5a-raw'!D26</f>
        <v>(0.039)</v>
      </c>
      <c r="E27" s="22" t="str">
        <f>'table-s5a-raw'!E26</f>
        <v/>
      </c>
      <c r="F27" s="22" t="str">
        <f>'table-s5a-raw'!F26</f>
        <v/>
      </c>
      <c r="G27" s="20"/>
      <c r="H27" s="20"/>
      <c r="I27" s="20"/>
    </row>
    <row r="28" spans="1:9" x14ac:dyDescent="0.3">
      <c r="A28" s="1" t="str">
        <f>'table-s5a-raw'!A27</f>
        <v>GTC Test (&lt;2 miles) + Treated + Hi Test</v>
      </c>
      <c r="B28" s="22" t="str">
        <f>'table-s5a-raw'!B27</f>
        <v/>
      </c>
      <c r="C28" s="22" t="str">
        <f>'table-s5a-raw'!C27</f>
        <v/>
      </c>
      <c r="D28" s="22" t="str">
        <f>'table-s5a-raw'!D27</f>
        <v/>
      </c>
      <c r="E28" s="22" t="str">
        <f>'table-s5a-raw'!E27</f>
        <v>-0.034</v>
      </c>
      <c r="F28" s="22" t="str">
        <f>'table-s5a-raw'!F27</f>
        <v/>
      </c>
    </row>
    <row r="29" spans="1:9" x14ac:dyDescent="0.3">
      <c r="A29" s="1" t="str">
        <f>'table-s5a-raw'!A28</f>
        <v/>
      </c>
      <c r="B29" s="22" t="str">
        <f>'table-s5a-raw'!B28</f>
        <v/>
      </c>
      <c r="C29" s="22" t="str">
        <f>'table-s5a-raw'!C28</f>
        <v/>
      </c>
      <c r="D29" s="22" t="str">
        <f>'table-s5a-raw'!D28</f>
        <v/>
      </c>
      <c r="E29" s="22" t="str">
        <f>'table-s5a-raw'!E28</f>
        <v>(0.040)</v>
      </c>
      <c r="F29" s="22" t="str">
        <f>'table-s5a-raw'!F28</f>
        <v/>
      </c>
    </row>
    <row r="30" spans="1:9" x14ac:dyDescent="0.3">
      <c r="A30" s="1" t="str">
        <f>'table-s5a-raw'!A29</f>
        <v>GTC Test (&lt;5 miles) + Treated + Hi Test</v>
      </c>
      <c r="B30" s="1" t="str">
        <f>'table-s5a-raw'!B29</f>
        <v/>
      </c>
      <c r="C30" s="1" t="str">
        <f>'table-s5a-raw'!C29</f>
        <v/>
      </c>
      <c r="D30" s="1" t="str">
        <f>'table-s5a-raw'!D29</f>
        <v/>
      </c>
      <c r="E30" s="1" t="str">
        <f>'table-s5a-raw'!E29</f>
        <v/>
      </c>
      <c r="F30" s="1" t="str">
        <f>'table-s5a-raw'!F29</f>
        <v>0.048</v>
      </c>
    </row>
    <row r="31" spans="1:9" x14ac:dyDescent="0.3">
      <c r="A31" s="1" t="str">
        <f>'table-s5a-raw'!A30</f>
        <v/>
      </c>
      <c r="B31" s="1" t="str">
        <f>'table-s5a-raw'!B30</f>
        <v/>
      </c>
      <c r="C31" s="1" t="str">
        <f>'table-s5a-raw'!C30</f>
        <v/>
      </c>
      <c r="D31" s="1" t="str">
        <f>'table-s5a-raw'!D30</f>
        <v/>
      </c>
      <c r="E31" s="1" t="str">
        <f>'table-s5a-raw'!E30</f>
        <v/>
      </c>
      <c r="F31" s="1" t="str">
        <f>'table-s5a-raw'!F30</f>
        <v>(0.086)</v>
      </c>
    </row>
    <row r="32" spans="1:9" x14ac:dyDescent="0.3">
      <c r="A32" s="1" t="str">
        <f>'table-s5a-raw'!A31</f>
        <v>Constant</v>
      </c>
      <c r="B32" s="1" t="str">
        <f>'table-s5a-raw'!B31</f>
        <v>0.136***</v>
      </c>
      <c r="C32" s="1" t="str">
        <f>'table-s5a-raw'!C31</f>
        <v>0.137***</v>
      </c>
      <c r="D32" s="1" t="str">
        <f>'table-s5a-raw'!D31</f>
        <v>0.147***</v>
      </c>
      <c r="E32" s="1" t="str">
        <f>'table-s5a-raw'!E31</f>
        <v>0.181***</v>
      </c>
      <c r="F32" s="1" t="str">
        <f>'table-s5a-raw'!F31</f>
        <v>0.194***</v>
      </c>
    </row>
    <row r="33" spans="1:11" x14ac:dyDescent="0.3">
      <c r="A33" s="2" t="str">
        <f>'table-s5a-raw'!A32</f>
        <v/>
      </c>
      <c r="B33" s="2" t="str">
        <f>'table-s5a-raw'!B32</f>
        <v>(0.009)</v>
      </c>
      <c r="C33" s="2" t="str">
        <f>'table-s5a-raw'!C32</f>
        <v>(0.011)</v>
      </c>
      <c r="D33" s="2" t="str">
        <f>'table-s5a-raw'!D32</f>
        <v>(0.015)</v>
      </c>
      <c r="E33" s="2" t="str">
        <f>'table-s5a-raw'!E32</f>
        <v>(0.027)</v>
      </c>
      <c r="F33" s="2" t="str">
        <f>'table-s5a-raw'!F32</f>
        <v>(0.009)</v>
      </c>
    </row>
    <row r="34" spans="1:11" ht="3.6" customHeight="1" x14ac:dyDescent="0.3"/>
    <row r="35" spans="1:11" x14ac:dyDescent="0.3">
      <c r="A35" s="31" t="s">
        <v>36</v>
      </c>
      <c r="B35" s="31"/>
      <c r="C35" s="31"/>
      <c r="D35" s="31"/>
      <c r="E35" s="31"/>
      <c r="F35" s="31"/>
      <c r="G35" s="27"/>
      <c r="H35" s="27"/>
      <c r="I35" s="27"/>
      <c r="J35" s="27"/>
      <c r="K35" s="27"/>
    </row>
    <row r="36" spans="1:11" x14ac:dyDescent="0.3">
      <c r="A36" s="1" t="str">
        <f>'table-s5b-raw'!A2</f>
        <v/>
      </c>
      <c r="B36" s="1" t="str">
        <f>'table-s5b-raw'!B2</f>
        <v>(1)</v>
      </c>
      <c r="C36" s="1" t="str">
        <f>'table-s5b-raw'!C2</f>
        <v>(2)</v>
      </c>
      <c r="D36" s="1" t="str">
        <f>'table-s5b-raw'!D2</f>
        <v>(3)</v>
      </c>
      <c r="E36" s="1" t="str">
        <f>'table-s5b-raw'!E2</f>
        <v>(4)</v>
      </c>
      <c r="F36" s="1" t="str">
        <f>'table-s5b-raw'!F2</f>
        <v>(5)</v>
      </c>
    </row>
    <row r="37" spans="1:11" x14ac:dyDescent="0.3">
      <c r="A37" s="1" t="str">
        <f>'table-s5b-raw'!A3</f>
        <v>GTC Test (Own)</v>
      </c>
      <c r="B37" s="1" t="str">
        <f>'table-s5b-raw'!B3</f>
        <v>0.410***</v>
      </c>
      <c r="C37" s="1" t="str">
        <f>'table-s5b-raw'!C3</f>
        <v/>
      </c>
      <c r="D37" s="1" t="str">
        <f>'table-s5b-raw'!D3</f>
        <v/>
      </c>
      <c r="E37" s="1" t="str">
        <f>'table-s5b-raw'!E3</f>
        <v/>
      </c>
      <c r="F37" s="1" t="str">
        <f>'table-s5b-raw'!F3</f>
        <v/>
      </c>
    </row>
    <row r="38" spans="1:11" x14ac:dyDescent="0.3">
      <c r="A38" s="1" t="str">
        <f>'table-s5b-raw'!A4</f>
        <v/>
      </c>
      <c r="B38" s="1" t="str">
        <f>'table-s5b-raw'!B4</f>
        <v>(0.019)</v>
      </c>
      <c r="C38" s="1" t="str">
        <f>'table-s5b-raw'!C4</f>
        <v/>
      </c>
      <c r="D38" s="1" t="str">
        <f>'table-s5b-raw'!D4</f>
        <v/>
      </c>
      <c r="E38" s="1" t="str">
        <f>'table-s5b-raw'!E4</f>
        <v/>
      </c>
      <c r="F38" s="1" t="str">
        <f>'table-s5b-raw'!F4</f>
        <v/>
      </c>
    </row>
    <row r="39" spans="1:11" x14ac:dyDescent="0.3">
      <c r="A39" s="1" t="str">
        <f>'table-s5b-raw'!A5</f>
        <v>GTC Test (0.5 miles)</v>
      </c>
      <c r="B39" s="1" t="str">
        <f>'table-s5b-raw'!B5</f>
        <v/>
      </c>
      <c r="C39" s="1" t="str">
        <f>'table-s5b-raw'!C5</f>
        <v>0.127***</v>
      </c>
      <c r="D39" s="1" t="str">
        <f>'table-s5b-raw'!D5</f>
        <v/>
      </c>
      <c r="E39" s="1" t="str">
        <f>'table-s5b-raw'!E5</f>
        <v/>
      </c>
      <c r="F39" s="1" t="str">
        <f>'table-s5b-raw'!F5</f>
        <v/>
      </c>
    </row>
    <row r="40" spans="1:11" x14ac:dyDescent="0.3">
      <c r="A40" s="1" t="str">
        <f>'table-s5b-raw'!A6</f>
        <v/>
      </c>
      <c r="B40" s="1" t="str">
        <f>'table-s5b-raw'!B6</f>
        <v/>
      </c>
      <c r="C40" s="1" t="str">
        <f>'table-s5b-raw'!C6</f>
        <v>(0.013)</v>
      </c>
      <c r="D40" s="1" t="str">
        <f>'table-s5b-raw'!D6</f>
        <v/>
      </c>
      <c r="E40" s="1" t="str">
        <f>'table-s5b-raw'!E6</f>
        <v/>
      </c>
      <c r="F40" s="1" t="str">
        <f>'table-s5b-raw'!F6</f>
        <v/>
      </c>
    </row>
    <row r="41" spans="1:11" x14ac:dyDescent="0.3">
      <c r="A41" s="1" t="str">
        <f>'table-s5b-raw'!A7</f>
        <v>GTC Test (&lt;1 mile)</v>
      </c>
      <c r="B41" s="1" t="str">
        <f>'table-s5b-raw'!B7</f>
        <v/>
      </c>
      <c r="C41" s="1" t="str">
        <f>'table-s5b-raw'!C7</f>
        <v/>
      </c>
      <c r="D41" s="1" t="str">
        <f>'table-s5b-raw'!D7</f>
        <v>0.065***</v>
      </c>
      <c r="E41" s="1" t="str">
        <f>'table-s5b-raw'!E7</f>
        <v/>
      </c>
      <c r="F41" s="1" t="str">
        <f>'table-s5b-raw'!F7</f>
        <v/>
      </c>
    </row>
    <row r="42" spans="1:11" x14ac:dyDescent="0.3">
      <c r="A42" s="1" t="str">
        <f>'table-s5b-raw'!A8</f>
        <v/>
      </c>
      <c r="B42" s="1" t="str">
        <f>'table-s5b-raw'!B8</f>
        <v/>
      </c>
      <c r="C42" s="1" t="str">
        <f>'table-s5b-raw'!C8</f>
        <v/>
      </c>
      <c r="D42" s="1" t="str">
        <f>'table-s5b-raw'!D8</f>
        <v>(0.013)</v>
      </c>
      <c r="E42" s="1" t="str">
        <f>'table-s5b-raw'!E8</f>
        <v/>
      </c>
      <c r="F42" s="1" t="str">
        <f>'table-s5b-raw'!F8</f>
        <v/>
      </c>
    </row>
    <row r="43" spans="1:11" x14ac:dyDescent="0.3">
      <c r="A43" s="1" t="str">
        <f>'table-s5b-raw'!A9</f>
        <v>GTC Test (&lt;2 miles)</v>
      </c>
      <c r="B43" s="1" t="str">
        <f>'table-s5b-raw'!B9</f>
        <v/>
      </c>
      <c r="C43" s="1" t="str">
        <f>'table-s5b-raw'!C9</f>
        <v/>
      </c>
      <c r="D43" s="1" t="str">
        <f>'table-s5b-raw'!D9</f>
        <v/>
      </c>
      <c r="E43" s="1" t="str">
        <f>'table-s5b-raw'!E9</f>
        <v>0.005</v>
      </c>
      <c r="F43" s="1" t="str">
        <f>'table-s5b-raw'!F9</f>
        <v/>
      </c>
    </row>
    <row r="44" spans="1:11" x14ac:dyDescent="0.3">
      <c r="A44" s="1" t="str">
        <f>'table-s5b-raw'!A10</f>
        <v/>
      </c>
      <c r="B44" s="1" t="str">
        <f>'table-s5b-raw'!B10</f>
        <v/>
      </c>
      <c r="C44" s="1" t="str">
        <f>'table-s5b-raw'!C10</f>
        <v/>
      </c>
      <c r="D44" s="1" t="str">
        <f>'table-s5b-raw'!D10</f>
        <v/>
      </c>
      <c r="E44" s="1" t="str">
        <f>'table-s5b-raw'!E10</f>
        <v>(0.021)</v>
      </c>
      <c r="F44" s="1" t="str">
        <f>'table-s5b-raw'!F10</f>
        <v/>
      </c>
    </row>
    <row r="45" spans="1:11" x14ac:dyDescent="0.3">
      <c r="A45" s="1" t="str">
        <f>'table-s5b-raw'!A11</f>
        <v>Mailed Test Strip (Treated)</v>
      </c>
      <c r="B45" s="1" t="str">
        <f>'table-s5b-raw'!B11</f>
        <v>0.028***</v>
      </c>
      <c r="C45" s="1" t="str">
        <f>'table-s5b-raw'!C11</f>
        <v>0.025**</v>
      </c>
      <c r="D45" s="1" t="str">
        <f>'table-s5b-raw'!D11</f>
        <v>0.019</v>
      </c>
      <c r="E45" s="1" t="str">
        <f>'table-s5b-raw'!E11</f>
        <v>0.004</v>
      </c>
      <c r="F45" s="1" t="str">
        <f>'table-s5b-raw'!F11</f>
        <v>0.031***</v>
      </c>
    </row>
    <row r="46" spans="1:11" x14ac:dyDescent="0.3">
      <c r="A46" s="1" t="str">
        <f>'table-s5b-raw'!A12</f>
        <v/>
      </c>
      <c r="B46" s="1" t="str">
        <f>'table-s5b-raw'!B12</f>
        <v>(0.009)</v>
      </c>
      <c r="C46" s="1" t="str">
        <f>'table-s5b-raw'!C12</f>
        <v>(0.012)</v>
      </c>
      <c r="D46" s="1" t="str">
        <f>'table-s5b-raw'!D12</f>
        <v>(0.015)</v>
      </c>
      <c r="E46" s="1" t="str">
        <f>'table-s5b-raw'!E12</f>
        <v>(0.029)</v>
      </c>
      <c r="F46" s="1" t="str">
        <f>'table-s5b-raw'!F12</f>
        <v>(0.009)</v>
      </c>
    </row>
    <row r="47" spans="1:11" x14ac:dyDescent="0.3">
      <c r="A47" s="1" t="str">
        <f>'table-s5b-raw'!A13</f>
        <v>GTC Test (Own) + Treated</v>
      </c>
      <c r="B47" s="1" t="str">
        <f>'table-s5b-raw'!B13</f>
        <v>0.066**</v>
      </c>
      <c r="C47" s="1" t="str">
        <f>'table-s5b-raw'!C13</f>
        <v/>
      </c>
      <c r="D47" s="1" t="str">
        <f>'table-s5b-raw'!D13</f>
        <v/>
      </c>
      <c r="E47" s="1" t="str">
        <f>'table-s5b-raw'!E13</f>
        <v/>
      </c>
      <c r="F47" s="1" t="str">
        <f>'table-s5b-raw'!F13</f>
        <v/>
      </c>
    </row>
    <row r="48" spans="1:11" x14ac:dyDescent="0.3">
      <c r="A48" s="1" t="str">
        <f>'table-s5b-raw'!A14</f>
        <v/>
      </c>
      <c r="B48" s="1" t="str">
        <f>'table-s5b-raw'!B14</f>
        <v>(0.029)</v>
      </c>
      <c r="C48" s="1" t="str">
        <f>'table-s5b-raw'!C14</f>
        <v/>
      </c>
      <c r="D48" s="1" t="str">
        <f>'table-s5b-raw'!D14</f>
        <v/>
      </c>
      <c r="E48" s="1" t="str">
        <f>'table-s5b-raw'!E14</f>
        <v/>
      </c>
      <c r="F48" s="1" t="str">
        <f>'table-s5b-raw'!F14</f>
        <v/>
      </c>
    </row>
    <row r="49" spans="1:6" x14ac:dyDescent="0.3">
      <c r="A49" s="1" t="str">
        <f>'table-s5b-raw'!A15</f>
        <v>GTC Test (0.5 miles) + Treated</v>
      </c>
      <c r="B49" s="1" t="str">
        <f>'table-s5b-raw'!B15</f>
        <v/>
      </c>
      <c r="C49" s="1" t="str">
        <f>'table-s5b-raw'!C15</f>
        <v>0.013</v>
      </c>
      <c r="D49" s="1" t="str">
        <f>'table-s5b-raw'!D15</f>
        <v/>
      </c>
      <c r="E49" s="1" t="str">
        <f>'table-s5b-raw'!E15</f>
        <v/>
      </c>
      <c r="F49" s="1" t="str">
        <f>'table-s5b-raw'!F15</f>
        <v/>
      </c>
    </row>
    <row r="50" spans="1:6" x14ac:dyDescent="0.3">
      <c r="A50" s="1" t="str">
        <f>'table-s5b-raw'!A16</f>
        <v/>
      </c>
      <c r="B50" s="1" t="str">
        <f>'table-s5b-raw'!B16</f>
        <v/>
      </c>
      <c r="C50" s="1" t="str">
        <f>'table-s5b-raw'!C16</f>
        <v>(0.020)</v>
      </c>
      <c r="D50" s="1" t="str">
        <f>'table-s5b-raw'!D16</f>
        <v/>
      </c>
      <c r="E50" s="1" t="str">
        <f>'table-s5b-raw'!E16</f>
        <v/>
      </c>
      <c r="F50" s="1" t="str">
        <f>'table-s5b-raw'!F16</f>
        <v/>
      </c>
    </row>
    <row r="51" spans="1:6" x14ac:dyDescent="0.3">
      <c r="A51" s="1" t="str">
        <f>'table-s5b-raw'!A17</f>
        <v>GTC Test (&lt;1 mile) + Treated</v>
      </c>
      <c r="B51" s="1" t="str">
        <f>'table-s5b-raw'!B17</f>
        <v/>
      </c>
      <c r="C51" s="1" t="str">
        <f>'table-s5b-raw'!C17</f>
        <v/>
      </c>
      <c r="D51" s="1" t="str">
        <f>'table-s5b-raw'!D17</f>
        <v>0.019</v>
      </c>
      <c r="E51" s="1" t="str">
        <f>'table-s5b-raw'!E17</f>
        <v/>
      </c>
      <c r="F51" s="1" t="str">
        <f>'table-s5b-raw'!F17</f>
        <v/>
      </c>
    </row>
    <row r="52" spans="1:6" x14ac:dyDescent="0.3">
      <c r="A52" s="1" t="str">
        <f>'table-s5b-raw'!A18</f>
        <v/>
      </c>
      <c r="B52" s="1" t="str">
        <f>'table-s5b-raw'!B18</f>
        <v/>
      </c>
      <c r="C52" s="1" t="str">
        <f>'table-s5b-raw'!C18</f>
        <v/>
      </c>
      <c r="D52" s="1" t="str">
        <f>'table-s5b-raw'!D18</f>
        <v>(0.020)</v>
      </c>
      <c r="E52" s="1" t="str">
        <f>'table-s5b-raw'!E18</f>
        <v/>
      </c>
      <c r="F52" s="1" t="str">
        <f>'table-s5b-raw'!F18</f>
        <v/>
      </c>
    </row>
    <row r="53" spans="1:6" x14ac:dyDescent="0.3">
      <c r="A53" s="1" t="str">
        <f>'table-s5b-raw'!A19</f>
        <v>GTC Test (&lt;2 miles) + Treated</v>
      </c>
      <c r="B53" s="1" t="str">
        <f>'table-s5b-raw'!B19</f>
        <v/>
      </c>
      <c r="C53" s="1" t="str">
        <f>'table-s5b-raw'!C19</f>
        <v/>
      </c>
      <c r="D53" s="1" t="str">
        <f>'table-s5b-raw'!D19</f>
        <v/>
      </c>
      <c r="E53" s="1" t="str">
        <f>'table-s5b-raw'!E19</f>
        <v>0.030</v>
      </c>
      <c r="F53" s="1" t="str">
        <f>'table-s5b-raw'!F19</f>
        <v/>
      </c>
    </row>
    <row r="54" spans="1:6" x14ac:dyDescent="0.3">
      <c r="A54" s="1" t="str">
        <f>'table-s5b-raw'!A20</f>
        <v/>
      </c>
      <c r="B54" s="1" t="str">
        <f>'table-s5b-raw'!B20</f>
        <v/>
      </c>
      <c r="C54" s="1" t="str">
        <f>'table-s5b-raw'!C20</f>
        <v/>
      </c>
      <c r="D54" s="1" t="str">
        <f>'table-s5b-raw'!D20</f>
        <v/>
      </c>
      <c r="E54" s="1" t="str">
        <f>'table-s5b-raw'!E20</f>
        <v>(0.031)</v>
      </c>
      <c r="F54" s="1" t="str">
        <f>'table-s5b-raw'!F20</f>
        <v/>
      </c>
    </row>
    <row r="55" spans="1:6" x14ac:dyDescent="0.3">
      <c r="A55" s="1" t="str">
        <f>'table-s5b-raw'!A21</f>
        <v>GTC Test (Own) + Treated + Hi Test</v>
      </c>
      <c r="B55" s="1" t="str">
        <f>'table-s5b-raw'!B21</f>
        <v>-0.014</v>
      </c>
      <c r="C55" s="1" t="str">
        <f>'table-s5b-raw'!C21</f>
        <v/>
      </c>
      <c r="D55" s="1" t="str">
        <f>'table-s5b-raw'!D21</f>
        <v/>
      </c>
      <c r="E55" s="1" t="str">
        <f>'table-s5b-raw'!E21</f>
        <v/>
      </c>
      <c r="F55" s="1" t="str">
        <f>'table-s5b-raw'!F21</f>
        <v/>
      </c>
    </row>
    <row r="56" spans="1:6" x14ac:dyDescent="0.3">
      <c r="A56" s="1" t="str">
        <f>'table-s5b-raw'!A22</f>
        <v/>
      </c>
      <c r="B56" s="1" t="str">
        <f>'table-s5b-raw'!B22</f>
        <v>(0.053)</v>
      </c>
      <c r="C56" s="1" t="str">
        <f>'table-s5b-raw'!C22</f>
        <v/>
      </c>
      <c r="D56" s="1" t="str">
        <f>'table-s5b-raw'!D22</f>
        <v/>
      </c>
      <c r="E56" s="1" t="str">
        <f>'table-s5b-raw'!E22</f>
        <v/>
      </c>
      <c r="F56" s="1" t="str">
        <f>'table-s5b-raw'!F22</f>
        <v/>
      </c>
    </row>
    <row r="57" spans="1:6" x14ac:dyDescent="0.3">
      <c r="A57" s="1" t="str">
        <f>'table-s5b-raw'!A23</f>
        <v>GTC Test (0.5 miles) + Treated + Hi Test</v>
      </c>
      <c r="B57" s="1" t="str">
        <f>'table-s5b-raw'!B23</f>
        <v/>
      </c>
      <c r="C57" s="1" t="str">
        <f>'table-s5b-raw'!C23</f>
        <v>0.034</v>
      </c>
      <c r="D57" s="1" t="str">
        <f>'table-s5b-raw'!D23</f>
        <v/>
      </c>
      <c r="E57" s="1" t="str">
        <f>'table-s5b-raw'!E23</f>
        <v/>
      </c>
      <c r="F57" s="1" t="str">
        <f>'table-s5b-raw'!F23</f>
        <v/>
      </c>
    </row>
    <row r="58" spans="1:6" x14ac:dyDescent="0.3">
      <c r="A58" s="1" t="str">
        <f>'table-s5b-raw'!A24</f>
        <v/>
      </c>
      <c r="B58" s="1" t="str">
        <f>'table-s5b-raw'!B24</f>
        <v/>
      </c>
      <c r="C58" s="1" t="str">
        <f>'table-s5b-raw'!C24</f>
        <v>(0.032)</v>
      </c>
      <c r="D58" s="1" t="str">
        <f>'table-s5b-raw'!D24</f>
        <v/>
      </c>
      <c r="E58" s="1" t="str">
        <f>'table-s5b-raw'!E24</f>
        <v/>
      </c>
      <c r="F58" s="1" t="str">
        <f>'table-s5b-raw'!F24</f>
        <v/>
      </c>
    </row>
    <row r="59" spans="1:6" x14ac:dyDescent="0.3">
      <c r="A59" s="1" t="str">
        <f>'table-s5b-raw'!A25</f>
        <v>GTC Test (&lt;1 mile) + Treated + Hi Test</v>
      </c>
      <c r="B59" s="1" t="str">
        <f>'table-s5b-raw'!B25</f>
        <v/>
      </c>
      <c r="C59" s="1" t="str">
        <f>'table-s5b-raw'!C25</f>
        <v/>
      </c>
      <c r="D59" s="1" t="str">
        <f>'table-s5b-raw'!D25</f>
        <v>-0.001</v>
      </c>
      <c r="E59" s="1" t="str">
        <f>'table-s5b-raw'!E25</f>
        <v/>
      </c>
      <c r="F59" s="1" t="str">
        <f>'table-s5b-raw'!F25</f>
        <v/>
      </c>
    </row>
    <row r="60" spans="1:6" x14ac:dyDescent="0.3">
      <c r="A60" s="1" t="str">
        <f>'table-s5b-raw'!A26</f>
        <v/>
      </c>
      <c r="B60" s="1" t="str">
        <f>'table-s5b-raw'!B26</f>
        <v/>
      </c>
      <c r="C60" s="1" t="str">
        <f>'table-s5b-raw'!C26</f>
        <v/>
      </c>
      <c r="D60" s="1" t="str">
        <f>'table-s5b-raw'!D26</f>
        <v>(0.027)</v>
      </c>
      <c r="E60" s="1" t="str">
        <f>'table-s5b-raw'!E26</f>
        <v/>
      </c>
      <c r="F60" s="1" t="str">
        <f>'table-s5b-raw'!F26</f>
        <v/>
      </c>
    </row>
    <row r="61" spans="1:6" x14ac:dyDescent="0.3">
      <c r="A61" s="1" t="str">
        <f>'table-s5b-raw'!A27</f>
        <v>GTC Test (&lt;2 miles) + Treated + Hi Test</v>
      </c>
      <c r="B61" s="1" t="str">
        <f>'table-s5b-raw'!B27</f>
        <v/>
      </c>
      <c r="C61" s="1" t="str">
        <f>'table-s5b-raw'!C27</f>
        <v/>
      </c>
      <c r="D61" s="1" t="str">
        <f>'table-s5b-raw'!D27</f>
        <v/>
      </c>
      <c r="E61" s="1" t="str">
        <f>'table-s5b-raw'!E27</f>
        <v>-0.001</v>
      </c>
      <c r="F61" s="1" t="str">
        <f>'table-s5b-raw'!F27</f>
        <v/>
      </c>
    </row>
    <row r="62" spans="1:6" x14ac:dyDescent="0.3">
      <c r="A62" s="1" t="str">
        <f>'table-s5b-raw'!A28</f>
        <v/>
      </c>
      <c r="B62" s="1" t="str">
        <f>'table-s5b-raw'!B28</f>
        <v/>
      </c>
      <c r="C62" s="1" t="str">
        <f>'table-s5b-raw'!C28</f>
        <v/>
      </c>
      <c r="D62" s="1" t="str">
        <f>'table-s5b-raw'!D28</f>
        <v/>
      </c>
      <c r="E62" s="1" t="str">
        <f>'table-s5b-raw'!E28</f>
        <v>(0.028)</v>
      </c>
      <c r="F62" s="1" t="str">
        <f>'table-s5b-raw'!F28</f>
        <v/>
      </c>
    </row>
    <row r="63" spans="1:6" x14ac:dyDescent="0.3">
      <c r="A63" s="1" t="str">
        <f>'table-s5b-raw'!A29</f>
        <v>GTC Test (&lt;5 miles) + Treated + Hi Test</v>
      </c>
      <c r="B63" s="1" t="str">
        <f>'table-s5b-raw'!B29</f>
        <v/>
      </c>
      <c r="C63" s="1" t="str">
        <f>'table-s5b-raw'!C29</f>
        <v/>
      </c>
      <c r="D63" s="1" t="str">
        <f>'table-s5b-raw'!D29</f>
        <v/>
      </c>
      <c r="E63" s="1" t="str">
        <f>'table-s5b-raw'!E29</f>
        <v/>
      </c>
      <c r="F63" s="1" t="str">
        <f>'table-s5b-raw'!F29</f>
        <v>-0.020</v>
      </c>
    </row>
    <row r="64" spans="1:6" x14ac:dyDescent="0.3">
      <c r="A64" s="1" t="str">
        <f>'table-s5b-raw'!A30</f>
        <v/>
      </c>
      <c r="B64" s="1" t="str">
        <f>'table-s5b-raw'!B30</f>
        <v/>
      </c>
      <c r="C64" s="1" t="str">
        <f>'table-s5b-raw'!C30</f>
        <v/>
      </c>
      <c r="D64" s="1" t="str">
        <f>'table-s5b-raw'!D30</f>
        <v/>
      </c>
      <c r="E64" s="1" t="str">
        <f>'table-s5b-raw'!E30</f>
        <v/>
      </c>
      <c r="F64" s="1" t="str">
        <f>'table-s5b-raw'!F30</f>
        <v>(0.062)</v>
      </c>
    </row>
    <row r="65" spans="1:6" x14ac:dyDescent="0.3">
      <c r="A65" s="1" t="str">
        <f>'table-s5b-raw'!A31</f>
        <v>Constant</v>
      </c>
      <c r="B65" s="1" t="str">
        <f>'table-s5b-raw'!B31</f>
        <v>0.053***</v>
      </c>
      <c r="C65" s="1" t="str">
        <f>'table-s5b-raw'!C31</f>
        <v>0.054***</v>
      </c>
      <c r="D65" s="1" t="str">
        <f>'table-s5b-raw'!D31</f>
        <v>0.059***</v>
      </c>
      <c r="E65" s="1" t="str">
        <f>'table-s5b-raw'!E31</f>
        <v>0.096***</v>
      </c>
      <c r="F65" s="1" t="str">
        <f>'table-s5b-raw'!F31</f>
        <v>0.100***</v>
      </c>
    </row>
    <row r="66" spans="1:6" x14ac:dyDescent="0.3">
      <c r="A66" s="1" t="str">
        <f>'table-s5b-raw'!A32</f>
        <v/>
      </c>
      <c r="B66" s="1" t="str">
        <f>'table-s5b-raw'!B32</f>
        <v>(0.006)</v>
      </c>
      <c r="C66" s="1" t="str">
        <f>'table-s5b-raw'!C32</f>
        <v>(0.008)</v>
      </c>
      <c r="D66" s="1" t="str">
        <f>'table-s5b-raw'!D32</f>
        <v>(0.011)</v>
      </c>
      <c r="E66" s="1" t="str">
        <f>'table-s5b-raw'!E32</f>
        <v>(0.019)</v>
      </c>
      <c r="F66" s="1" t="str">
        <f>'table-s5b-raw'!F32</f>
        <v>(0.007)</v>
      </c>
    </row>
    <row r="67" spans="1:6" ht="16.2" thickBot="1" x14ac:dyDescent="0.35">
      <c r="A67" s="13" t="str">
        <f>'table-s5b-raw'!A33</f>
        <v>Observations</v>
      </c>
      <c r="B67" s="13" t="str">
        <f>'table-s5b-raw'!B33</f>
        <v>4541</v>
      </c>
      <c r="C67" s="13" t="str">
        <f>'table-s5b-raw'!C33</f>
        <v>4541</v>
      </c>
      <c r="D67" s="13" t="str">
        <f>'table-s5b-raw'!D33</f>
        <v>4541</v>
      </c>
      <c r="E67" s="13" t="str">
        <f>'table-s5b-raw'!E33</f>
        <v>4541</v>
      </c>
      <c r="F67" s="13" t="str">
        <f>'table-s5b-raw'!F33</f>
        <v>4541</v>
      </c>
    </row>
    <row r="68" spans="1:6" ht="5.4" customHeight="1" thickTop="1" x14ac:dyDescent="0.3"/>
  </sheetData>
  <mergeCells count="2">
    <mergeCell ref="A2:F2"/>
    <mergeCell ref="A35:F35"/>
  </mergeCells>
  <pageMargins left="0.7" right="0.7" top="0.75" bottom="0.75" header="0.3" footer="0.3"/>
  <pageSetup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4C828-0F60-4FDC-A226-EF35FB180F2D}">
  <dimension ref="A1:F68"/>
  <sheetViews>
    <sheetView showGridLines="0" topLeftCell="A19" workbookViewId="0">
      <selection activeCell="B23" sqref="B23"/>
    </sheetView>
  </sheetViews>
  <sheetFormatPr defaultRowHeight="15.6" x14ac:dyDescent="0.3"/>
  <cols>
    <col min="1" max="1" width="38.6640625" style="1" bestFit="1" customWidth="1"/>
    <col min="2" max="16384" width="8.88671875" style="1"/>
  </cols>
  <sheetData>
    <row r="1" spans="1:6" ht="4.8" customHeight="1" x14ac:dyDescent="0.3"/>
    <row r="2" spans="1:6" x14ac:dyDescent="0.3">
      <c r="A2" s="30" t="s">
        <v>35</v>
      </c>
      <c r="B2" s="30"/>
      <c r="C2" s="30"/>
      <c r="D2" s="30"/>
      <c r="E2" s="30"/>
      <c r="F2" s="30"/>
    </row>
    <row r="3" spans="1:6" x14ac:dyDescent="0.3">
      <c r="A3" s="22" t="str">
        <f>'table-s6a-raw'!A2</f>
        <v/>
      </c>
      <c r="B3" s="22" t="str">
        <f>'table-s6a-raw'!B2</f>
        <v>(1)</v>
      </c>
      <c r="C3" s="22" t="str">
        <f>'table-s6a-raw'!C2</f>
        <v>(2)</v>
      </c>
      <c r="D3" s="22" t="str">
        <f>'table-s6a-raw'!D2</f>
        <v>(3)</v>
      </c>
      <c r="E3" s="22" t="str">
        <f>'table-s6a-raw'!E2</f>
        <v>(4)</v>
      </c>
      <c r="F3" s="22" t="str">
        <f>'table-s6a-raw'!F2</f>
        <v>(5)</v>
      </c>
    </row>
    <row r="4" spans="1:6" x14ac:dyDescent="0.3">
      <c r="A4" s="22" t="str">
        <f>'table-s6a-raw'!A3</f>
        <v>GTC Test (Own)</v>
      </c>
      <c r="B4" s="22" t="str">
        <f>'table-s6a-raw'!B3</f>
        <v>0.169***</v>
      </c>
      <c r="C4" s="22" t="str">
        <f>'table-s6a-raw'!C3</f>
        <v/>
      </c>
      <c r="D4" s="22" t="str">
        <f>'table-s6a-raw'!D3</f>
        <v/>
      </c>
      <c r="E4" s="22" t="str">
        <f>'table-s6a-raw'!E3</f>
        <v/>
      </c>
      <c r="F4" s="22" t="str">
        <f>'table-s6a-raw'!F3</f>
        <v/>
      </c>
    </row>
    <row r="5" spans="1:6" x14ac:dyDescent="0.3">
      <c r="A5" s="22" t="str">
        <f>'table-s6a-raw'!A4</f>
        <v/>
      </c>
      <c r="B5" s="22" t="str">
        <f>'table-s6a-raw'!B4</f>
        <v>(0.019)</v>
      </c>
      <c r="C5" s="22" t="str">
        <f>'table-s6a-raw'!C4</f>
        <v/>
      </c>
      <c r="D5" s="22" t="str">
        <f>'table-s6a-raw'!D4</f>
        <v/>
      </c>
      <c r="E5" s="22" t="str">
        <f>'table-s6a-raw'!E4</f>
        <v/>
      </c>
      <c r="F5" s="22" t="str">
        <f>'table-s6a-raw'!F4</f>
        <v/>
      </c>
    </row>
    <row r="6" spans="1:6" x14ac:dyDescent="0.3">
      <c r="A6" s="22" t="str">
        <f>'table-s6a-raw'!A5</f>
        <v>GTC Test (0.5 miles)</v>
      </c>
      <c r="B6" s="22" t="str">
        <f>'table-s6a-raw'!B5</f>
        <v/>
      </c>
      <c r="C6" s="22" t="str">
        <f>'table-s6a-raw'!C5</f>
        <v>0.081***</v>
      </c>
      <c r="D6" s="22" t="str">
        <f>'table-s6a-raw'!D5</f>
        <v/>
      </c>
      <c r="E6" s="22" t="str">
        <f>'table-s6a-raw'!E5</f>
        <v/>
      </c>
      <c r="F6" s="22" t="str">
        <f>'table-s6a-raw'!F5</f>
        <v/>
      </c>
    </row>
    <row r="7" spans="1:6" x14ac:dyDescent="0.3">
      <c r="A7" s="22" t="str">
        <f>'table-s6a-raw'!A6</f>
        <v/>
      </c>
      <c r="B7" s="22" t="str">
        <f>'table-s6a-raw'!B6</f>
        <v/>
      </c>
      <c r="C7" s="22" t="str">
        <f>'table-s6a-raw'!C6</f>
        <v>(0.021)</v>
      </c>
      <c r="D7" s="22" t="str">
        <f>'table-s6a-raw'!D6</f>
        <v/>
      </c>
      <c r="E7" s="22" t="str">
        <f>'table-s6a-raw'!E6</f>
        <v/>
      </c>
      <c r="F7" s="22" t="str">
        <f>'table-s6a-raw'!F6</f>
        <v/>
      </c>
    </row>
    <row r="8" spans="1:6" x14ac:dyDescent="0.3">
      <c r="A8" s="22" t="str">
        <f>'table-s6a-raw'!A7</f>
        <v>GTC Test (&lt;1 mile)</v>
      </c>
      <c r="B8" s="22" t="str">
        <f>'table-s6a-raw'!B7</f>
        <v/>
      </c>
      <c r="C8" s="22" t="str">
        <f>'table-s6a-raw'!C7</f>
        <v/>
      </c>
      <c r="D8" s="22" t="str">
        <f>'table-s6a-raw'!D7</f>
        <v>0.085**</v>
      </c>
      <c r="E8" s="22" t="str">
        <f>'table-s6a-raw'!E7</f>
        <v/>
      </c>
      <c r="F8" s="22" t="str">
        <f>'table-s6a-raw'!F7</f>
        <v/>
      </c>
    </row>
    <row r="9" spans="1:6" x14ac:dyDescent="0.3">
      <c r="A9" s="22" t="str">
        <f>'table-s6a-raw'!A8</f>
        <v/>
      </c>
      <c r="B9" s="22" t="str">
        <f>'table-s6a-raw'!B8</f>
        <v/>
      </c>
      <c r="C9" s="22" t="str">
        <f>'table-s6a-raw'!C8</f>
        <v/>
      </c>
      <c r="D9" s="22" t="str">
        <f>'table-s6a-raw'!D8</f>
        <v>(0.034)</v>
      </c>
      <c r="E9" s="22" t="str">
        <f>'table-s6a-raw'!E8</f>
        <v/>
      </c>
      <c r="F9" s="22" t="str">
        <f>'table-s6a-raw'!F8</f>
        <v/>
      </c>
    </row>
    <row r="10" spans="1:6" x14ac:dyDescent="0.3">
      <c r="A10" s="22" t="str">
        <f>'table-s6a-raw'!A9</f>
        <v>GTC Test (&lt;2 miles)</v>
      </c>
      <c r="B10" s="22" t="str">
        <f>'table-s6a-raw'!B9</f>
        <v/>
      </c>
      <c r="C10" s="22" t="str">
        <f>'table-s6a-raw'!C9</f>
        <v/>
      </c>
      <c r="D10" s="22" t="str">
        <f>'table-s6a-raw'!D9</f>
        <v/>
      </c>
      <c r="E10" s="22" t="str">
        <f>'table-s6a-raw'!E9</f>
        <v>0.099</v>
      </c>
      <c r="F10" s="22" t="str">
        <f>'table-s6a-raw'!F9</f>
        <v/>
      </c>
    </row>
    <row r="11" spans="1:6" x14ac:dyDescent="0.3">
      <c r="A11" s="22" t="str">
        <f>'table-s6a-raw'!A10</f>
        <v/>
      </c>
      <c r="B11" s="22" t="str">
        <f>'table-s6a-raw'!B10</f>
        <v/>
      </c>
      <c r="C11" s="22" t="str">
        <f>'table-s6a-raw'!C10</f>
        <v/>
      </c>
      <c r="D11" s="22" t="str">
        <f>'table-s6a-raw'!D10</f>
        <v/>
      </c>
      <c r="E11" s="22" t="str">
        <f>'table-s6a-raw'!E10</f>
        <v>(0.098)</v>
      </c>
      <c r="F11" s="22" t="str">
        <f>'table-s6a-raw'!F10</f>
        <v/>
      </c>
    </row>
    <row r="12" spans="1:6" x14ac:dyDescent="0.3">
      <c r="A12" s="22" t="str">
        <f>'table-s6a-raw'!A11</f>
        <v>Mailed Test Strip (Treated)</v>
      </c>
      <c r="B12" s="22" t="str">
        <f>'table-s6a-raw'!B11</f>
        <v>0.266***</v>
      </c>
      <c r="C12" s="22" t="str">
        <f>'table-s6a-raw'!C11</f>
        <v>0.249***</v>
      </c>
      <c r="D12" s="22" t="str">
        <f>'table-s6a-raw'!D11</f>
        <v>0.271***</v>
      </c>
      <c r="E12" s="22" t="str">
        <f>'table-s6a-raw'!E11</f>
        <v>0.294**</v>
      </c>
      <c r="F12" s="22" t="str">
        <f>'table-s6a-raw'!F11</f>
        <v>0.238***</v>
      </c>
    </row>
    <row r="13" spans="1:6" x14ac:dyDescent="0.3">
      <c r="A13" s="22" t="str">
        <f>'table-s6a-raw'!A12</f>
        <v/>
      </c>
      <c r="B13" s="22" t="str">
        <f>'table-s6a-raw'!B12</f>
        <v>(0.017)</v>
      </c>
      <c r="C13" s="22" t="str">
        <f>'table-s6a-raw'!C12</f>
        <v>(0.027)</v>
      </c>
      <c r="D13" s="22" t="str">
        <f>'table-s6a-raw'!D12</f>
        <v>(0.048)</v>
      </c>
      <c r="E13" s="22" t="str">
        <f>'table-s6a-raw'!E12</f>
        <v>(0.143)</v>
      </c>
      <c r="F13" s="22" t="str">
        <f>'table-s6a-raw'!F12</f>
        <v>(0.013)</v>
      </c>
    </row>
    <row r="14" spans="1:6" x14ac:dyDescent="0.3">
      <c r="A14" s="22" t="str">
        <f>'table-s6a-raw'!A13</f>
        <v>GTC Test (Own) + Treated</v>
      </c>
      <c r="B14" s="22" t="str">
        <f>'table-s6a-raw'!B13</f>
        <v>-0.054*</v>
      </c>
      <c r="C14" s="22" t="str">
        <f>'table-s6a-raw'!C13</f>
        <v/>
      </c>
      <c r="D14" s="22" t="str">
        <f>'table-s6a-raw'!D13</f>
        <v/>
      </c>
      <c r="E14" s="22" t="str">
        <f>'table-s6a-raw'!E13</f>
        <v/>
      </c>
      <c r="F14" s="22" t="str">
        <f>'table-s6a-raw'!F13</f>
        <v/>
      </c>
    </row>
    <row r="15" spans="1:6" x14ac:dyDescent="0.3">
      <c r="A15" s="22" t="str">
        <f>'table-s6a-raw'!A14</f>
        <v/>
      </c>
      <c r="B15" s="22" t="str">
        <f>'table-s6a-raw'!B14</f>
        <v>(0.028)</v>
      </c>
      <c r="C15" s="22" t="str">
        <f>'table-s6a-raw'!C14</f>
        <v/>
      </c>
      <c r="D15" s="22" t="str">
        <f>'table-s6a-raw'!D14</f>
        <v/>
      </c>
      <c r="E15" s="22" t="str">
        <f>'table-s6a-raw'!E14</f>
        <v/>
      </c>
      <c r="F15" s="22" t="str">
        <f>'table-s6a-raw'!F14</f>
        <v/>
      </c>
    </row>
    <row r="16" spans="1:6" x14ac:dyDescent="0.3">
      <c r="A16" s="22" t="str">
        <f>'table-s6a-raw'!A15</f>
        <v>GTC Test (0.5 miles) + Treated</v>
      </c>
      <c r="B16" s="22" t="str">
        <f>'table-s6a-raw'!B15</f>
        <v/>
      </c>
      <c r="C16" s="22" t="str">
        <f>'table-s6a-raw'!C15</f>
        <v>-0.009</v>
      </c>
      <c r="D16" s="22" t="str">
        <f>'table-s6a-raw'!D15</f>
        <v/>
      </c>
      <c r="E16" s="22" t="str">
        <f>'table-s6a-raw'!E15</f>
        <v/>
      </c>
      <c r="F16" s="22" t="str">
        <f>'table-s6a-raw'!F15</f>
        <v/>
      </c>
    </row>
    <row r="17" spans="1:6" x14ac:dyDescent="0.3">
      <c r="A17" s="22" t="str">
        <f>'table-s6a-raw'!A16</f>
        <v/>
      </c>
      <c r="B17" s="22" t="str">
        <f>'table-s6a-raw'!B16</f>
        <v/>
      </c>
      <c r="C17" s="22" t="str">
        <f>'table-s6a-raw'!C16</f>
        <v>(0.031)</v>
      </c>
      <c r="D17" s="22" t="str">
        <f>'table-s6a-raw'!D16</f>
        <v/>
      </c>
      <c r="E17" s="22" t="str">
        <f>'table-s6a-raw'!E16</f>
        <v/>
      </c>
      <c r="F17" s="22" t="str">
        <f>'table-s6a-raw'!F16</f>
        <v/>
      </c>
    </row>
    <row r="18" spans="1:6" x14ac:dyDescent="0.3">
      <c r="A18" s="22" t="str">
        <f>'table-s6a-raw'!A17</f>
        <v>GTC Test (&lt;1 mile) + Treated</v>
      </c>
      <c r="B18" s="22" t="str">
        <f>'table-s6a-raw'!B17</f>
        <v/>
      </c>
      <c r="C18" s="22" t="str">
        <f>'table-s6a-raw'!C17</f>
        <v/>
      </c>
      <c r="D18" s="22" t="str">
        <f>'table-s6a-raw'!D17</f>
        <v>-0.031</v>
      </c>
      <c r="E18" s="22" t="str">
        <f>'table-s6a-raw'!E17</f>
        <v/>
      </c>
      <c r="F18" s="22" t="str">
        <f>'table-s6a-raw'!F17</f>
        <v/>
      </c>
    </row>
    <row r="19" spans="1:6" x14ac:dyDescent="0.3">
      <c r="A19" s="22" t="str">
        <f>'table-s6a-raw'!A18</f>
        <v/>
      </c>
      <c r="B19" s="22" t="str">
        <f>'table-s6a-raw'!B18</f>
        <v/>
      </c>
      <c r="C19" s="22" t="str">
        <f>'table-s6a-raw'!C18</f>
        <v/>
      </c>
      <c r="D19" s="22" t="str">
        <f>'table-s6a-raw'!D18</f>
        <v>(0.051)</v>
      </c>
      <c r="E19" s="22" t="str">
        <f>'table-s6a-raw'!E18</f>
        <v/>
      </c>
      <c r="F19" s="22" t="str">
        <f>'table-s6a-raw'!F18</f>
        <v/>
      </c>
    </row>
    <row r="20" spans="1:6" x14ac:dyDescent="0.3">
      <c r="A20" s="22" t="str">
        <f>'table-s6a-raw'!A19</f>
        <v>GTC Test (&lt;2 miles) + Treated</v>
      </c>
      <c r="B20" s="22" t="str">
        <f>'table-s6a-raw'!B19</f>
        <v/>
      </c>
      <c r="C20" s="22" t="str">
        <f>'table-s6a-raw'!C19</f>
        <v/>
      </c>
      <c r="D20" s="22" t="str">
        <f>'table-s6a-raw'!D19</f>
        <v/>
      </c>
      <c r="E20" s="22" t="str">
        <f>'table-s6a-raw'!E19</f>
        <v>-0.052</v>
      </c>
      <c r="F20" s="22" t="str">
        <f>'table-s6a-raw'!F19</f>
        <v/>
      </c>
    </row>
    <row r="21" spans="1:6" x14ac:dyDescent="0.3">
      <c r="A21" s="22" t="str">
        <f>'table-s6a-raw'!A20</f>
        <v/>
      </c>
      <c r="B21" s="22" t="str">
        <f>'table-s6a-raw'!B20</f>
        <v/>
      </c>
      <c r="C21" s="22" t="str">
        <f>'table-s6a-raw'!C20</f>
        <v/>
      </c>
      <c r="D21" s="22" t="str">
        <f>'table-s6a-raw'!D20</f>
        <v/>
      </c>
      <c r="E21" s="22" t="str">
        <f>'table-s6a-raw'!E20</f>
        <v>(0.144)</v>
      </c>
      <c r="F21" s="22" t="str">
        <f>'table-s6a-raw'!F20</f>
        <v/>
      </c>
    </row>
    <row r="22" spans="1:6" x14ac:dyDescent="0.3">
      <c r="A22" s="22" t="str">
        <f>'table-s6a-raw'!A21</f>
        <v>GTC Test (Own) + Treated + Hi Test</v>
      </c>
      <c r="B22" s="22" t="str">
        <f>'table-s6a-raw'!B21</f>
        <v>-0.068</v>
      </c>
      <c r="C22" s="22" t="str">
        <f>'table-s6a-raw'!C21</f>
        <v/>
      </c>
      <c r="D22" s="22" t="str">
        <f>'table-s6a-raw'!D21</f>
        <v/>
      </c>
      <c r="E22" s="22" t="str">
        <f>'table-s6a-raw'!E21</f>
        <v/>
      </c>
      <c r="F22" s="22" t="str">
        <f>'table-s6a-raw'!F21</f>
        <v/>
      </c>
    </row>
    <row r="23" spans="1:6" x14ac:dyDescent="0.3">
      <c r="A23" s="22" t="str">
        <f>'table-s6a-raw'!A22</f>
        <v/>
      </c>
      <c r="B23" s="22" t="str">
        <f>'table-s6a-raw'!B22</f>
        <v>(0.041)</v>
      </c>
      <c r="C23" s="22" t="str">
        <f>'table-s6a-raw'!C22</f>
        <v/>
      </c>
      <c r="D23" s="22" t="str">
        <f>'table-s6a-raw'!D22</f>
        <v/>
      </c>
      <c r="E23" s="22" t="str">
        <f>'table-s6a-raw'!E22</f>
        <v/>
      </c>
      <c r="F23" s="22" t="str">
        <f>'table-s6a-raw'!F22</f>
        <v/>
      </c>
    </row>
    <row r="24" spans="1:6" x14ac:dyDescent="0.3">
      <c r="A24" s="22" t="str">
        <f>'table-s6a-raw'!A23</f>
        <v>GTC Test (0.5 miles) + Treated + Hi Test</v>
      </c>
      <c r="B24" s="22" t="str">
        <f>'table-s6a-raw'!B23</f>
        <v/>
      </c>
      <c r="C24" s="22" t="str">
        <f>'table-s6a-raw'!C23</f>
        <v>-0.043</v>
      </c>
      <c r="D24" s="22" t="str">
        <f>'table-s6a-raw'!D23</f>
        <v/>
      </c>
      <c r="E24" s="22" t="str">
        <f>'table-s6a-raw'!E23</f>
        <v/>
      </c>
      <c r="F24" s="22" t="str">
        <f>'table-s6a-raw'!F23</f>
        <v/>
      </c>
    </row>
    <row r="25" spans="1:6" x14ac:dyDescent="0.3">
      <c r="A25" s="22" t="str">
        <f>'table-s6a-raw'!A24</f>
        <v/>
      </c>
      <c r="B25" s="22" t="str">
        <f>'table-s6a-raw'!B24</f>
        <v/>
      </c>
      <c r="C25" s="22" t="str">
        <f>'table-s6a-raw'!C24</f>
        <v>(0.033)</v>
      </c>
      <c r="D25" s="22" t="str">
        <f>'table-s6a-raw'!D24</f>
        <v/>
      </c>
      <c r="E25" s="22" t="str">
        <f>'table-s6a-raw'!E24</f>
        <v/>
      </c>
      <c r="F25" s="22" t="str">
        <f>'table-s6a-raw'!F24</f>
        <v/>
      </c>
    </row>
    <row r="26" spans="1:6" x14ac:dyDescent="0.3">
      <c r="A26" s="22" t="str">
        <f>'table-s6a-raw'!A25</f>
        <v>GTC Test (&lt;1 mile) + Treated + Hi Test</v>
      </c>
      <c r="B26" s="22" t="str">
        <f>'table-s6a-raw'!B25</f>
        <v/>
      </c>
      <c r="C26" s="22" t="str">
        <f>'table-s6a-raw'!C25</f>
        <v/>
      </c>
      <c r="D26" s="22" t="str">
        <f>'table-s6a-raw'!D25</f>
        <v>-0.019</v>
      </c>
      <c r="E26" s="22" t="str">
        <f>'table-s6a-raw'!E25</f>
        <v/>
      </c>
      <c r="F26" s="22" t="str">
        <f>'table-s6a-raw'!F25</f>
        <v/>
      </c>
    </row>
    <row r="27" spans="1:6" x14ac:dyDescent="0.3">
      <c r="A27" s="22" t="str">
        <f>'table-s6a-raw'!A26</f>
        <v/>
      </c>
      <c r="B27" s="22" t="str">
        <f>'table-s6a-raw'!B26</f>
        <v/>
      </c>
      <c r="C27" s="22" t="str">
        <f>'table-s6a-raw'!C26</f>
        <v/>
      </c>
      <c r="D27" s="22" t="str">
        <f>'table-s6a-raw'!D26</f>
        <v>(0.030)</v>
      </c>
      <c r="E27" s="22" t="str">
        <f>'table-s6a-raw'!E26</f>
        <v/>
      </c>
      <c r="F27" s="22" t="str">
        <f>'table-s6a-raw'!F26</f>
        <v/>
      </c>
    </row>
    <row r="28" spans="1:6" x14ac:dyDescent="0.3">
      <c r="A28" s="22" t="str">
        <f>'table-s6a-raw'!A27</f>
        <v>GTC Test (&lt;2 miles) + Treated + Hi Test</v>
      </c>
      <c r="B28" s="22" t="str">
        <f>'table-s6a-raw'!B27</f>
        <v/>
      </c>
      <c r="C28" s="22" t="str">
        <f>'table-s6a-raw'!C27</f>
        <v/>
      </c>
      <c r="D28" s="22" t="str">
        <f>'table-s6a-raw'!D27</f>
        <v/>
      </c>
      <c r="E28" s="22" t="str">
        <f>'table-s6a-raw'!E27</f>
        <v>-0.021</v>
      </c>
      <c r="F28" s="22" t="str">
        <f>'table-s6a-raw'!F27</f>
        <v/>
      </c>
    </row>
    <row r="29" spans="1:6" x14ac:dyDescent="0.3">
      <c r="A29" s="22" t="str">
        <f>'table-s6a-raw'!A28</f>
        <v/>
      </c>
      <c r="B29" s="22" t="str">
        <f>'table-s6a-raw'!B28</f>
        <v/>
      </c>
      <c r="C29" s="22" t="str">
        <f>'table-s6a-raw'!C28</f>
        <v/>
      </c>
      <c r="D29" s="22" t="str">
        <f>'table-s6a-raw'!D28</f>
        <v/>
      </c>
      <c r="E29" s="22" t="str">
        <f>'table-s6a-raw'!E28</f>
        <v>(0.034)</v>
      </c>
      <c r="F29" s="22" t="str">
        <f>'table-s6a-raw'!F28</f>
        <v/>
      </c>
    </row>
    <row r="30" spans="1:6" x14ac:dyDescent="0.3">
      <c r="A30" s="22" t="str">
        <f>'table-s6a-raw'!A29</f>
        <v>GTC Test (&lt;5 miles) + Treated + Hi Test</v>
      </c>
      <c r="B30" s="22" t="str">
        <f>'table-s6a-raw'!B29</f>
        <v/>
      </c>
      <c r="C30" s="22" t="str">
        <f>'table-s6a-raw'!C29</f>
        <v/>
      </c>
      <c r="D30" s="22" t="str">
        <f>'table-s6a-raw'!D29</f>
        <v/>
      </c>
      <c r="E30" s="22" t="str">
        <f>'table-s6a-raw'!E29</f>
        <v/>
      </c>
      <c r="F30" s="22" t="str">
        <f>'table-s6a-raw'!F29</f>
        <v>0.040</v>
      </c>
    </row>
    <row r="31" spans="1:6" ht="19.8" customHeight="1" x14ac:dyDescent="0.3">
      <c r="A31" s="22" t="str">
        <f>'table-s6a-raw'!A30</f>
        <v/>
      </c>
      <c r="B31" s="22" t="str">
        <f>'table-s6a-raw'!B30</f>
        <v/>
      </c>
      <c r="C31" s="22" t="str">
        <f>'table-s6a-raw'!C30</f>
        <v/>
      </c>
      <c r="D31" s="22" t="str">
        <f>'table-s6a-raw'!D30</f>
        <v/>
      </c>
      <c r="E31" s="22" t="str">
        <f>'table-s6a-raw'!E30</f>
        <v/>
      </c>
      <c r="F31" s="22" t="str">
        <f>'table-s6a-raw'!F30</f>
        <v>(0.044)</v>
      </c>
    </row>
    <row r="32" spans="1:6" x14ac:dyDescent="0.3">
      <c r="A32" s="22" t="str">
        <f>'table-s6a-raw'!A31</f>
        <v>Constant</v>
      </c>
      <c r="B32" s="22" t="str">
        <f>'table-s6a-raw'!B31</f>
        <v>0.128***</v>
      </c>
      <c r="C32" s="22" t="str">
        <f>'table-s6a-raw'!C31</f>
        <v>0.134***</v>
      </c>
      <c r="D32" s="22" t="str">
        <f>'table-s6a-raw'!D31</f>
        <v>0.115***</v>
      </c>
      <c r="E32" s="22" t="str">
        <f>'table-s6a-raw'!E31</f>
        <v>0.095</v>
      </c>
      <c r="F32" s="22" t="str">
        <f>'table-s6a-raw'!F31</f>
        <v>0.194***</v>
      </c>
    </row>
    <row r="33" spans="1:6" x14ac:dyDescent="0.3">
      <c r="A33" s="2" t="str">
        <f>'table-s5a-raw'!A32</f>
        <v/>
      </c>
      <c r="B33" s="2" t="str">
        <f>'table-s5a-raw'!B32</f>
        <v>(0.009)</v>
      </c>
      <c r="C33" s="2" t="str">
        <f>'table-s5a-raw'!C32</f>
        <v>(0.011)</v>
      </c>
      <c r="D33" s="2" t="str">
        <f>'table-s5a-raw'!D32</f>
        <v>(0.015)</v>
      </c>
      <c r="E33" s="2" t="str">
        <f>'table-s5a-raw'!E32</f>
        <v>(0.027)</v>
      </c>
      <c r="F33" s="2" t="str">
        <f>'table-s5a-raw'!F32</f>
        <v>(0.009)</v>
      </c>
    </row>
    <row r="34" spans="1:6" ht="3" customHeight="1" x14ac:dyDescent="0.3"/>
    <row r="35" spans="1:6" x14ac:dyDescent="0.3">
      <c r="A35" s="31" t="s">
        <v>36</v>
      </c>
      <c r="B35" s="31"/>
      <c r="C35" s="31"/>
      <c r="D35" s="31"/>
      <c r="E35" s="31"/>
      <c r="F35" s="31"/>
    </row>
    <row r="36" spans="1:6" x14ac:dyDescent="0.3">
      <c r="A36" s="1" t="str">
        <f>'table-s6b-raw'!A2</f>
        <v/>
      </c>
      <c r="B36" s="1" t="str">
        <f>'table-s6b-raw'!B2</f>
        <v>(1)</v>
      </c>
      <c r="C36" s="1" t="str">
        <f>'table-s6b-raw'!C2</f>
        <v>(2)</v>
      </c>
      <c r="D36" s="1" t="str">
        <f>'table-s6b-raw'!D2</f>
        <v>(3)</v>
      </c>
      <c r="E36" s="1" t="str">
        <f>'table-s6b-raw'!E2</f>
        <v>(4)</v>
      </c>
      <c r="F36" s="1" t="str">
        <f>'table-s6b-raw'!F2</f>
        <v>(5)</v>
      </c>
    </row>
    <row r="37" spans="1:6" x14ac:dyDescent="0.3">
      <c r="A37" s="1" t="str">
        <f>'table-s6b-raw'!A3</f>
        <v>GTC Test (Own)</v>
      </c>
      <c r="B37" s="1" t="str">
        <f>'table-s6b-raw'!B3</f>
        <v>0.144***</v>
      </c>
      <c r="C37" s="1" t="str">
        <f>'table-s6b-raw'!C3</f>
        <v/>
      </c>
      <c r="D37" s="1" t="str">
        <f>'table-s6b-raw'!D3</f>
        <v/>
      </c>
      <c r="E37" s="1" t="str">
        <f>'table-s6b-raw'!E3</f>
        <v/>
      </c>
      <c r="F37" s="1" t="str">
        <f>'table-s6b-raw'!F3</f>
        <v/>
      </c>
    </row>
    <row r="38" spans="1:6" x14ac:dyDescent="0.3">
      <c r="A38" s="1" t="str">
        <f>'table-s6b-raw'!A4</f>
        <v/>
      </c>
      <c r="B38" s="1" t="str">
        <f>'table-s6b-raw'!B4</f>
        <v>(0.013)</v>
      </c>
      <c r="C38" s="1" t="str">
        <f>'table-s6b-raw'!C4</f>
        <v/>
      </c>
      <c r="D38" s="1" t="str">
        <f>'table-s6b-raw'!D4</f>
        <v/>
      </c>
      <c r="E38" s="1" t="str">
        <f>'table-s6b-raw'!E4</f>
        <v/>
      </c>
      <c r="F38" s="1" t="str">
        <f>'table-s6b-raw'!F4</f>
        <v/>
      </c>
    </row>
    <row r="39" spans="1:6" x14ac:dyDescent="0.3">
      <c r="A39" s="1" t="str">
        <f>'table-s6b-raw'!A5</f>
        <v>GTC Test (0.5 miles)</v>
      </c>
      <c r="B39" s="1" t="str">
        <f>'table-s6b-raw'!B5</f>
        <v/>
      </c>
      <c r="C39" s="1" t="str">
        <f>'table-s6b-raw'!C5</f>
        <v>0.074***</v>
      </c>
      <c r="D39" s="1" t="str">
        <f>'table-s6b-raw'!D5</f>
        <v/>
      </c>
      <c r="E39" s="1" t="str">
        <f>'table-s6b-raw'!E5</f>
        <v/>
      </c>
      <c r="F39" s="1" t="str">
        <f>'table-s6b-raw'!F5</f>
        <v/>
      </c>
    </row>
    <row r="40" spans="1:6" x14ac:dyDescent="0.3">
      <c r="A40" s="1" t="str">
        <f>'table-s6b-raw'!A6</f>
        <v/>
      </c>
      <c r="B40" s="1" t="str">
        <f>'table-s6b-raw'!B6</f>
        <v/>
      </c>
      <c r="C40" s="1" t="str">
        <f>'table-s6b-raw'!C6</f>
        <v>(0.015)</v>
      </c>
      <c r="D40" s="1" t="str">
        <f>'table-s6b-raw'!D6</f>
        <v/>
      </c>
      <c r="E40" s="1" t="str">
        <f>'table-s6b-raw'!E6</f>
        <v/>
      </c>
      <c r="F40" s="1" t="str">
        <f>'table-s6b-raw'!F6</f>
        <v/>
      </c>
    </row>
    <row r="41" spans="1:6" x14ac:dyDescent="0.3">
      <c r="A41" s="1" t="str">
        <f>'table-s6b-raw'!A7</f>
        <v>GTC Test (&lt;1 mile)</v>
      </c>
      <c r="B41" s="1" t="str">
        <f>'table-s6b-raw'!B7</f>
        <v/>
      </c>
      <c r="C41" s="1" t="str">
        <f>'table-s6b-raw'!C7</f>
        <v/>
      </c>
      <c r="D41" s="1" t="str">
        <f>'table-s6b-raw'!D7</f>
        <v>0.055**</v>
      </c>
      <c r="E41" s="1" t="str">
        <f>'table-s6b-raw'!E7</f>
        <v/>
      </c>
      <c r="F41" s="1" t="str">
        <f>'table-s6b-raw'!F7</f>
        <v/>
      </c>
    </row>
    <row r="42" spans="1:6" x14ac:dyDescent="0.3">
      <c r="A42" s="1" t="str">
        <f>'table-s6b-raw'!A8</f>
        <v/>
      </c>
      <c r="B42" s="1" t="str">
        <f>'table-s6b-raw'!B8</f>
        <v/>
      </c>
      <c r="C42" s="1" t="str">
        <f>'table-s6b-raw'!C8</f>
        <v/>
      </c>
      <c r="D42" s="1" t="str">
        <f>'table-s6b-raw'!D8</f>
        <v>(0.025)</v>
      </c>
      <c r="E42" s="1" t="str">
        <f>'table-s6b-raw'!E8</f>
        <v/>
      </c>
      <c r="F42" s="1" t="str">
        <f>'table-s6b-raw'!F8</f>
        <v/>
      </c>
    </row>
    <row r="43" spans="1:6" x14ac:dyDescent="0.3">
      <c r="A43" s="1" t="str">
        <f>'table-s6b-raw'!A9</f>
        <v>GTC Test (&lt;2 miles)</v>
      </c>
      <c r="B43" s="1" t="str">
        <f>'table-s6b-raw'!B9</f>
        <v/>
      </c>
      <c r="C43" s="1" t="str">
        <f>'table-s6b-raw'!C9</f>
        <v/>
      </c>
      <c r="D43" s="1" t="str">
        <f>'table-s6b-raw'!D9</f>
        <v/>
      </c>
      <c r="E43" s="1" t="str">
        <f>'table-s6b-raw'!E9</f>
        <v>0.005</v>
      </c>
      <c r="F43" s="1" t="str">
        <f>'table-s6b-raw'!F9</f>
        <v/>
      </c>
    </row>
    <row r="44" spans="1:6" x14ac:dyDescent="0.3">
      <c r="A44" s="1" t="str">
        <f>'table-s6b-raw'!A10</f>
        <v/>
      </c>
      <c r="B44" s="1" t="str">
        <f>'table-s6b-raw'!B10</f>
        <v/>
      </c>
      <c r="C44" s="1" t="str">
        <f>'table-s6b-raw'!C10</f>
        <v/>
      </c>
      <c r="D44" s="1" t="str">
        <f>'table-s6b-raw'!D10</f>
        <v/>
      </c>
      <c r="E44" s="1" t="str">
        <f>'table-s6b-raw'!E10</f>
        <v>(0.070)</v>
      </c>
      <c r="F44" s="1" t="str">
        <f>'table-s6b-raw'!F10</f>
        <v/>
      </c>
    </row>
    <row r="45" spans="1:6" x14ac:dyDescent="0.3">
      <c r="A45" s="1" t="str">
        <f>'table-s6b-raw'!A11</f>
        <v>Mailed Test Strip (Treated)</v>
      </c>
      <c r="B45" s="1" t="str">
        <f>'table-s6b-raw'!B11</f>
        <v>0.021*</v>
      </c>
      <c r="C45" s="1" t="str">
        <f>'table-s6b-raw'!C11</f>
        <v>0.047**</v>
      </c>
      <c r="D45" s="1" t="str">
        <f>'table-s6b-raw'!D11</f>
        <v>0.039</v>
      </c>
      <c r="E45" s="1" t="str">
        <f>'table-s6b-raw'!E11</f>
        <v>-0.040</v>
      </c>
      <c r="F45" s="1" t="str">
        <f>'table-s6b-raw'!F11</f>
        <v>0.030***</v>
      </c>
    </row>
    <row r="46" spans="1:6" x14ac:dyDescent="0.3">
      <c r="A46" s="1" t="str">
        <f>'table-s6b-raw'!A12</f>
        <v/>
      </c>
      <c r="B46" s="1" t="str">
        <f>'table-s6b-raw'!B12</f>
        <v>(0.012)</v>
      </c>
      <c r="C46" s="1" t="str">
        <f>'table-s6b-raw'!C12</f>
        <v>(0.019)</v>
      </c>
      <c r="D46" s="1" t="str">
        <f>'table-s6b-raw'!D12</f>
        <v>(0.035)</v>
      </c>
      <c r="E46" s="1" t="str">
        <f>'table-s6b-raw'!E12</f>
        <v>(0.102)</v>
      </c>
      <c r="F46" s="1" t="str">
        <f>'table-s6b-raw'!F12</f>
        <v>(0.010)</v>
      </c>
    </row>
    <row r="47" spans="1:6" x14ac:dyDescent="0.3">
      <c r="A47" s="1" t="str">
        <f>'table-s6b-raw'!A13</f>
        <v>GTC Test (Own) + Treated</v>
      </c>
      <c r="B47" s="1" t="str">
        <f>'table-s6b-raw'!B13</f>
        <v>0.031</v>
      </c>
      <c r="C47" s="1" t="str">
        <f>'table-s6b-raw'!C13</f>
        <v/>
      </c>
      <c r="D47" s="1" t="str">
        <f>'table-s6b-raw'!D13</f>
        <v/>
      </c>
      <c r="E47" s="1" t="str">
        <f>'table-s6b-raw'!E13</f>
        <v/>
      </c>
      <c r="F47" s="1" t="str">
        <f>'table-s6b-raw'!F13</f>
        <v/>
      </c>
    </row>
    <row r="48" spans="1:6" x14ac:dyDescent="0.3">
      <c r="A48" s="1" t="str">
        <f>'table-s6b-raw'!A14</f>
        <v/>
      </c>
      <c r="B48" s="1" t="str">
        <f>'table-s6b-raw'!B14</f>
        <v>(0.020)</v>
      </c>
      <c r="C48" s="1" t="str">
        <f>'table-s6b-raw'!C14</f>
        <v/>
      </c>
      <c r="D48" s="1" t="str">
        <f>'table-s6b-raw'!D14</f>
        <v/>
      </c>
      <c r="E48" s="1" t="str">
        <f>'table-s6b-raw'!E14</f>
        <v/>
      </c>
      <c r="F48" s="1" t="str">
        <f>'table-s6b-raw'!F14</f>
        <v/>
      </c>
    </row>
    <row r="49" spans="1:6" x14ac:dyDescent="0.3">
      <c r="A49" s="1" t="str">
        <f>'table-s6b-raw'!A15</f>
        <v>GTC Test (0.5 miles) + Treated</v>
      </c>
      <c r="B49" s="1" t="str">
        <f>'table-s6b-raw'!B15</f>
        <v/>
      </c>
      <c r="C49" s="1" t="str">
        <f>'table-s6b-raw'!C15</f>
        <v>-0.025</v>
      </c>
      <c r="D49" s="1" t="str">
        <f>'table-s6b-raw'!D15</f>
        <v/>
      </c>
      <c r="E49" s="1" t="str">
        <f>'table-s6b-raw'!E15</f>
        <v/>
      </c>
      <c r="F49" s="1" t="str">
        <f>'table-s6b-raw'!F15</f>
        <v/>
      </c>
    </row>
    <row r="50" spans="1:6" x14ac:dyDescent="0.3">
      <c r="A50" s="1" t="str">
        <f>'table-s6b-raw'!A16</f>
        <v/>
      </c>
      <c r="B50" s="1" t="str">
        <f>'table-s6b-raw'!B16</f>
        <v/>
      </c>
      <c r="C50" s="1" t="str">
        <f>'table-s6b-raw'!C16</f>
        <v>(0.022)</v>
      </c>
      <c r="D50" s="1" t="str">
        <f>'table-s6b-raw'!D16</f>
        <v/>
      </c>
      <c r="E50" s="1" t="str">
        <f>'table-s6b-raw'!E16</f>
        <v/>
      </c>
      <c r="F50" s="1" t="str">
        <f>'table-s6b-raw'!F16</f>
        <v/>
      </c>
    </row>
    <row r="51" spans="1:6" x14ac:dyDescent="0.3">
      <c r="A51" s="1" t="str">
        <f>'table-s6b-raw'!A17</f>
        <v>GTC Test (&lt;1 mile) + Treated</v>
      </c>
      <c r="B51" s="1" t="str">
        <f>'table-s6b-raw'!B17</f>
        <v/>
      </c>
      <c r="C51" s="1" t="str">
        <f>'table-s6b-raw'!C17</f>
        <v/>
      </c>
      <c r="D51" s="1" t="str">
        <f>'table-s6b-raw'!D17</f>
        <v>-0.009</v>
      </c>
      <c r="E51" s="1" t="str">
        <f>'table-s6b-raw'!E17</f>
        <v/>
      </c>
      <c r="F51" s="1" t="str">
        <f>'table-s6b-raw'!F17</f>
        <v/>
      </c>
    </row>
    <row r="52" spans="1:6" x14ac:dyDescent="0.3">
      <c r="A52" s="1" t="str">
        <f>'table-s6b-raw'!A18</f>
        <v/>
      </c>
      <c r="B52" s="1" t="str">
        <f>'table-s6b-raw'!B18</f>
        <v/>
      </c>
      <c r="C52" s="1" t="str">
        <f>'table-s6b-raw'!C18</f>
        <v/>
      </c>
      <c r="D52" s="1" t="str">
        <f>'table-s6b-raw'!D18</f>
        <v>(0.036)</v>
      </c>
      <c r="E52" s="1" t="str">
        <f>'table-s6b-raw'!E18</f>
        <v/>
      </c>
      <c r="F52" s="1" t="str">
        <f>'table-s6b-raw'!F18</f>
        <v/>
      </c>
    </row>
    <row r="53" spans="1:6" x14ac:dyDescent="0.3">
      <c r="A53" s="1" t="str">
        <f>'table-s6b-raw'!A19</f>
        <v>GTC Test (&lt;2 miles) + Treated</v>
      </c>
      <c r="B53" s="1" t="str">
        <f>'table-s6b-raw'!B19</f>
        <v/>
      </c>
      <c r="C53" s="1" t="str">
        <f>'table-s6b-raw'!C19</f>
        <v/>
      </c>
      <c r="D53" s="1" t="str">
        <f>'table-s6b-raw'!D19</f>
        <v/>
      </c>
      <c r="E53" s="1" t="str">
        <f>'table-s6b-raw'!E19</f>
        <v>0.072</v>
      </c>
      <c r="F53" s="1" t="str">
        <f>'table-s6b-raw'!F19</f>
        <v/>
      </c>
    </row>
    <row r="54" spans="1:6" x14ac:dyDescent="0.3">
      <c r="A54" s="1" t="str">
        <f>'table-s6b-raw'!A20</f>
        <v/>
      </c>
      <c r="B54" s="1" t="str">
        <f>'table-s6b-raw'!B20</f>
        <v/>
      </c>
      <c r="C54" s="1" t="str">
        <f>'table-s6b-raw'!C20</f>
        <v/>
      </c>
      <c r="D54" s="1" t="str">
        <f>'table-s6b-raw'!D20</f>
        <v/>
      </c>
      <c r="E54" s="1" t="str">
        <f>'table-s6b-raw'!E20</f>
        <v>(0.103)</v>
      </c>
      <c r="F54" s="1" t="str">
        <f>'table-s6b-raw'!F20</f>
        <v/>
      </c>
    </row>
    <row r="55" spans="1:6" x14ac:dyDescent="0.3">
      <c r="A55" s="1" t="str">
        <f>'table-s6b-raw'!A21</f>
        <v>GTC Test (Own) + Treated + Hi Test</v>
      </c>
      <c r="B55" s="1" t="str">
        <f>'table-s6b-raw'!B21</f>
        <v>-0.016</v>
      </c>
      <c r="C55" s="1" t="str">
        <f>'table-s6b-raw'!C21</f>
        <v/>
      </c>
      <c r="D55" s="1" t="str">
        <f>'table-s6b-raw'!D21</f>
        <v/>
      </c>
      <c r="E55" s="1" t="str">
        <f>'table-s6b-raw'!E21</f>
        <v/>
      </c>
      <c r="F55" s="1" t="str">
        <f>'table-s6b-raw'!F21</f>
        <v/>
      </c>
    </row>
    <row r="56" spans="1:6" x14ac:dyDescent="0.3">
      <c r="A56" s="1" t="str">
        <f>'table-s6b-raw'!A22</f>
        <v/>
      </c>
      <c r="B56" s="1" t="str">
        <f>'table-s6b-raw'!B22</f>
        <v>(0.029)</v>
      </c>
      <c r="C56" s="1" t="str">
        <f>'table-s6b-raw'!C22</f>
        <v/>
      </c>
      <c r="D56" s="1" t="str">
        <f>'table-s6b-raw'!D22</f>
        <v/>
      </c>
      <c r="E56" s="1" t="str">
        <f>'table-s6b-raw'!E22</f>
        <v/>
      </c>
      <c r="F56" s="1" t="str">
        <f>'table-s6b-raw'!F22</f>
        <v/>
      </c>
    </row>
    <row r="57" spans="1:6" x14ac:dyDescent="0.3">
      <c r="A57" s="1" t="str">
        <f>'table-s6b-raw'!A23</f>
        <v>GTC Test (0.5 miles) + Treated + Hi Test</v>
      </c>
      <c r="B57" s="1" t="str">
        <f>'table-s6b-raw'!B23</f>
        <v/>
      </c>
      <c r="C57" s="1" t="str">
        <f>'table-s6b-raw'!C23</f>
        <v>0.012</v>
      </c>
      <c r="D57" s="1" t="str">
        <f>'table-s6b-raw'!D23</f>
        <v/>
      </c>
      <c r="E57" s="1" t="str">
        <f>'table-s6b-raw'!E23</f>
        <v/>
      </c>
      <c r="F57" s="1" t="str">
        <f>'table-s6b-raw'!F23</f>
        <v/>
      </c>
    </row>
    <row r="58" spans="1:6" x14ac:dyDescent="0.3">
      <c r="A58" s="1" t="str">
        <f>'table-s6b-raw'!A24</f>
        <v/>
      </c>
      <c r="B58" s="1" t="str">
        <f>'table-s6b-raw'!B24</f>
        <v/>
      </c>
      <c r="C58" s="1" t="str">
        <f>'table-s6b-raw'!C24</f>
        <v>(0.023)</v>
      </c>
      <c r="D58" s="1" t="str">
        <f>'table-s6b-raw'!D24</f>
        <v/>
      </c>
      <c r="E58" s="1" t="str">
        <f>'table-s6b-raw'!E24</f>
        <v/>
      </c>
      <c r="F58" s="1" t="str">
        <f>'table-s6b-raw'!F24</f>
        <v/>
      </c>
    </row>
    <row r="59" spans="1:6" x14ac:dyDescent="0.3">
      <c r="A59" s="1" t="str">
        <f>'table-s6b-raw'!A25</f>
        <v>GTC Test (&lt;1 mile) + Treated + Hi Test</v>
      </c>
      <c r="B59" s="1" t="str">
        <f>'table-s6b-raw'!B25</f>
        <v/>
      </c>
      <c r="C59" s="1" t="str">
        <f>'table-s6b-raw'!C25</f>
        <v/>
      </c>
      <c r="D59" s="1" t="str">
        <f>'table-s6b-raw'!D25</f>
        <v>0.001</v>
      </c>
      <c r="E59" s="1" t="str">
        <f>'table-s6b-raw'!E25</f>
        <v/>
      </c>
      <c r="F59" s="1" t="str">
        <f>'table-s6b-raw'!F25</f>
        <v/>
      </c>
    </row>
    <row r="60" spans="1:6" x14ac:dyDescent="0.3">
      <c r="A60" s="1" t="str">
        <f>'table-s6b-raw'!A26</f>
        <v/>
      </c>
      <c r="B60" s="1" t="str">
        <f>'table-s6b-raw'!B26</f>
        <v/>
      </c>
      <c r="C60" s="1" t="str">
        <f>'table-s6b-raw'!C26</f>
        <v/>
      </c>
      <c r="D60" s="1" t="str">
        <f>'table-s6b-raw'!D26</f>
        <v>(0.022)</v>
      </c>
      <c r="E60" s="1" t="str">
        <f>'table-s6b-raw'!E26</f>
        <v/>
      </c>
      <c r="F60" s="1" t="str">
        <f>'table-s6b-raw'!F26</f>
        <v/>
      </c>
    </row>
    <row r="61" spans="1:6" x14ac:dyDescent="0.3">
      <c r="A61" s="1" t="str">
        <f>'table-s6b-raw'!A27</f>
        <v>GTC Test (&lt;2 miles) + Treated + Hi Test</v>
      </c>
      <c r="B61" s="1" t="str">
        <f>'table-s6b-raw'!B27</f>
        <v/>
      </c>
      <c r="C61" s="1" t="str">
        <f>'table-s6b-raw'!C27</f>
        <v/>
      </c>
      <c r="D61" s="1" t="str">
        <f>'table-s6b-raw'!D27</f>
        <v/>
      </c>
      <c r="E61" s="1" t="str">
        <f>'table-s6b-raw'!E27</f>
        <v>-0.014</v>
      </c>
      <c r="F61" s="1" t="str">
        <f>'table-s6b-raw'!F27</f>
        <v/>
      </c>
    </row>
    <row r="62" spans="1:6" x14ac:dyDescent="0.3">
      <c r="A62" s="1" t="str">
        <f>'table-s6b-raw'!A28</f>
        <v/>
      </c>
      <c r="B62" s="1" t="str">
        <f>'table-s6b-raw'!B28</f>
        <v/>
      </c>
      <c r="C62" s="1" t="str">
        <f>'table-s6b-raw'!C28</f>
        <v/>
      </c>
      <c r="D62" s="1" t="str">
        <f>'table-s6b-raw'!D28</f>
        <v/>
      </c>
      <c r="E62" s="1" t="str">
        <f>'table-s6b-raw'!E28</f>
        <v>(0.024)</v>
      </c>
      <c r="F62" s="1" t="str">
        <f>'table-s6b-raw'!F28</f>
        <v/>
      </c>
    </row>
    <row r="63" spans="1:6" x14ac:dyDescent="0.3">
      <c r="A63" s="1" t="str">
        <f>'table-s6b-raw'!A29</f>
        <v>GTC Test (&lt;5 miles) + Treated + Hi Test</v>
      </c>
      <c r="B63" s="1" t="str">
        <f>'table-s6b-raw'!B29</f>
        <v/>
      </c>
      <c r="C63" s="1" t="str">
        <f>'table-s6b-raw'!C29</f>
        <v/>
      </c>
      <c r="D63" s="1" t="str">
        <f>'table-s6b-raw'!D29</f>
        <v/>
      </c>
      <c r="E63" s="1" t="str">
        <f>'table-s6b-raw'!E29</f>
        <v/>
      </c>
      <c r="F63" s="1" t="str">
        <f>'table-s6b-raw'!F29</f>
        <v>0.011</v>
      </c>
    </row>
    <row r="64" spans="1:6" x14ac:dyDescent="0.3">
      <c r="A64" s="1" t="str">
        <f>'table-s6b-raw'!A30</f>
        <v/>
      </c>
      <c r="B64" s="1" t="str">
        <f>'table-s6b-raw'!B30</f>
        <v/>
      </c>
      <c r="C64" s="1" t="str">
        <f>'table-s6b-raw'!C30</f>
        <v/>
      </c>
      <c r="D64" s="1" t="str">
        <f>'table-s6b-raw'!D30</f>
        <v/>
      </c>
      <c r="E64" s="1" t="str">
        <f>'table-s6b-raw'!E30</f>
        <v/>
      </c>
      <c r="F64" s="1" t="str">
        <f>'table-s6b-raw'!F30</f>
        <v>(0.032)</v>
      </c>
    </row>
    <row r="65" spans="1:6" x14ac:dyDescent="0.3">
      <c r="A65" s="1" t="str">
        <f>'table-s6b-raw'!A31</f>
        <v>Constant</v>
      </c>
      <c r="B65" s="1" t="str">
        <f>'table-s6b-raw'!B31</f>
        <v>0.045***</v>
      </c>
      <c r="C65" s="1" t="str">
        <f>'table-s6b-raw'!C31</f>
        <v>0.045***</v>
      </c>
      <c r="D65" s="1" t="str">
        <f>'table-s6b-raw'!D31</f>
        <v>0.049**</v>
      </c>
      <c r="E65" s="1" t="str">
        <f>'table-s6b-raw'!E31</f>
        <v>0.095</v>
      </c>
      <c r="F65" s="1" t="str">
        <f>'table-s6b-raw'!F31</f>
        <v>0.100***</v>
      </c>
    </row>
    <row r="66" spans="1:6" x14ac:dyDescent="0.3">
      <c r="A66" s="1" t="str">
        <f>'table-s6b-raw'!A32</f>
        <v/>
      </c>
      <c r="B66" s="1" t="str">
        <f>'table-s6b-raw'!B32</f>
        <v>(0.008)</v>
      </c>
      <c r="C66" s="1" t="str">
        <f>'table-s6b-raw'!C32</f>
        <v>(0.013)</v>
      </c>
      <c r="D66" s="1" t="str">
        <f>'table-s6b-raw'!D32</f>
        <v>(0.024)</v>
      </c>
      <c r="E66" s="1" t="str">
        <f>'table-s6b-raw'!E32</f>
        <v>(0.069)</v>
      </c>
      <c r="F66" s="1" t="str">
        <f>'table-s6b-raw'!F32</f>
        <v>(0.007)</v>
      </c>
    </row>
    <row r="67" spans="1:6" ht="16.2" thickBot="1" x14ac:dyDescent="0.35">
      <c r="A67" s="13" t="str">
        <f>'table-s6b-raw'!A33</f>
        <v>Observations</v>
      </c>
      <c r="B67" s="13" t="str">
        <f>'table-s6b-raw'!B33</f>
        <v>4541</v>
      </c>
      <c r="C67" s="13" t="str">
        <f>'table-s6b-raw'!C33</f>
        <v>4541</v>
      </c>
      <c r="D67" s="13" t="str">
        <f>'table-s6b-raw'!D33</f>
        <v>4541</v>
      </c>
      <c r="E67" s="13" t="str">
        <f>'table-s6b-raw'!E33</f>
        <v>4541</v>
      </c>
      <c r="F67" s="13" t="str">
        <f>'table-s6b-raw'!F33</f>
        <v>4541</v>
      </c>
    </row>
    <row r="68" spans="1:6" ht="4.8" customHeight="1" thickTop="1" x14ac:dyDescent="0.3"/>
  </sheetData>
  <mergeCells count="2">
    <mergeCell ref="A2:F2"/>
    <mergeCell ref="A35:F3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F9407-403B-4889-82B0-DF857C8B230E}">
  <dimension ref="A1:G10"/>
  <sheetViews>
    <sheetView showGridLines="0" tabSelected="1" workbookViewId="0">
      <selection activeCell="I25" sqref="I25"/>
    </sheetView>
  </sheetViews>
  <sheetFormatPr defaultRowHeight="14.4" x14ac:dyDescent="0.3"/>
  <cols>
    <col min="1" max="1" width="22.21875" bestFit="1" customWidth="1"/>
    <col min="2" max="3" width="9.109375" bestFit="1" customWidth="1"/>
    <col min="4" max="4" width="9.5546875" bestFit="1" customWidth="1"/>
    <col min="5" max="5" width="13.109375" bestFit="1" customWidth="1"/>
    <col min="6" max="6" width="9.109375" bestFit="1" customWidth="1"/>
    <col min="7" max="7" width="9.109375" customWidth="1"/>
  </cols>
  <sheetData>
    <row r="1" spans="1:7" ht="4.95" customHeight="1" x14ac:dyDescent="0.3">
      <c r="A1" s="5"/>
      <c r="B1" s="5"/>
      <c r="C1" s="5"/>
      <c r="D1" s="5"/>
      <c r="E1" s="5"/>
      <c r="F1" s="5"/>
      <c r="G1" s="5"/>
    </row>
    <row r="2" spans="1:7" ht="15.6" x14ac:dyDescent="0.3">
      <c r="A2" s="1" t="str">
        <f>'table-s7-raw'!A2</f>
        <v/>
      </c>
      <c r="B2" s="10" t="str">
        <f>'table-s7-raw'!B2</f>
        <v>(1)</v>
      </c>
      <c r="C2" s="10" t="str">
        <f>'table-s7-raw'!C2</f>
        <v>(2)</v>
      </c>
      <c r="D2" s="10" t="str">
        <f>'table-s7-raw'!D2</f>
        <v>(3)</v>
      </c>
      <c r="E2" s="10" t="str">
        <f>'table-s7-raw'!E2</f>
        <v>(4)</v>
      </c>
      <c r="F2" s="10" t="str">
        <f>'table-s7-raw'!F2</f>
        <v>(5)</v>
      </c>
      <c r="G2" s="10" t="str">
        <f>'table-s7-raw'!G2</f>
        <v>(6)</v>
      </c>
    </row>
    <row r="3" spans="1:7" ht="15.6" x14ac:dyDescent="0.3">
      <c r="A3" s="1"/>
      <c r="B3" s="1" t="s">
        <v>40</v>
      </c>
      <c r="C3" s="1" t="s">
        <v>41</v>
      </c>
      <c r="D3" s="1" t="s">
        <v>42</v>
      </c>
      <c r="E3" s="1" t="s">
        <v>43</v>
      </c>
      <c r="F3" s="1" t="s">
        <v>44</v>
      </c>
      <c r="G3" s="1" t="s">
        <v>45</v>
      </c>
    </row>
    <row r="4" spans="1:7" ht="15.6" x14ac:dyDescent="0.3">
      <c r="A4" s="1" t="str">
        <f>'table-s7-raw'!A3</f>
        <v>Mailed Test Strip</v>
      </c>
      <c r="B4" s="10" t="str">
        <f>'table-s7-raw'!B3</f>
        <v>0.222***</v>
      </c>
      <c r="C4" s="10" t="str">
        <f>'table-s7-raw'!C3</f>
        <v>0.021**</v>
      </c>
      <c r="D4" s="10" t="str">
        <f>'table-s7-raw'!D3</f>
        <v>0.003</v>
      </c>
      <c r="E4" s="10" t="str">
        <f>'table-s7-raw'!E3</f>
        <v>0.009</v>
      </c>
      <c r="F4" s="10" t="str">
        <f>'table-s7-raw'!F3</f>
        <v>0.044***</v>
      </c>
      <c r="G4" s="10" t="str">
        <f>'table-s7-raw'!G3</f>
        <v>-0.000</v>
      </c>
    </row>
    <row r="5" spans="1:7" ht="15.6" x14ac:dyDescent="0.3">
      <c r="A5" s="1" t="str">
        <f>'table-s7-raw'!A4</f>
        <v/>
      </c>
      <c r="B5" s="10" t="str">
        <f>'table-s7-raw'!B4</f>
        <v>(0.013)</v>
      </c>
      <c r="C5" s="10" t="str">
        <f>'table-s7-raw'!C4</f>
        <v>(0.011)</v>
      </c>
      <c r="D5" s="10" t="str">
        <f>'table-s7-raw'!D4</f>
        <v>(0.007)</v>
      </c>
      <c r="E5" s="10" t="str">
        <f>'table-s7-raw'!E4</f>
        <v>(0.008)</v>
      </c>
      <c r="F5" s="10" t="str">
        <f>'table-s7-raw'!F4</f>
        <v>(0.009)</v>
      </c>
      <c r="G5" s="10" t="str">
        <f>'table-s7-raw'!G4</f>
        <v>(0.002)</v>
      </c>
    </row>
    <row r="6" spans="1:7" ht="15.6" x14ac:dyDescent="0.3">
      <c r="A6" s="1" t="str">
        <f>'table-s7-raw'!A5</f>
        <v>Constant</v>
      </c>
      <c r="B6" s="10" t="str">
        <f>'table-s7-raw'!B5</f>
        <v>0.149***</v>
      </c>
      <c r="C6" s="10" t="str">
        <f>'table-s7-raw'!C5</f>
        <v>0.140***</v>
      </c>
      <c r="D6" s="10" t="str">
        <f>'table-s7-raw'!D5</f>
        <v>0.058***</v>
      </c>
      <c r="E6" s="10" t="str">
        <f>'table-s7-raw'!E5</f>
        <v>0.082***</v>
      </c>
      <c r="F6" s="10" t="str">
        <f>'table-s7-raw'!F5</f>
        <v>0.070***</v>
      </c>
      <c r="G6" s="10" t="str">
        <f>'table-s7-raw'!G5</f>
        <v>0.007***</v>
      </c>
    </row>
    <row r="7" spans="1:7" ht="15.6" x14ac:dyDescent="0.3">
      <c r="A7" s="2" t="str">
        <f>'table-s7-raw'!A6</f>
        <v/>
      </c>
      <c r="B7" s="11" t="str">
        <f>'table-s7-raw'!B6</f>
        <v>(0.009)</v>
      </c>
      <c r="C7" s="11" t="str">
        <f>'table-s7-raw'!C6</f>
        <v>(0.007)</v>
      </c>
      <c r="D7" s="11" t="str">
        <f>'table-s7-raw'!D6</f>
        <v>(0.005)</v>
      </c>
      <c r="E7" s="11" t="str">
        <f>'table-s7-raw'!E6</f>
        <v>(0.006)</v>
      </c>
      <c r="F7" s="11" t="str">
        <f>'table-s7-raw'!F6</f>
        <v>(0.006)</v>
      </c>
      <c r="G7" s="11" t="str">
        <f>'table-s7-raw'!G6</f>
        <v>(0.002)</v>
      </c>
    </row>
    <row r="8" spans="1:7" ht="15.6" x14ac:dyDescent="0.3">
      <c r="A8" s="1" t="str">
        <f>'table-s7-raw'!A8</f>
        <v>MHT Corrected p-value</v>
      </c>
      <c r="B8" s="10" t="str">
        <f>'table-s7-raw'!B8</f>
        <v>0.0003</v>
      </c>
      <c r="C8" s="10" t="str">
        <f>'table-s7-raw'!C8</f>
        <v>0.1617</v>
      </c>
      <c r="D8" s="10" t="str">
        <f>'table-s7-raw'!D8</f>
        <v>0.8810</v>
      </c>
      <c r="E8" s="10" t="str">
        <f>'table-s7-raw'!E8</f>
        <v>0.5303</v>
      </c>
      <c r="F8" s="10" t="str">
        <f>'table-s7-raw'!F8</f>
        <v>0.0003</v>
      </c>
      <c r="G8" s="10" t="str">
        <f>'table-s7-raw'!G8</f>
        <v>0.9210</v>
      </c>
    </row>
    <row r="9" spans="1:7" ht="16.2" thickBot="1" x14ac:dyDescent="0.35">
      <c r="A9" s="7" t="str">
        <f>'table-s7-raw'!A7</f>
        <v>Observations</v>
      </c>
      <c r="B9" s="12" t="str">
        <f>'table-s7-raw'!B7</f>
        <v>4541</v>
      </c>
      <c r="C9" s="12" t="str">
        <f>'table-s7-raw'!C7</f>
        <v>4541</v>
      </c>
      <c r="D9" s="12" t="str">
        <f>'table-s7-raw'!D7</f>
        <v>4541</v>
      </c>
      <c r="E9" s="12" t="str">
        <f>'table-s7-raw'!E7</f>
        <v>4541</v>
      </c>
      <c r="F9" s="12" t="str">
        <f>'table-s7-raw'!F7</f>
        <v>4541</v>
      </c>
      <c r="G9" s="12" t="str">
        <f>'table-s7-raw'!G7</f>
        <v>4541</v>
      </c>
    </row>
    <row r="10" spans="1:7" ht="15" thickTop="1" x14ac:dyDescent="0.3"/>
  </sheetData>
  <pageMargins left="0.7" right="0.7" top="0.75" bottom="0.75" header="0.3" footer="0.3"/>
  <pageSetup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FFD3A-209F-4644-A570-B17E52D9D193}">
  <dimension ref="A1:F61"/>
  <sheetViews>
    <sheetView showGridLines="0" workbookViewId="0">
      <selection activeCell="G31" sqref="G31"/>
    </sheetView>
  </sheetViews>
  <sheetFormatPr defaultRowHeight="14.4" x14ac:dyDescent="0.3"/>
  <cols>
    <col min="1" max="1" width="29.5546875" bestFit="1" customWidth="1"/>
  </cols>
  <sheetData>
    <row r="1" spans="1:6" ht="4.8" customHeight="1" x14ac:dyDescent="0.3">
      <c r="A1" s="2"/>
      <c r="B1" s="2"/>
      <c r="C1" s="2"/>
      <c r="D1" s="2"/>
      <c r="E1" s="2"/>
      <c r="F1" s="2"/>
    </row>
    <row r="2" spans="1:6" ht="15.6" x14ac:dyDescent="0.3">
      <c r="A2" s="10" t="str">
        <f>'table-s8-raw'!A2</f>
        <v/>
      </c>
      <c r="B2" s="10" t="str">
        <f>'table-s8-raw'!B2</f>
        <v>(1)</v>
      </c>
      <c r="C2" s="10" t="str">
        <f>'table-s8-raw'!C2</f>
        <v>(2)</v>
      </c>
      <c r="D2" s="10" t="str">
        <f>'table-s8-raw'!D2</f>
        <v>(3)</v>
      </c>
      <c r="E2" s="10" t="str">
        <f>'table-s8-raw'!E2</f>
        <v>(4)</v>
      </c>
      <c r="F2" s="10" t="str">
        <f>'table-s8-raw'!F2</f>
        <v>(5)</v>
      </c>
    </row>
    <row r="3" spans="1:6" ht="15.6" x14ac:dyDescent="0.3">
      <c r="A3" s="1" t="str">
        <f>'table-s8-raw'!A4</f>
        <v>Chose Strip</v>
      </c>
      <c r="B3" s="3" t="str">
        <f>'table-s8-raw'!B4</f>
        <v>1.047***</v>
      </c>
      <c r="C3" s="3" t="str">
        <f>'table-s8-raw'!C4</f>
        <v>1.603***</v>
      </c>
      <c r="D3" s="3" t="str">
        <f>'table-s8-raw'!D4</f>
        <v>2.605***</v>
      </c>
      <c r="E3" s="3" t="str">
        <f>'table-s8-raw'!E4</f>
        <v>1.560***</v>
      </c>
      <c r="F3" s="3" t="str">
        <f>'table-s8-raw'!F4</f>
        <v>1.919***</v>
      </c>
    </row>
    <row r="4" spans="1:6" ht="15.6" x14ac:dyDescent="0.3">
      <c r="A4" s="1" t="str">
        <f>'table-s8-raw'!A5</f>
        <v/>
      </c>
      <c r="B4" s="3" t="str">
        <f>'table-s8-raw'!B5</f>
        <v>(0.097)</v>
      </c>
      <c r="C4" s="3" t="str">
        <f>'table-s8-raw'!C5</f>
        <v>(0.143)</v>
      </c>
      <c r="D4" s="3" t="str">
        <f>'table-s8-raw'!D5</f>
        <v>(0.427)</v>
      </c>
      <c r="E4" s="3" t="str">
        <f>'table-s8-raw'!E5</f>
        <v>(0.320)</v>
      </c>
      <c r="F4" s="3" t="str">
        <f>'table-s8-raw'!F5</f>
        <v>(0.300)</v>
      </c>
    </row>
    <row r="5" spans="1:6" ht="15.6" x14ac:dyDescent="0.3">
      <c r="A5" s="1" t="str">
        <f>'table-s8-raw'!A6</f>
        <v>Bid</v>
      </c>
      <c r="B5" s="3" t="str">
        <f>'table-s8-raw'!B6</f>
        <v>0.050***</v>
      </c>
      <c r="C5" s="3" t="str">
        <f>'table-s8-raw'!C6</f>
        <v>0.096***</v>
      </c>
      <c r="D5" s="3" t="str">
        <f>'table-s8-raw'!D6</f>
        <v>0.105***</v>
      </c>
      <c r="E5" s="3" t="str">
        <f>'table-s8-raw'!E6</f>
        <v>0.101***</v>
      </c>
      <c r="F5" s="3" t="str">
        <f>'table-s8-raw'!F6</f>
        <v>0.096***</v>
      </c>
    </row>
    <row r="6" spans="1:6" ht="15.6" x14ac:dyDescent="0.3">
      <c r="A6" s="1" t="str">
        <f>'table-s8-raw'!A7</f>
        <v/>
      </c>
      <c r="B6" s="3" t="str">
        <f>'table-s8-raw'!B7</f>
        <v>(0.014)</v>
      </c>
      <c r="C6" s="3" t="str">
        <f>'table-s8-raw'!C7</f>
        <v>(0.017)</v>
      </c>
      <c r="D6" s="3" t="str">
        <f>'table-s8-raw'!D7</f>
        <v>(0.018)</v>
      </c>
      <c r="E6" s="3" t="str">
        <f>'table-s8-raw'!E7</f>
        <v>(0.017)</v>
      </c>
      <c r="F6" s="3" t="str">
        <f>'table-s8-raw'!F7</f>
        <v>(0.017)</v>
      </c>
    </row>
    <row r="7" spans="1:6" ht="15.6" x14ac:dyDescent="0.3">
      <c r="A7" s="1" t="str">
        <f>'table-s8-raw'!A9</f>
        <v>Mailed Test Strip</v>
      </c>
      <c r="B7" s="3" t="str">
        <f>'table-s8-raw'!B9</f>
        <v/>
      </c>
      <c r="C7" s="3" t="str">
        <f>'table-s8-raw'!C9</f>
        <v>-0.600***</v>
      </c>
      <c r="D7" s="3" t="str">
        <f>'table-s8-raw'!D9</f>
        <v>-0.639***</v>
      </c>
      <c r="E7" s="3" t="str">
        <f>'table-s8-raw'!E9</f>
        <v>-0.603***</v>
      </c>
      <c r="F7" s="3" t="str">
        <f>'table-s8-raw'!F9</f>
        <v>-0.589***</v>
      </c>
    </row>
    <row r="8" spans="1:6" ht="15.6" x14ac:dyDescent="0.3">
      <c r="A8" s="1" t="str">
        <f>'table-s8-raw'!A10</f>
        <v/>
      </c>
      <c r="B8" s="3" t="str">
        <f>'table-s8-raw'!B10</f>
        <v/>
      </c>
      <c r="C8" s="3" t="str">
        <f>'table-s8-raw'!C10</f>
        <v>(0.111)</v>
      </c>
      <c r="D8" s="3" t="str">
        <f>'table-s8-raw'!D10</f>
        <v>(0.123)</v>
      </c>
      <c r="E8" s="3" t="str">
        <f>'table-s8-raw'!E10</f>
        <v>(0.112)</v>
      </c>
      <c r="F8" s="3" t="str">
        <f>'table-s8-raw'!F10</f>
        <v>(0.113)</v>
      </c>
    </row>
    <row r="9" spans="1:6" ht="15.6" x14ac:dyDescent="0.3">
      <c r="A9" s="1" t="str">
        <f>'table-s8-raw'!A11</f>
        <v>Bachelor's Degree</v>
      </c>
      <c r="B9" s="3" t="str">
        <f>'table-s8-raw'!B11</f>
        <v/>
      </c>
      <c r="C9" s="3" t="str">
        <f>'table-s8-raw'!C11</f>
        <v/>
      </c>
      <c r="D9" s="3" t="str">
        <f>'table-s8-raw'!D11</f>
        <v>0.062</v>
      </c>
      <c r="E9" s="3" t="str">
        <f>'table-s8-raw'!E11</f>
        <v/>
      </c>
      <c r="F9" s="3" t="str">
        <f>'table-s8-raw'!F11</f>
        <v/>
      </c>
    </row>
    <row r="10" spans="1:6" ht="15.6" x14ac:dyDescent="0.3">
      <c r="A10" s="1" t="str">
        <f>'table-s8-raw'!A12</f>
        <v/>
      </c>
      <c r="B10" s="3" t="str">
        <f>'table-s8-raw'!B12</f>
        <v/>
      </c>
      <c r="C10" s="3" t="str">
        <f>'table-s8-raw'!C12</f>
        <v/>
      </c>
      <c r="D10" s="3" t="str">
        <f>'table-s8-raw'!D12</f>
        <v>(0.119)</v>
      </c>
      <c r="E10" s="3" t="str">
        <f>'table-s8-raw'!E12</f>
        <v/>
      </c>
      <c r="F10" s="3" t="str">
        <f>'table-s8-raw'!F12</f>
        <v/>
      </c>
    </row>
    <row r="11" spans="1:6" ht="15.6" x14ac:dyDescent="0.3">
      <c r="A11" s="1" t="str">
        <f>'table-s8-raw'!A13</f>
        <v>Master's Degree</v>
      </c>
      <c r="B11" s="3" t="str">
        <f>'table-s8-raw'!B13</f>
        <v/>
      </c>
      <c r="C11" s="3" t="str">
        <f>'table-s8-raw'!C13</f>
        <v/>
      </c>
      <c r="D11" s="3" t="str">
        <f>'table-s8-raw'!D13</f>
        <v>-0.002</v>
      </c>
      <c r="E11" s="3" t="str">
        <f>'table-s8-raw'!E13</f>
        <v/>
      </c>
      <c r="F11" s="3" t="str">
        <f>'table-s8-raw'!F13</f>
        <v/>
      </c>
    </row>
    <row r="12" spans="1:6" ht="15.6" x14ac:dyDescent="0.3">
      <c r="A12" s="1" t="str">
        <f>'table-s8-raw'!A14</f>
        <v/>
      </c>
      <c r="B12" s="3" t="str">
        <f>'table-s8-raw'!B14</f>
        <v/>
      </c>
      <c r="C12" s="3" t="str">
        <f>'table-s8-raw'!C14</f>
        <v/>
      </c>
      <c r="D12" s="3" t="str">
        <f>'table-s8-raw'!D14</f>
        <v>(0.215)</v>
      </c>
      <c r="E12" s="3" t="str">
        <f>'table-s8-raw'!E14</f>
        <v/>
      </c>
      <c r="F12" s="3" t="str">
        <f>'table-s8-raw'!F14</f>
        <v/>
      </c>
    </row>
    <row r="13" spans="1:6" ht="15.6" x14ac:dyDescent="0.3">
      <c r="A13" s="1" t="str">
        <f>'table-s8-raw'!A15</f>
        <v>Income &lt;$25K</v>
      </c>
      <c r="B13" s="3" t="str">
        <f>'table-s8-raw'!B15</f>
        <v/>
      </c>
      <c r="C13" s="3" t="str">
        <f>'table-s8-raw'!C15</f>
        <v/>
      </c>
      <c r="D13" s="3" t="str">
        <f>'table-s8-raw'!D15</f>
        <v>-1.273***</v>
      </c>
      <c r="E13" s="3" t="str">
        <f>'table-s8-raw'!E15</f>
        <v/>
      </c>
      <c r="F13" s="3" t="str">
        <f>'table-s8-raw'!F15</f>
        <v/>
      </c>
    </row>
    <row r="14" spans="1:6" ht="15.6" x14ac:dyDescent="0.3">
      <c r="A14" s="1" t="str">
        <f>'table-s8-raw'!A16</f>
        <v/>
      </c>
      <c r="B14" s="3" t="str">
        <f>'table-s8-raw'!B16</f>
        <v/>
      </c>
      <c r="C14" s="3" t="str">
        <f>'table-s8-raw'!C16</f>
        <v/>
      </c>
      <c r="D14" s="3" t="str">
        <f>'table-s8-raw'!D16</f>
        <v>(0.413)</v>
      </c>
      <c r="E14" s="3" t="str">
        <f>'table-s8-raw'!E16</f>
        <v/>
      </c>
      <c r="F14" s="3" t="str">
        <f>'table-s8-raw'!F16</f>
        <v/>
      </c>
    </row>
    <row r="15" spans="1:6" ht="15.6" x14ac:dyDescent="0.3">
      <c r="A15" s="1" t="str">
        <f>'table-s8-raw'!A17</f>
        <v>Income $25K-$50K</v>
      </c>
      <c r="B15" s="3" t="str">
        <f>'table-s8-raw'!B17</f>
        <v/>
      </c>
      <c r="C15" s="3" t="str">
        <f>'table-s8-raw'!C17</f>
        <v/>
      </c>
      <c r="D15" s="3" t="str">
        <f>'table-s8-raw'!D17</f>
        <v>-1.099***</v>
      </c>
      <c r="E15" s="3" t="str">
        <f>'table-s8-raw'!E17</f>
        <v/>
      </c>
      <c r="F15" s="3" t="str">
        <f>'table-s8-raw'!F17</f>
        <v/>
      </c>
    </row>
    <row r="16" spans="1:6" ht="15.6" x14ac:dyDescent="0.3">
      <c r="A16" s="1" t="str">
        <f>'table-s8-raw'!A18</f>
        <v/>
      </c>
      <c r="B16" s="3" t="str">
        <f>'table-s8-raw'!B18</f>
        <v/>
      </c>
      <c r="C16" s="3" t="str">
        <f>'table-s8-raw'!C18</f>
        <v/>
      </c>
      <c r="D16" s="3" t="str">
        <f>'table-s8-raw'!D18</f>
        <v>(0.386)</v>
      </c>
      <c r="E16" s="3" t="str">
        <f>'table-s8-raw'!E18</f>
        <v/>
      </c>
      <c r="F16" s="3" t="str">
        <f>'table-s8-raw'!F18</f>
        <v/>
      </c>
    </row>
    <row r="17" spans="1:6" ht="15.6" x14ac:dyDescent="0.3">
      <c r="A17" s="1" t="str">
        <f>'table-s8-raw'!A19</f>
        <v>Income $50K-$100K</v>
      </c>
      <c r="B17" s="3" t="str">
        <f>'table-s8-raw'!B19</f>
        <v/>
      </c>
      <c r="C17" s="3" t="str">
        <f>'table-s8-raw'!C19</f>
        <v/>
      </c>
      <c r="D17" s="3" t="str">
        <f>'table-s8-raw'!D19</f>
        <v>-0.797**</v>
      </c>
      <c r="E17" s="3" t="str">
        <f>'table-s8-raw'!E19</f>
        <v/>
      </c>
      <c r="F17" s="3" t="str">
        <f>'table-s8-raw'!F19</f>
        <v/>
      </c>
    </row>
    <row r="18" spans="1:6" ht="15.6" x14ac:dyDescent="0.3">
      <c r="A18" s="1" t="str">
        <f>'table-s8-raw'!A20</f>
        <v/>
      </c>
      <c r="B18" s="3" t="str">
        <f>'table-s8-raw'!B20</f>
        <v/>
      </c>
      <c r="C18" s="3" t="str">
        <f>'table-s8-raw'!C20</f>
        <v/>
      </c>
      <c r="D18" s="3" t="str">
        <f>'table-s8-raw'!D20</f>
        <v>(0.379)</v>
      </c>
      <c r="E18" s="3" t="str">
        <f>'table-s8-raw'!E20</f>
        <v/>
      </c>
      <c r="F18" s="3" t="str">
        <f>'table-s8-raw'!F20</f>
        <v/>
      </c>
    </row>
    <row r="19" spans="1:6" ht="15.6" x14ac:dyDescent="0.3">
      <c r="A19" s="1" t="str">
        <f>'table-s8-raw'!A21</f>
        <v>Income $100K-$200K</v>
      </c>
      <c r="B19" s="3" t="str">
        <f>'table-s8-raw'!B21</f>
        <v/>
      </c>
      <c r="C19" s="3" t="str">
        <f>'table-s8-raw'!C21</f>
        <v/>
      </c>
      <c r="D19" s="3" t="str">
        <f>'table-s8-raw'!D21</f>
        <v>-0.679*</v>
      </c>
      <c r="E19" s="3" t="str">
        <f>'table-s8-raw'!E21</f>
        <v/>
      </c>
      <c r="F19" s="3" t="str">
        <f>'table-s8-raw'!F21</f>
        <v/>
      </c>
    </row>
    <row r="20" spans="1:6" ht="15.6" x14ac:dyDescent="0.3">
      <c r="A20" s="1" t="str">
        <f>'table-s8-raw'!A22</f>
        <v/>
      </c>
      <c r="B20" s="3" t="str">
        <f>'table-s8-raw'!B22</f>
        <v/>
      </c>
      <c r="C20" s="3" t="str">
        <f>'table-s8-raw'!C22</f>
        <v/>
      </c>
      <c r="D20" s="3" t="str">
        <f>'table-s8-raw'!D22</f>
        <v>(0.391)</v>
      </c>
      <c r="E20" s="3" t="str">
        <f>'table-s8-raw'!E22</f>
        <v/>
      </c>
      <c r="F20" s="3" t="str">
        <f>'table-s8-raw'!F22</f>
        <v/>
      </c>
    </row>
    <row r="21" spans="1:6" ht="15.6" x14ac:dyDescent="0.3">
      <c r="A21" s="1" t="str">
        <f>'table-s8-raw'!A23</f>
        <v>HH Size</v>
      </c>
      <c r="B21" s="3" t="str">
        <f>'table-s8-raw'!B23</f>
        <v/>
      </c>
      <c r="C21" s="3" t="str">
        <f>'table-s8-raw'!C23</f>
        <v/>
      </c>
      <c r="D21" s="3" t="str">
        <f>'table-s8-raw'!D23</f>
        <v>0.003</v>
      </c>
      <c r="E21" s="3" t="str">
        <f>'table-s8-raw'!E23</f>
        <v/>
      </c>
      <c r="F21" s="3" t="str">
        <f>'table-s8-raw'!F23</f>
        <v/>
      </c>
    </row>
    <row r="22" spans="1:6" ht="15.6" x14ac:dyDescent="0.3">
      <c r="A22" s="1" t="str">
        <f>'table-s8-raw'!A24</f>
        <v/>
      </c>
      <c r="B22" s="3" t="str">
        <f>'table-s8-raw'!B24</f>
        <v/>
      </c>
      <c r="C22" s="3" t="str">
        <f>'table-s8-raw'!C24</f>
        <v/>
      </c>
      <c r="D22" s="3" t="str">
        <f>'table-s8-raw'!D24</f>
        <v>(0.064)</v>
      </c>
      <c r="E22" s="3" t="str">
        <f>'table-s8-raw'!E24</f>
        <v/>
      </c>
      <c r="F22" s="3" t="str">
        <f>'table-s8-raw'!F24</f>
        <v/>
      </c>
    </row>
    <row r="23" spans="1:6" ht="15.6" x14ac:dyDescent="0.3">
      <c r="A23" s="1" t="str">
        <f>'table-s8-raw'!A25</f>
        <v>Child/Infant in HH</v>
      </c>
      <c r="B23" s="3" t="str">
        <f>'table-s8-raw'!B25</f>
        <v/>
      </c>
      <c r="C23" s="3" t="str">
        <f>'table-s8-raw'!C25</f>
        <v/>
      </c>
      <c r="D23" s="3" t="str">
        <f>'table-s8-raw'!D25</f>
        <v>-0.316</v>
      </c>
      <c r="E23" s="3" t="str">
        <f>'table-s8-raw'!E25</f>
        <v/>
      </c>
      <c r="F23" s="3" t="str">
        <f>'table-s8-raw'!F25</f>
        <v/>
      </c>
    </row>
    <row r="24" spans="1:6" ht="15.6" x14ac:dyDescent="0.3">
      <c r="A24" s="1" t="str">
        <f>'table-s8-raw'!A26</f>
        <v/>
      </c>
      <c r="B24" s="3" t="str">
        <f>'table-s8-raw'!B26</f>
        <v/>
      </c>
      <c r="C24" s="3" t="str">
        <f>'table-s8-raw'!C26</f>
        <v/>
      </c>
      <c r="D24" s="3" t="str">
        <f>'table-s8-raw'!D26</f>
        <v>(0.212)</v>
      </c>
      <c r="E24" s="3" t="str">
        <f>'table-s8-raw'!E26</f>
        <v/>
      </c>
      <c r="F24" s="3" t="str">
        <f>'table-s8-raw'!F26</f>
        <v/>
      </c>
    </row>
    <row r="25" spans="1:6" ht="15.6" x14ac:dyDescent="0.3">
      <c r="A25" s="1" t="str">
        <f>'table-s8-raw'!A27</f>
        <v>Retiree in HH</v>
      </c>
      <c r="B25" s="3" t="str">
        <f>'table-s8-raw'!B27</f>
        <v/>
      </c>
      <c r="C25" s="3" t="str">
        <f>'table-s8-raw'!C27</f>
        <v/>
      </c>
      <c r="D25" s="3" t="str">
        <f>'table-s8-raw'!D27</f>
        <v>0.018</v>
      </c>
      <c r="E25" s="3" t="str">
        <f>'table-s8-raw'!E27</f>
        <v/>
      </c>
      <c r="F25" s="3" t="str">
        <f>'table-s8-raw'!F27</f>
        <v/>
      </c>
    </row>
    <row r="26" spans="1:6" ht="15.6" x14ac:dyDescent="0.3">
      <c r="A26" s="1" t="str">
        <f>'table-s8-raw'!A28</f>
        <v/>
      </c>
      <c r="B26" s="3" t="str">
        <f>'table-s8-raw'!B28</f>
        <v/>
      </c>
      <c r="C26" s="3" t="str">
        <f>'table-s8-raw'!C28</f>
        <v/>
      </c>
      <c r="D26" s="3" t="str">
        <f>'table-s8-raw'!D28</f>
        <v>(0.120)</v>
      </c>
      <c r="E26" s="3" t="str">
        <f>'table-s8-raw'!E28</f>
        <v/>
      </c>
      <c r="F26" s="3" t="str">
        <f>'table-s8-raw'!F28</f>
        <v/>
      </c>
    </row>
    <row r="27" spans="1:6" ht="15.6" x14ac:dyDescent="0.3">
      <c r="A27" s="1" t="str">
        <f>'table-s8-raw'!A29</f>
        <v>Well Age 6-10 Years</v>
      </c>
      <c r="B27" s="3" t="str">
        <f>'table-s8-raw'!B29</f>
        <v/>
      </c>
      <c r="C27" s="3" t="str">
        <f>'table-s8-raw'!C29</f>
        <v/>
      </c>
      <c r="D27" s="3" t="str">
        <f>'table-s8-raw'!D29</f>
        <v/>
      </c>
      <c r="E27" s="3" t="str">
        <f>'table-s8-raw'!E29</f>
        <v>0.257</v>
      </c>
      <c r="F27" s="3" t="str">
        <f>'table-s8-raw'!F29</f>
        <v/>
      </c>
    </row>
    <row r="28" spans="1:6" ht="15.6" x14ac:dyDescent="0.3">
      <c r="A28" s="1" t="str">
        <f>'table-s8-raw'!A30</f>
        <v/>
      </c>
      <c r="B28" s="3" t="str">
        <f>'table-s8-raw'!B30</f>
        <v/>
      </c>
      <c r="C28" s="3" t="str">
        <f>'table-s8-raw'!C30</f>
        <v/>
      </c>
      <c r="D28" s="3" t="str">
        <f>'table-s8-raw'!D30</f>
        <v/>
      </c>
      <c r="E28" s="3" t="str">
        <f>'table-s8-raw'!E30</f>
        <v>(0.340)</v>
      </c>
      <c r="F28" s="3" t="str">
        <f>'table-s8-raw'!F30</f>
        <v/>
      </c>
    </row>
    <row r="29" spans="1:6" ht="15.6" x14ac:dyDescent="0.3">
      <c r="A29" s="1" t="str">
        <f>'table-s8-raw'!A31</f>
        <v>Well Age 11-20 Years</v>
      </c>
      <c r="B29" s="3" t="str">
        <f>'table-s8-raw'!B31</f>
        <v/>
      </c>
      <c r="C29" s="3" t="str">
        <f>'table-s8-raw'!C31</f>
        <v/>
      </c>
      <c r="D29" s="3" t="str">
        <f>'table-s8-raw'!D31</f>
        <v/>
      </c>
      <c r="E29" s="3" t="str">
        <f>'table-s8-raw'!E31</f>
        <v>0.253</v>
      </c>
      <c r="F29" s="3" t="str">
        <f>'table-s8-raw'!F31</f>
        <v/>
      </c>
    </row>
    <row r="30" spans="1:6" ht="15.6" x14ac:dyDescent="0.3">
      <c r="A30" s="1" t="str">
        <f>'table-s8-raw'!A32</f>
        <v/>
      </c>
      <c r="B30" s="3" t="str">
        <f>'table-s8-raw'!B32</f>
        <v/>
      </c>
      <c r="C30" s="3" t="str">
        <f>'table-s8-raw'!C32</f>
        <v/>
      </c>
      <c r="D30" s="3" t="str">
        <f>'table-s8-raw'!D32</f>
        <v/>
      </c>
      <c r="E30" s="3" t="str">
        <f>'table-s8-raw'!E32</f>
        <v>(0.285)</v>
      </c>
      <c r="F30" s="3" t="str">
        <f>'table-s8-raw'!F32</f>
        <v/>
      </c>
    </row>
    <row r="31" spans="1:6" ht="15.6" x14ac:dyDescent="0.3">
      <c r="A31" s="1" t="str">
        <f>'table-s8-raw'!A33</f>
        <v>Well Age &gt;20 Years</v>
      </c>
      <c r="B31" s="3" t="str">
        <f>'table-s8-raw'!B33</f>
        <v/>
      </c>
      <c r="C31" s="3" t="str">
        <f>'table-s8-raw'!C33</f>
        <v/>
      </c>
      <c r="D31" s="3" t="str">
        <f>'table-s8-raw'!D33</f>
        <v/>
      </c>
      <c r="E31" s="3" t="str">
        <f>'table-s8-raw'!E33</f>
        <v>0.218</v>
      </c>
      <c r="F31" s="3" t="str">
        <f>'table-s8-raw'!F33</f>
        <v/>
      </c>
    </row>
    <row r="32" spans="1:6" ht="15.6" x14ac:dyDescent="0.3">
      <c r="A32" s="1" t="str">
        <f>'table-s8-raw'!A34</f>
        <v/>
      </c>
      <c r="B32" s="3" t="str">
        <f>'table-s8-raw'!B34</f>
        <v/>
      </c>
      <c r="C32" s="3" t="str">
        <f>'table-s8-raw'!C34</f>
        <v/>
      </c>
      <c r="D32" s="3" t="str">
        <f>'table-s8-raw'!D34</f>
        <v/>
      </c>
      <c r="E32" s="3" t="str">
        <f>'table-s8-raw'!E34</f>
        <v>(0.259)</v>
      </c>
      <c r="F32" s="3" t="str">
        <f>'table-s8-raw'!F34</f>
        <v/>
      </c>
    </row>
    <row r="33" spans="1:6" ht="15.6" x14ac:dyDescent="0.3">
      <c r="A33" s="1" t="str">
        <f>'table-s8-raw'!A35</f>
        <v>Well Age Unsure</v>
      </c>
      <c r="B33" s="3" t="str">
        <f>'table-s8-raw'!B35</f>
        <v/>
      </c>
      <c r="C33" s="3" t="str">
        <f>'table-s8-raw'!C35</f>
        <v/>
      </c>
      <c r="D33" s="3" t="str">
        <f>'table-s8-raw'!D35</f>
        <v/>
      </c>
      <c r="E33" s="3" t="str">
        <f>'table-s8-raw'!E35</f>
        <v>0.093</v>
      </c>
      <c r="F33" s="3" t="str">
        <f>'table-s8-raw'!F35</f>
        <v/>
      </c>
    </row>
    <row r="34" spans="1:6" ht="15.6" x14ac:dyDescent="0.3">
      <c r="A34" s="1" t="str">
        <f>'table-s8-raw'!A36</f>
        <v/>
      </c>
      <c r="B34" s="3" t="str">
        <f>'table-s8-raw'!B36</f>
        <v/>
      </c>
      <c r="C34" s="3" t="str">
        <f>'table-s8-raw'!C36</f>
        <v/>
      </c>
      <c r="D34" s="3" t="str">
        <f>'table-s8-raw'!D36</f>
        <v/>
      </c>
      <c r="E34" s="3" t="str">
        <f>'table-s8-raw'!E36</f>
        <v>(0.312)</v>
      </c>
      <c r="F34" s="3" t="str">
        <f>'table-s8-raw'!F36</f>
        <v/>
      </c>
    </row>
    <row r="35" spans="1:6" ht="15.6" x14ac:dyDescent="0.3">
      <c r="A35" s="1" t="str">
        <f>'table-s8-raw'!A37</f>
        <v>Well Depth 51-150 Feet</v>
      </c>
      <c r="B35" s="3" t="str">
        <f>'table-s8-raw'!B37</f>
        <v/>
      </c>
      <c r="C35" s="3" t="str">
        <f>'table-s8-raw'!C37</f>
        <v/>
      </c>
      <c r="D35" s="3" t="str">
        <f>'table-s8-raw'!D37</f>
        <v/>
      </c>
      <c r="E35" s="3" t="str">
        <f>'table-s8-raw'!E37</f>
        <v>0.056</v>
      </c>
      <c r="F35" s="3" t="str">
        <f>'table-s8-raw'!F37</f>
        <v/>
      </c>
    </row>
    <row r="36" spans="1:6" ht="15.6" x14ac:dyDescent="0.3">
      <c r="A36" s="1" t="str">
        <f>'table-s8-raw'!A38</f>
        <v/>
      </c>
      <c r="B36" s="3" t="str">
        <f>'table-s8-raw'!B38</f>
        <v/>
      </c>
      <c r="C36" s="3" t="str">
        <f>'table-s8-raw'!C38</f>
        <v/>
      </c>
      <c r="D36" s="3" t="str">
        <f>'table-s8-raw'!D38</f>
        <v/>
      </c>
      <c r="E36" s="3" t="str">
        <f>'table-s8-raw'!E38</f>
        <v>(0.171)</v>
      </c>
      <c r="F36" s="3" t="str">
        <f>'table-s8-raw'!F38</f>
        <v/>
      </c>
    </row>
    <row r="37" spans="1:6" ht="15.6" x14ac:dyDescent="0.3">
      <c r="A37" s="1" t="str">
        <f>'table-s8-raw'!A39</f>
        <v>Well Depth &gt;150 Feet</v>
      </c>
      <c r="B37" s="3" t="str">
        <f>'table-s8-raw'!B39</f>
        <v/>
      </c>
      <c r="C37" s="3" t="str">
        <f>'table-s8-raw'!C39</f>
        <v/>
      </c>
      <c r="D37" s="3" t="str">
        <f>'table-s8-raw'!D39</f>
        <v/>
      </c>
      <c r="E37" s="3" t="str">
        <f>'table-s8-raw'!E39</f>
        <v>-0.231</v>
      </c>
      <c r="F37" s="3" t="str">
        <f>'table-s8-raw'!F39</f>
        <v/>
      </c>
    </row>
    <row r="38" spans="1:6" ht="15.6" x14ac:dyDescent="0.3">
      <c r="A38" s="1" t="str">
        <f>'table-s8-raw'!A40</f>
        <v/>
      </c>
      <c r="B38" s="3" t="str">
        <f>'table-s8-raw'!B40</f>
        <v/>
      </c>
      <c r="C38" s="3" t="str">
        <f>'table-s8-raw'!C40</f>
        <v/>
      </c>
      <c r="D38" s="3" t="str">
        <f>'table-s8-raw'!D40</f>
        <v/>
      </c>
      <c r="E38" s="3" t="str">
        <f>'table-s8-raw'!E40</f>
        <v>(0.157)</v>
      </c>
      <c r="F38" s="3" t="str">
        <f>'table-s8-raw'!F40</f>
        <v/>
      </c>
    </row>
    <row r="39" spans="1:6" ht="15.6" x14ac:dyDescent="0.3">
      <c r="A39" s="1" t="str">
        <f>'table-s8-raw'!A41</f>
        <v>Well Depth Unsure</v>
      </c>
      <c r="B39" s="3" t="str">
        <f>'table-s8-raw'!B41</f>
        <v/>
      </c>
      <c r="C39" s="3" t="str">
        <f>'table-s8-raw'!C41</f>
        <v/>
      </c>
      <c r="D39" s="3" t="str">
        <f>'table-s8-raw'!D41</f>
        <v/>
      </c>
      <c r="E39" s="3" t="str">
        <f>'table-s8-raw'!E41</f>
        <v>-0.254</v>
      </c>
      <c r="F39" s="3" t="str">
        <f>'table-s8-raw'!F41</f>
        <v/>
      </c>
    </row>
    <row r="40" spans="1:6" ht="15.6" x14ac:dyDescent="0.3">
      <c r="A40" s="1" t="str">
        <f>'table-s8-raw'!A42</f>
        <v/>
      </c>
      <c r="B40" s="3" t="str">
        <f>'table-s8-raw'!B42</f>
        <v/>
      </c>
      <c r="C40" s="3" t="str">
        <f>'table-s8-raw'!C42</f>
        <v/>
      </c>
      <c r="D40" s="3" t="str">
        <f>'table-s8-raw'!D42</f>
        <v/>
      </c>
      <c r="E40" s="3" t="str">
        <f>'table-s8-raw'!E42</f>
        <v>(0.194)</v>
      </c>
      <c r="F40" s="3" t="str">
        <f>'table-s8-raw'!F42</f>
        <v/>
      </c>
    </row>
    <row r="41" spans="1:6" ht="15.6" x14ac:dyDescent="0.3">
      <c r="A41" s="1" t="str">
        <f>'table-s8-raw'!A43</f>
        <v>Nitrate Concerns: Any</v>
      </c>
      <c r="B41" s="3" t="str">
        <f>'table-s8-raw'!B43</f>
        <v/>
      </c>
      <c r="C41" s="3" t="str">
        <f>'table-s8-raw'!C43</f>
        <v/>
      </c>
      <c r="D41" s="3" t="str">
        <f>'table-s8-raw'!D43</f>
        <v/>
      </c>
      <c r="E41" s="3" t="str">
        <f>'table-s8-raw'!E43</f>
        <v/>
      </c>
      <c r="F41" s="3" t="str">
        <f>'table-s8-raw'!F43</f>
        <v>0.330**</v>
      </c>
    </row>
    <row r="42" spans="1:6" ht="15.6" x14ac:dyDescent="0.3">
      <c r="A42" s="1" t="str">
        <f>'table-s8-raw'!A44</f>
        <v/>
      </c>
      <c r="B42" s="3" t="str">
        <f>'table-s8-raw'!B44</f>
        <v/>
      </c>
      <c r="C42" s="3" t="str">
        <f>'table-s8-raw'!C44</f>
        <v/>
      </c>
      <c r="D42" s="3" t="str">
        <f>'table-s8-raw'!D44</f>
        <v/>
      </c>
      <c r="E42" s="3" t="str">
        <f>'table-s8-raw'!E44</f>
        <v/>
      </c>
      <c r="F42" s="3" t="str">
        <f>'table-s8-raw'!F44</f>
        <v>(0.158)</v>
      </c>
    </row>
    <row r="43" spans="1:6" ht="15.6" x14ac:dyDescent="0.3">
      <c r="A43" s="1" t="str">
        <f>'table-s8-raw'!A45</f>
        <v>Nitrate Concerns: None</v>
      </c>
      <c r="B43" s="3" t="str">
        <f>'table-s8-raw'!B45</f>
        <v/>
      </c>
      <c r="C43" s="3" t="str">
        <f>'table-s8-raw'!C45</f>
        <v/>
      </c>
      <c r="D43" s="3" t="str">
        <f>'table-s8-raw'!D45</f>
        <v/>
      </c>
      <c r="E43" s="3" t="str">
        <f>'table-s8-raw'!E45</f>
        <v/>
      </c>
      <c r="F43" s="3" t="str">
        <f>'table-s8-raw'!F45</f>
        <v>-0.409**</v>
      </c>
    </row>
    <row r="44" spans="1:6" ht="15.6" x14ac:dyDescent="0.3">
      <c r="A44" s="1" t="str">
        <f>'table-s8-raw'!A46</f>
        <v/>
      </c>
      <c r="B44" s="3" t="str">
        <f>'table-s8-raw'!B46</f>
        <v/>
      </c>
      <c r="C44" s="3" t="str">
        <f>'table-s8-raw'!C46</f>
        <v/>
      </c>
      <c r="D44" s="3" t="str">
        <f>'table-s8-raw'!D46</f>
        <v/>
      </c>
      <c r="E44" s="3" t="str">
        <f>'table-s8-raw'!E46</f>
        <v/>
      </c>
      <c r="F44" s="3" t="str">
        <f>'table-s8-raw'!F46</f>
        <v>(0.178)</v>
      </c>
    </row>
    <row r="45" spans="1:6" ht="15.6" x14ac:dyDescent="0.3">
      <c r="A45" s="1" t="str">
        <f>'table-s8-raw'!A47</f>
        <v>Nitrate Concerns: Unsure</v>
      </c>
      <c r="B45" s="3" t="str">
        <f>'table-s8-raw'!B47</f>
        <v/>
      </c>
      <c r="C45" s="3" t="str">
        <f>'table-s8-raw'!C47</f>
        <v/>
      </c>
      <c r="D45" s="3" t="str">
        <f>'table-s8-raw'!D47</f>
        <v/>
      </c>
      <c r="E45" s="3" t="str">
        <f>'table-s8-raw'!E47</f>
        <v/>
      </c>
      <c r="F45" s="3" t="str">
        <f>'table-s8-raw'!F47</f>
        <v>0.178</v>
      </c>
    </row>
    <row r="46" spans="1:6" ht="15.6" x14ac:dyDescent="0.3">
      <c r="A46" s="1" t="str">
        <f>'table-s8-raw'!A48</f>
        <v/>
      </c>
      <c r="B46" s="3" t="str">
        <f>'table-s8-raw'!B48</f>
        <v/>
      </c>
      <c r="C46" s="3" t="str">
        <f>'table-s8-raw'!C48</f>
        <v/>
      </c>
      <c r="D46" s="3" t="str">
        <f>'table-s8-raw'!D48</f>
        <v/>
      </c>
      <c r="E46" s="3" t="str">
        <f>'table-s8-raw'!E48</f>
        <v/>
      </c>
      <c r="F46" s="3" t="str">
        <f>'table-s8-raw'!F48</f>
        <v>(0.165)</v>
      </c>
    </row>
    <row r="47" spans="1:6" ht="15.6" x14ac:dyDescent="0.3">
      <c r="A47" s="1" t="str">
        <f>'table-s8-raw'!A49</f>
        <v>Rate Water: Good/Great</v>
      </c>
      <c r="B47" s="3" t="str">
        <f>'table-s8-raw'!B49</f>
        <v/>
      </c>
      <c r="C47" s="3" t="str">
        <f>'table-s8-raw'!C49</f>
        <v/>
      </c>
      <c r="D47" s="3" t="str">
        <f>'table-s8-raw'!D49</f>
        <v/>
      </c>
      <c r="E47" s="3" t="str">
        <f>'table-s8-raw'!E49</f>
        <v/>
      </c>
      <c r="F47" s="3" t="str">
        <f>'table-s8-raw'!F49</f>
        <v>-0.418*</v>
      </c>
    </row>
    <row r="48" spans="1:6" ht="15.6" x14ac:dyDescent="0.3">
      <c r="A48" s="1" t="str">
        <f>'table-s8-raw'!A50</f>
        <v/>
      </c>
      <c r="B48" s="3" t="str">
        <f>'table-s8-raw'!B50</f>
        <v/>
      </c>
      <c r="C48" s="3" t="str">
        <f>'table-s8-raw'!C50</f>
        <v/>
      </c>
      <c r="D48" s="3" t="str">
        <f>'table-s8-raw'!D50</f>
        <v/>
      </c>
      <c r="E48" s="3" t="str">
        <f>'table-s8-raw'!E50</f>
        <v/>
      </c>
      <c r="F48" s="3" t="str">
        <f>'table-s8-raw'!F50</f>
        <v>(0.236)</v>
      </c>
    </row>
    <row r="49" spans="1:6" ht="15.6" x14ac:dyDescent="0.3">
      <c r="A49" s="1" t="str">
        <f>'table-s8-raw'!A51</f>
        <v>Rate Water: Neutral</v>
      </c>
      <c r="B49" s="3" t="str">
        <f>'table-s8-raw'!B51</f>
        <v/>
      </c>
      <c r="C49" s="3" t="str">
        <f>'table-s8-raw'!C51</f>
        <v/>
      </c>
      <c r="D49" s="3" t="str">
        <f>'table-s8-raw'!D51</f>
        <v/>
      </c>
      <c r="E49" s="3" t="str">
        <f>'table-s8-raw'!E51</f>
        <v/>
      </c>
      <c r="F49" s="3" t="str">
        <f>'table-s8-raw'!F51</f>
        <v>-0.728***</v>
      </c>
    </row>
    <row r="50" spans="1:6" ht="15.6" x14ac:dyDescent="0.3">
      <c r="A50" s="1" t="str">
        <f>'table-s8-raw'!A52</f>
        <v/>
      </c>
      <c r="B50" s="3" t="str">
        <f>'table-s8-raw'!B52</f>
        <v/>
      </c>
      <c r="C50" s="3" t="str">
        <f>'table-s8-raw'!C52</f>
        <v/>
      </c>
      <c r="D50" s="3" t="str">
        <f>'table-s8-raw'!D52</f>
        <v/>
      </c>
      <c r="E50" s="3" t="str">
        <f>'table-s8-raw'!E52</f>
        <v/>
      </c>
      <c r="F50" s="3" t="str">
        <f>'table-s8-raw'!F52</f>
        <v>(0.269)</v>
      </c>
    </row>
    <row r="51" spans="1:6" ht="15.6" x14ac:dyDescent="0.3">
      <c r="A51" s="1" t="str">
        <f>'table-s8-raw'!A53</f>
        <v>Rate Water: Poor</v>
      </c>
      <c r="B51" s="3" t="str">
        <f>'table-s8-raw'!B53</f>
        <v/>
      </c>
      <c r="C51" s="3" t="str">
        <f>'table-s8-raw'!C53</f>
        <v/>
      </c>
      <c r="D51" s="3" t="str">
        <f>'table-s8-raw'!D53</f>
        <v/>
      </c>
      <c r="E51" s="3" t="str">
        <f>'table-s8-raw'!E53</f>
        <v/>
      </c>
      <c r="F51" s="3" t="str">
        <f>'table-s8-raw'!F53</f>
        <v>-0.574**</v>
      </c>
    </row>
    <row r="52" spans="1:6" ht="15.6" x14ac:dyDescent="0.3">
      <c r="A52" s="2" t="str">
        <f>'table-s8-raw'!A54</f>
        <v/>
      </c>
      <c r="B52" s="4" t="str">
        <f>'table-s8-raw'!B54</f>
        <v/>
      </c>
      <c r="C52" s="4" t="str">
        <f>'table-s8-raw'!C54</f>
        <v/>
      </c>
      <c r="D52" s="4" t="str">
        <f>'table-s8-raw'!D54</f>
        <v/>
      </c>
      <c r="E52" s="4" t="str">
        <f>'table-s8-raw'!E54</f>
        <v/>
      </c>
      <c r="F52" s="4" t="str">
        <f>'table-s8-raw'!F54</f>
        <v>(0.280)</v>
      </c>
    </row>
    <row r="53" spans="1:6" ht="15.6" x14ac:dyDescent="0.3">
      <c r="A53" s="1" t="str">
        <f>'table-s8-raw'!A55</f>
        <v>Observations</v>
      </c>
      <c r="B53" s="3" t="str">
        <f>'table-s8-raw'!B55</f>
        <v>4232</v>
      </c>
      <c r="C53" s="3" t="str">
        <f>'table-s8-raw'!C55</f>
        <v>4232</v>
      </c>
      <c r="D53" s="3" t="str">
        <f>'table-s8-raw'!D55</f>
        <v>3508</v>
      </c>
      <c r="E53" s="3" t="str">
        <f>'table-s8-raw'!E55</f>
        <v>4132</v>
      </c>
      <c r="F53" s="3" t="str">
        <f>'table-s8-raw'!F55</f>
        <v>4148</v>
      </c>
    </row>
    <row r="54" spans="1:6" ht="6" customHeight="1" x14ac:dyDescent="0.3">
      <c r="A54" s="1"/>
      <c r="B54" s="1"/>
      <c r="C54" s="1"/>
      <c r="D54" s="1"/>
      <c r="E54" s="1"/>
      <c r="F54" s="1"/>
    </row>
    <row r="55" spans="1:6" ht="15.6" x14ac:dyDescent="0.3">
      <c r="A55" s="1"/>
      <c r="B55" s="1"/>
      <c r="C55" s="1"/>
      <c r="D55" s="1"/>
      <c r="E55" s="1"/>
      <c r="F55" s="1"/>
    </row>
    <row r="56" spans="1:6" ht="15.6" x14ac:dyDescent="0.3">
      <c r="A56" s="1"/>
      <c r="B56" s="1"/>
      <c r="C56" s="1"/>
      <c r="D56" s="1"/>
      <c r="E56" s="1"/>
      <c r="F56" s="1"/>
    </row>
    <row r="57" spans="1:6" ht="15.6" x14ac:dyDescent="0.3">
      <c r="A57" s="1"/>
      <c r="B57" s="1"/>
      <c r="C57" s="1"/>
      <c r="D57" s="1"/>
      <c r="E57" s="1"/>
      <c r="F57" s="1"/>
    </row>
    <row r="58" spans="1:6" ht="15.6" x14ac:dyDescent="0.3">
      <c r="A58" s="1"/>
      <c r="B58" s="1"/>
      <c r="C58" s="1"/>
      <c r="D58" s="1"/>
      <c r="E58" s="1"/>
      <c r="F58" s="1"/>
    </row>
    <row r="59" spans="1:6" ht="15.6" x14ac:dyDescent="0.3">
      <c r="A59" s="1"/>
      <c r="B59" s="1"/>
      <c r="C59" s="1"/>
      <c r="D59" s="1"/>
      <c r="E59" s="1"/>
      <c r="F59" s="1"/>
    </row>
    <row r="60" spans="1:6" ht="15.6" x14ac:dyDescent="0.3">
      <c r="A60" s="1"/>
      <c r="B60" s="1"/>
      <c r="C60" s="1"/>
      <c r="D60" s="1"/>
      <c r="E60" s="1"/>
      <c r="F60" s="1"/>
    </row>
    <row r="61" spans="1:6" ht="15.6" x14ac:dyDescent="0.3">
      <c r="A61" s="1"/>
      <c r="B61" s="1"/>
      <c r="C61" s="1"/>
      <c r="D61" s="1"/>
      <c r="E61" s="1"/>
      <c r="F61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87717-489A-4924-8917-DF2461ADBF1B}">
  <dimension ref="A1:E26"/>
  <sheetViews>
    <sheetView workbookViewId="0">
      <selection activeCell="I24" sqref="I24"/>
    </sheetView>
  </sheetViews>
  <sheetFormatPr defaultRowHeight="14.4" x14ac:dyDescent="0.3"/>
  <cols>
    <col min="1" max="1" width="21.5546875" bestFit="1" customWidth="1"/>
  </cols>
  <sheetData>
    <row r="1" spans="1:5" x14ac:dyDescent="0.3">
      <c r="A1" t="str">
        <f>""</f>
        <v/>
      </c>
      <c r="B1" t="str">
        <f>"A"</f>
        <v>A</v>
      </c>
      <c r="C1" t="str">
        <f>""</f>
        <v/>
      </c>
      <c r="D1" t="str">
        <f>""</f>
        <v/>
      </c>
      <c r="E1" t="str">
        <f>""</f>
        <v/>
      </c>
    </row>
    <row r="2" spans="1:5" x14ac:dyDescent="0.3">
      <c r="A2" t="str">
        <f>""</f>
        <v/>
      </c>
      <c r="B2" t="str">
        <f>"All"</f>
        <v>All</v>
      </c>
      <c r="C2" t="str">
        <f>"Control"</f>
        <v>Control</v>
      </c>
      <c r="D2" t="str">
        <f>"Treatment"</f>
        <v>Treatment</v>
      </c>
      <c r="E2" t="str">
        <f>"Difference"</f>
        <v>Difference</v>
      </c>
    </row>
    <row r="3" spans="1:5" x14ac:dyDescent="0.3">
      <c r="A3" t="str">
        <f>"Own Nitrate"</f>
        <v>Own Nitrate</v>
      </c>
      <c r="B3" t="str">
        <f>"4.65"</f>
        <v>4.65</v>
      </c>
      <c r="C3" t="str">
        <f>"4.63"</f>
        <v>4.63</v>
      </c>
      <c r="D3" t="str">
        <f>"4.67"</f>
        <v>4.67</v>
      </c>
      <c r="E3" t="str">
        <f>"0.91"</f>
        <v>0.91</v>
      </c>
    </row>
    <row r="4" spans="1:5" x14ac:dyDescent="0.3">
      <c r="A4" t="str">
        <f>"Own Nitrate (Viol)"</f>
        <v>Own Nitrate (Viol)</v>
      </c>
      <c r="B4" t="str">
        <f>"0.16"</f>
        <v>0.16</v>
      </c>
      <c r="C4" t="str">
        <f>"0.15"</f>
        <v>0.15</v>
      </c>
      <c r="D4" t="str">
        <f>"0.17"</f>
        <v>0.17</v>
      </c>
      <c r="E4" t="str">
        <f>"0.42"</f>
        <v>0.42</v>
      </c>
    </row>
    <row r="5" spans="1:5" x14ac:dyDescent="0.3">
      <c r="A5" t="str">
        <f>"Avg Nitrate &lt;0.5 mi"</f>
        <v>Avg Nitrate &lt;0.5 mi</v>
      </c>
      <c r="B5" t="str">
        <f>"4.29"</f>
        <v>4.29</v>
      </c>
      <c r="C5" t="str">
        <f>"4.46"</f>
        <v>4.46</v>
      </c>
      <c r="D5" t="str">
        <f>"4.12"</f>
        <v>4.12</v>
      </c>
      <c r="E5" t="str">
        <f>"0.09"</f>
        <v>0.09</v>
      </c>
    </row>
    <row r="6" spans="1:5" x14ac:dyDescent="0.3">
      <c r="A6" t="str">
        <f>"Avg Nitrate &lt;0.5 mi (Viol)"</f>
        <v>Avg Nitrate &lt;0.5 mi (Viol)</v>
      </c>
      <c r="B6" t="str">
        <f>"0.13"</f>
        <v>0.13</v>
      </c>
      <c r="C6" t="str">
        <f>"0.13"</f>
        <v>0.13</v>
      </c>
      <c r="D6" t="str">
        <f>"0.13"</f>
        <v>0.13</v>
      </c>
      <c r="E6" t="str">
        <f>"0.45"</f>
        <v>0.45</v>
      </c>
    </row>
    <row r="7" spans="1:5" x14ac:dyDescent="0.3">
      <c r="A7" t="str">
        <f>"Avg Nitrate &lt;1 mi"</f>
        <v>Avg Nitrate &lt;1 mi</v>
      </c>
      <c r="B7" t="str">
        <f>"4.39"</f>
        <v>4.39</v>
      </c>
      <c r="C7" t="str">
        <f>"4.49"</f>
        <v>4.49</v>
      </c>
      <c r="D7" t="str">
        <f>"4.27"</f>
        <v>4.27</v>
      </c>
      <c r="E7" t="str">
        <f>"0.14"</f>
        <v>0.14</v>
      </c>
    </row>
    <row r="8" spans="1:5" x14ac:dyDescent="0.3">
      <c r="A8" t="str">
        <f>"Avg Nitrate &lt;1 mi (Viol)"</f>
        <v>Avg Nitrate &lt;1 mi (Viol)</v>
      </c>
      <c r="B8" t="str">
        <f>"0.12"</f>
        <v>0.12</v>
      </c>
      <c r="C8" t="str">
        <f>"0.12"</f>
        <v>0.12</v>
      </c>
      <c r="D8" t="str">
        <f>"0.12"</f>
        <v>0.12</v>
      </c>
      <c r="E8" t="str">
        <f>"0.73"</f>
        <v>0.73</v>
      </c>
    </row>
    <row r="9" spans="1:5" x14ac:dyDescent="0.3">
      <c r="A9" t="str">
        <f>"Avg Nitrate &lt;2 mi"</f>
        <v>Avg Nitrate &lt;2 mi</v>
      </c>
      <c r="B9" t="str">
        <f>"4.36"</f>
        <v>4.36</v>
      </c>
      <c r="C9" t="str">
        <f>"4.44"</f>
        <v>4.44</v>
      </c>
      <c r="D9" t="str">
        <f>"4.27"</f>
        <v>4.27</v>
      </c>
      <c r="E9" t="str">
        <f>"0.14"</f>
        <v>0.14</v>
      </c>
    </row>
    <row r="10" spans="1:5" x14ac:dyDescent="0.3">
      <c r="A10" t="str">
        <f>"Avg Nitrate &lt;2 mi (Viol)"</f>
        <v>Avg Nitrate &lt;2 mi (Viol)</v>
      </c>
      <c r="B10" t="str">
        <f>"0.09"</f>
        <v>0.09</v>
      </c>
      <c r="C10" t="str">
        <f>"0.10"</f>
        <v>0.10</v>
      </c>
      <c r="D10" t="str">
        <f>"0.09"</f>
        <v>0.09</v>
      </c>
      <c r="E10" t="str">
        <f>"0.45"</f>
        <v>0.45</v>
      </c>
    </row>
    <row r="11" spans="1:5" x14ac:dyDescent="0.3">
      <c r="A11" t="str">
        <f>"Avg Nitrate &lt;5 mi"</f>
        <v>Avg Nitrate &lt;5 mi</v>
      </c>
      <c r="B11" t="str">
        <f>"4.42"</f>
        <v>4.42</v>
      </c>
      <c r="C11" t="str">
        <f>"4.46"</f>
        <v>4.46</v>
      </c>
      <c r="D11" t="str">
        <f>"4.37"</f>
        <v>4.37</v>
      </c>
      <c r="E11" t="str">
        <f>"0.29"</f>
        <v>0.29</v>
      </c>
    </row>
    <row r="12" spans="1:5" x14ac:dyDescent="0.3">
      <c r="A12" t="str">
        <f>"Avg Nitrate &lt;5 mi (Viol)"</f>
        <v>Avg Nitrate &lt;5 mi (Viol)</v>
      </c>
      <c r="B12" t="str">
        <f>"0.06"</f>
        <v>0.06</v>
      </c>
      <c r="C12" t="str">
        <f>"0.06"</f>
        <v>0.06</v>
      </c>
      <c r="D12" t="str">
        <f>"0.05"</f>
        <v>0.05</v>
      </c>
      <c r="E12" t="str">
        <f>"0.05"</f>
        <v>0.05</v>
      </c>
    </row>
    <row r="13" spans="1:5" x14ac:dyDescent="0.3">
      <c r="A13" t="str">
        <f>"Avg Nitrate &lt;10 mi"</f>
        <v>Avg Nitrate &lt;10 mi</v>
      </c>
      <c r="B13" t="str">
        <f>"4.42"</f>
        <v>4.42</v>
      </c>
      <c r="C13" t="str">
        <f>"4.47"</f>
        <v>4.47</v>
      </c>
      <c r="D13" t="str">
        <f>"4.37"</f>
        <v>4.37</v>
      </c>
      <c r="E13" t="str">
        <f>"0.16"</f>
        <v>0.16</v>
      </c>
    </row>
    <row r="14" spans="1:5" x14ac:dyDescent="0.3">
      <c r="A14" t="str">
        <f>"Avg Nitrate &lt;10 mi (Viol)"</f>
        <v>Avg Nitrate &lt;10 mi (Viol)</v>
      </c>
      <c r="B14" t="str">
        <f>"0.02"</f>
        <v>0.02</v>
      </c>
      <c r="C14" t="str">
        <f>"0.02"</f>
        <v>0.02</v>
      </c>
      <c r="D14" t="str">
        <f>"0.01"</f>
        <v>0.01</v>
      </c>
      <c r="E14" t="str">
        <f>"0.03"</f>
        <v>0.03</v>
      </c>
    </row>
    <row r="15" spans="1:5" x14ac:dyDescent="0.3">
      <c r="A15" t="str">
        <f>"Own Nitrate"</f>
        <v>Own Nitrate</v>
      </c>
      <c r="B15" t="str">
        <f>"3.77"</f>
        <v>3.77</v>
      </c>
      <c r="C15" t="str">
        <f>"3.91"</f>
        <v>3.91</v>
      </c>
      <c r="D15" t="str">
        <f>"3.60"</f>
        <v>3.60</v>
      </c>
      <c r="E15" t="str">
        <f>"0.52"</f>
        <v>0.52</v>
      </c>
    </row>
    <row r="16" spans="1:5" x14ac:dyDescent="0.3">
      <c r="A16" t="str">
        <f>"Own Nitrate (Viol)"</f>
        <v>Own Nitrate (Viol)</v>
      </c>
      <c r="B16" t="str">
        <f>"0.15"</f>
        <v>0.15</v>
      </c>
      <c r="C16" t="str">
        <f>"0.14"</f>
        <v>0.14</v>
      </c>
      <c r="D16" t="str">
        <f>"0.15"</f>
        <v>0.15</v>
      </c>
      <c r="E16" t="str">
        <f>"0.65"</f>
        <v>0.65</v>
      </c>
    </row>
    <row r="17" spans="1:5" x14ac:dyDescent="0.3">
      <c r="A17" t="str">
        <f>"Avg Nitrate &lt;0.5 mi"</f>
        <v>Avg Nitrate &lt;0.5 mi</v>
      </c>
      <c r="B17" t="str">
        <f>"3.78"</f>
        <v>3.78</v>
      </c>
      <c r="C17" t="str">
        <f>"3.80"</f>
        <v>3.80</v>
      </c>
      <c r="D17" t="str">
        <f>"3.76"</f>
        <v>3.76</v>
      </c>
      <c r="E17" t="str">
        <f>"0.87"</f>
        <v>0.87</v>
      </c>
    </row>
    <row r="18" spans="1:5" x14ac:dyDescent="0.3">
      <c r="A18" t="str">
        <f>"Avg Nitrate &lt;0.5 mi (Viol)"</f>
        <v>Avg Nitrate &lt;0.5 mi (Viol)</v>
      </c>
      <c r="B18" t="str">
        <f>"0.13"</f>
        <v>0.13</v>
      </c>
      <c r="C18" t="str">
        <f>"0.12"</f>
        <v>0.12</v>
      </c>
      <c r="D18" t="str">
        <f>"0.14"</f>
        <v>0.14</v>
      </c>
      <c r="E18" t="str">
        <f>"0.37"</f>
        <v>0.37</v>
      </c>
    </row>
    <row r="19" spans="1:5" x14ac:dyDescent="0.3">
      <c r="A19" t="str">
        <f>"Avg Nitrate &lt;1 mi"</f>
        <v>Avg Nitrate &lt;1 mi</v>
      </c>
      <c r="B19" t="str">
        <f>"3.65"</f>
        <v>3.65</v>
      </c>
      <c r="C19" t="str">
        <f>"3.71"</f>
        <v>3.71</v>
      </c>
      <c r="D19" t="str">
        <f>"3.58"</f>
        <v>3.58</v>
      </c>
      <c r="E19" t="str">
        <f>"0.46"</f>
        <v>0.46</v>
      </c>
    </row>
    <row r="20" spans="1:5" x14ac:dyDescent="0.3">
      <c r="A20" t="str">
        <f>"Avg Nitrate &lt;1 mi (Viol)"</f>
        <v>Avg Nitrate &lt;1 mi (Viol)</v>
      </c>
      <c r="B20" t="str">
        <f>"0.11"</f>
        <v>0.11</v>
      </c>
      <c r="C20" t="str">
        <f>"0.11"</f>
        <v>0.11</v>
      </c>
      <c r="D20" t="str">
        <f>"0.11"</f>
        <v>0.11</v>
      </c>
      <c r="E20" t="str">
        <f>"0.89"</f>
        <v>0.89</v>
      </c>
    </row>
    <row r="21" spans="1:5" x14ac:dyDescent="0.3">
      <c r="A21" t="str">
        <f>"Avg Nitrate &lt;2 mi"</f>
        <v>Avg Nitrate &lt;2 mi</v>
      </c>
      <c r="B21" t="str">
        <f>"3.58"</f>
        <v>3.58</v>
      </c>
      <c r="C21" t="str">
        <f>"3.63"</f>
        <v>3.63</v>
      </c>
      <c r="D21" t="str">
        <f>"3.54"</f>
        <v>3.54</v>
      </c>
      <c r="E21" t="str">
        <f>"0.45"</f>
        <v>0.45</v>
      </c>
    </row>
    <row r="22" spans="1:5" x14ac:dyDescent="0.3">
      <c r="A22" t="str">
        <f>"Avg Nitrate &lt;2 mi (Viol)"</f>
        <v>Avg Nitrate &lt;2 mi (Viol)</v>
      </c>
      <c r="B22" t="str">
        <f>"0.07"</f>
        <v>0.07</v>
      </c>
      <c r="C22" t="str">
        <f>"0.07"</f>
        <v>0.07</v>
      </c>
      <c r="D22" t="str">
        <f>"0.07"</f>
        <v>0.07</v>
      </c>
      <c r="E22" t="str">
        <f>"0.80"</f>
        <v>0.80</v>
      </c>
    </row>
    <row r="23" spans="1:5" x14ac:dyDescent="0.3">
      <c r="A23" t="str">
        <f>"Avg Nitrate &lt;5 mi"</f>
        <v>Avg Nitrate &lt;5 mi</v>
      </c>
      <c r="B23" t="str">
        <f>"3.67"</f>
        <v>3.67</v>
      </c>
      <c r="C23" t="str">
        <f>"3.75"</f>
        <v>3.75</v>
      </c>
      <c r="D23" t="str">
        <f>"3.58"</f>
        <v>3.58</v>
      </c>
      <c r="E23" t="str">
        <f>"0.04"</f>
        <v>0.04</v>
      </c>
    </row>
    <row r="24" spans="1:5" x14ac:dyDescent="0.3">
      <c r="A24" t="str">
        <f>"Avg Nitrate &lt;5 mi (Viol)"</f>
        <v>Avg Nitrate &lt;5 mi (Viol)</v>
      </c>
      <c r="B24" t="str">
        <f>"0.02"</f>
        <v>0.02</v>
      </c>
      <c r="C24" t="str">
        <f>"0.02"</f>
        <v>0.02</v>
      </c>
      <c r="D24" t="str">
        <f>"0.01"</f>
        <v>0.01</v>
      </c>
      <c r="E24" t="str">
        <f>"0.00"</f>
        <v>0.00</v>
      </c>
    </row>
    <row r="25" spans="1:5" x14ac:dyDescent="0.3">
      <c r="A25" t="str">
        <f>"Avg Nitrate &lt;10 mi"</f>
        <v>Avg Nitrate &lt;10 mi</v>
      </c>
      <c r="B25" t="str">
        <f>"3.58"</f>
        <v>3.58</v>
      </c>
      <c r="C25" t="str">
        <f>"3.64"</f>
        <v>3.64</v>
      </c>
      <c r="D25" t="str">
        <f>"3.52"</f>
        <v>3.52</v>
      </c>
      <c r="E25" t="str">
        <f>"0.05"</f>
        <v>0.05</v>
      </c>
    </row>
    <row r="26" spans="1:5" x14ac:dyDescent="0.3">
      <c r="A26" t="str">
        <f>"Avg Nitrate &lt;10 mi (Viol)"</f>
        <v>Avg Nitrate &lt;10 mi (Viol)</v>
      </c>
      <c r="B26" t="str">
        <f>"0.00"</f>
        <v>0.00</v>
      </c>
      <c r="C26" t="str">
        <f>"0.00"</f>
        <v>0.00</v>
      </c>
      <c r="D26" t="str">
        <f>"0.00"</f>
        <v>0.00</v>
      </c>
      <c r="E26" t="str">
        <f>"0.01"</f>
        <v>0.01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466E0-2918-471C-9EE6-383F71D50996}">
  <dimension ref="A1:C15"/>
  <sheetViews>
    <sheetView workbookViewId="0">
      <selection activeCell="Y16" sqref="Y16"/>
    </sheetView>
  </sheetViews>
  <sheetFormatPr defaultRowHeight="14.4" x14ac:dyDescent="0.3"/>
  <sheetData>
    <row r="1" spans="1:3" x14ac:dyDescent="0.3">
      <c r="A1" t="str">
        <f>"Testing for Attrition Bias"</f>
        <v>Testing for Attrition Bias</v>
      </c>
    </row>
    <row r="2" spans="1:3" x14ac:dyDescent="0.3">
      <c r="A2" t="str">
        <f>""</f>
        <v/>
      </c>
      <c r="B2" t="str">
        <f>"(1)"</f>
        <v>(1)</v>
      </c>
      <c r="C2" t="str">
        <f>"(2)"</f>
        <v>(2)</v>
      </c>
    </row>
    <row r="3" spans="1:3" x14ac:dyDescent="0.3">
      <c r="A3" t="str">
        <f>""</f>
        <v/>
      </c>
      <c r="B3" t="str">
        <f>"Last Water Test in Last Year"</f>
        <v>Last Water Test in Last Year</v>
      </c>
      <c r="C3" t="str">
        <f>"Tested Provided By Grants 2 Counties"</f>
        <v>Tested Provided By Grants 2 Counties</v>
      </c>
    </row>
    <row r="4" spans="1:3" x14ac:dyDescent="0.3">
      <c r="A4" t="str">
        <f>"Treatment Group - Response"</f>
        <v>Treatment Group - Response</v>
      </c>
      <c r="B4" t="str">
        <f>"0.087***"</f>
        <v>0.087***</v>
      </c>
      <c r="C4" t="str">
        <f>"0.535***"</f>
        <v>0.535***</v>
      </c>
    </row>
    <row r="5" spans="1:3" x14ac:dyDescent="0.3">
      <c r="A5" t="str">
        <f>""</f>
        <v/>
      </c>
      <c r="B5" t="str">
        <f>"(0.006)"</f>
        <v>(0.006)</v>
      </c>
      <c r="C5" t="str">
        <f>"(0.015)"</f>
        <v>(0.015)</v>
      </c>
    </row>
    <row r="6" spans="1:3" x14ac:dyDescent="0.3">
      <c r="A6" t="str">
        <f>"Control Group - Response"</f>
        <v>Control Group - Response</v>
      </c>
      <c r="B6" t="str">
        <f>"0.094***"</f>
        <v>0.094***</v>
      </c>
      <c r="C6" t="str">
        <f>"0.536***"</f>
        <v>0.536***</v>
      </c>
    </row>
    <row r="7" spans="1:3" x14ac:dyDescent="0.3">
      <c r="A7" t="str">
        <f>""</f>
        <v/>
      </c>
      <c r="B7" t="str">
        <f>"(0.006)"</f>
        <v>(0.006)</v>
      </c>
      <c r="C7" t="str">
        <f>"(0.015)"</f>
        <v>(0.015)</v>
      </c>
    </row>
    <row r="8" spans="1:3" x14ac:dyDescent="0.3">
      <c r="A8" t="str">
        <f>"Treatment Group - No Response"</f>
        <v>Treatment Group - No Response</v>
      </c>
      <c r="B8" t="str">
        <f>"0.087***"</f>
        <v>0.087***</v>
      </c>
      <c r="C8" t="str">
        <f>"0.453***"</f>
        <v>0.453***</v>
      </c>
    </row>
    <row r="9" spans="1:3" x14ac:dyDescent="0.3">
      <c r="A9" t="str">
        <f>""</f>
        <v/>
      </c>
      <c r="B9" t="str">
        <f>"(0.007)"</f>
        <v>(0.007)</v>
      </c>
      <c r="C9" t="str">
        <f>"(0.017)"</f>
        <v>(0.017)</v>
      </c>
    </row>
    <row r="10" spans="1:3" x14ac:dyDescent="0.3">
      <c r="A10" t="str">
        <f>"Control Group - No Response"</f>
        <v>Control Group - No Response</v>
      </c>
      <c r="B10" t="str">
        <f>"0.086***"</f>
        <v>0.086***</v>
      </c>
      <c r="C10" t="str">
        <f>"0.460***"</f>
        <v>0.460***</v>
      </c>
    </row>
    <row r="11" spans="1:3" x14ac:dyDescent="0.3">
      <c r="A11" t="str">
        <f>""</f>
        <v/>
      </c>
      <c r="B11" t="str">
        <f>"(0.007)"</f>
        <v>(0.007)</v>
      </c>
      <c r="C11" t="str">
        <f>"(0.018)"</f>
        <v>(0.018)</v>
      </c>
    </row>
    <row r="12" spans="1:3" x14ac:dyDescent="0.3">
      <c r="A12" t="str">
        <f>"Observations"</f>
        <v>Observations</v>
      </c>
      <c r="B12" t="str">
        <f>"7897"</f>
        <v>7897</v>
      </c>
      <c r="C12" t="str">
        <f>"3886"</f>
        <v>3886</v>
      </c>
    </row>
    <row r="13" spans="1:3" x14ac:dyDescent="0.3">
      <c r="A13" t="str">
        <f>"IV-R Test"</f>
        <v>IV-R Test</v>
      </c>
      <c r="B13" t="str">
        <f>"0.7453"</f>
        <v>0.7453</v>
      </c>
      <c r="C13" t="str">
        <f>"0.9547"</f>
        <v>0.9547</v>
      </c>
    </row>
    <row r="14" spans="1:3" x14ac:dyDescent="0.3">
      <c r="A14" t="str">
        <f>"IV-P Test"</f>
        <v>IV-P Test</v>
      </c>
      <c r="B14" t="str">
        <f>"0.7987"</f>
        <v>0.7987</v>
      </c>
      <c r="C14" t="str">
        <f>"0.0000"</f>
        <v>0.0000</v>
      </c>
    </row>
    <row r="15" spans="1:3" x14ac:dyDescent="0.3">
      <c r="A15" t="str">
        <f>"IV-P is the p-value for our test for internal validity for the respondent subpopulation. IV-R is the p-value for our test for  internal validity for the study population."</f>
        <v>IV-P is the p-value for our test for internal validity for the respondent subpopulation. IV-R is the p-value for our test for  internal validity for the study population.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6FFDA-89DA-4189-979F-B1E500EA8D07}">
  <dimension ref="A1:F32"/>
  <sheetViews>
    <sheetView showGridLines="0" workbookViewId="0">
      <selection activeCell="B11" sqref="B11"/>
    </sheetView>
  </sheetViews>
  <sheetFormatPr defaultColWidth="8.77734375" defaultRowHeight="15.6" x14ac:dyDescent="0.3"/>
  <cols>
    <col min="1" max="1" width="4.109375" style="1" customWidth="1"/>
    <col min="2" max="2" width="32.77734375" style="1" customWidth="1"/>
    <col min="3" max="3" width="5.77734375" style="1" bestFit="1" customWidth="1"/>
    <col min="4" max="4" width="8" style="1" customWidth="1"/>
    <col min="5" max="5" width="9.77734375" style="1" bestFit="1" customWidth="1"/>
    <col min="6" max="6" width="13.77734375" style="1" customWidth="1"/>
    <col min="7" max="16384" width="8.77734375" style="1"/>
  </cols>
  <sheetData>
    <row r="1" spans="1:6" ht="4.95" customHeight="1" x14ac:dyDescent="0.3"/>
    <row r="2" spans="1:6" ht="46.8" x14ac:dyDescent="0.3">
      <c r="A2" s="16"/>
      <c r="B2" s="16"/>
      <c r="C2" s="17" t="s">
        <v>49</v>
      </c>
      <c r="D2" s="17" t="s">
        <v>17</v>
      </c>
      <c r="E2" s="17" t="s">
        <v>18</v>
      </c>
      <c r="F2" s="18" t="s">
        <v>50</v>
      </c>
    </row>
    <row r="3" spans="1:6" x14ac:dyDescent="0.3">
      <c r="A3" s="1" t="s">
        <v>21</v>
      </c>
      <c r="C3" s="3" t="str">
        <f>'table-2-raw'!B3</f>
        <v>0.898</v>
      </c>
      <c r="D3" s="3" t="str">
        <f>'table-2-raw'!C3</f>
        <v>0.900</v>
      </c>
      <c r="E3" s="3" t="str">
        <f>'table-2-raw'!D3</f>
        <v>0.897</v>
      </c>
      <c r="F3" s="3" t="str">
        <f>"(" &amp;'table-2-raw'!E3&amp; ")"</f>
        <v>(0.638)</v>
      </c>
    </row>
    <row r="4" spans="1:6" x14ac:dyDescent="0.3">
      <c r="A4" s="29" t="s">
        <v>22</v>
      </c>
      <c r="B4" s="29"/>
      <c r="C4" s="3"/>
      <c r="D4" s="3"/>
      <c r="E4" s="3"/>
      <c r="F4" s="3"/>
    </row>
    <row r="5" spans="1:6" x14ac:dyDescent="0.3">
      <c r="B5" s="1" t="s">
        <v>23</v>
      </c>
      <c r="C5" s="3" t="str">
        <f>'table-2-raw'!B4</f>
        <v>0.776</v>
      </c>
      <c r="D5" s="3" t="str">
        <f>'table-2-raw'!C4</f>
        <v>0.773</v>
      </c>
      <c r="E5" s="3" t="str">
        <f>'table-2-raw'!D4</f>
        <v>0.779</v>
      </c>
      <c r="F5" s="3" t="str">
        <f>"(" &amp;'table-2-raw'!E4&amp; ")"</f>
        <v>(0.499)</v>
      </c>
    </row>
    <row r="6" spans="1:6" x14ac:dyDescent="0.3">
      <c r="B6" s="1" t="s">
        <v>72</v>
      </c>
      <c r="C6" s="3" t="str">
        <f>'table-2-raw'!B5</f>
        <v>0.502</v>
      </c>
      <c r="D6" s="3" t="str">
        <f>'table-2-raw'!C5</f>
        <v>0.505</v>
      </c>
      <c r="E6" s="3" t="str">
        <f>'table-2-raw'!D5</f>
        <v>0.499</v>
      </c>
      <c r="F6" s="3" t="str">
        <f>"(" &amp;'table-2-raw'!E5&amp; ")"</f>
        <v>(0.690)</v>
      </c>
    </row>
    <row r="7" spans="1:6" x14ac:dyDescent="0.3">
      <c r="B7" s="1" t="s">
        <v>24</v>
      </c>
      <c r="C7" s="3" t="str">
        <f>'table-2-raw'!B6</f>
        <v>0.089</v>
      </c>
      <c r="D7" s="3" t="str">
        <f>'table-2-raw'!C6</f>
        <v>0.090</v>
      </c>
      <c r="E7" s="3" t="str">
        <f>'table-2-raw'!D6</f>
        <v>0.087</v>
      </c>
      <c r="F7" s="3" t="str">
        <f>"(" &amp;'table-2-raw'!E6&amp; ")"</f>
        <v>(0.656)</v>
      </c>
    </row>
    <row r="8" spans="1:6" x14ac:dyDescent="0.3">
      <c r="A8" s="29" t="s">
        <v>27</v>
      </c>
      <c r="B8" s="29"/>
      <c r="C8" s="3"/>
      <c r="D8" s="3"/>
      <c r="E8" s="3"/>
      <c r="F8" s="3"/>
    </row>
    <row r="9" spans="1:6" x14ac:dyDescent="0.3">
      <c r="B9" s="1" t="s">
        <v>25</v>
      </c>
      <c r="C9" s="3" t="str">
        <f>'table-2-raw'!B7</f>
        <v>0.513</v>
      </c>
      <c r="D9" s="3" t="str">
        <f>'table-2-raw'!C7</f>
        <v>0.505</v>
      </c>
      <c r="E9" s="3" t="str">
        <f>'table-2-raw'!D7</f>
        <v>0.521</v>
      </c>
      <c r="F9" s="3" t="str">
        <f>"(" &amp;'table-2-raw'!E7&amp; ")"</f>
        <v>(0.160)</v>
      </c>
    </row>
    <row r="10" spans="1:6" x14ac:dyDescent="0.3">
      <c r="B10" s="1" t="s">
        <v>26</v>
      </c>
      <c r="C10" s="3" t="str">
        <f>'table-2-raw'!B8</f>
        <v>0.061</v>
      </c>
      <c r="D10" s="3" t="str">
        <f>'table-2-raw'!C8</f>
        <v>0.061</v>
      </c>
      <c r="E10" s="3" t="str">
        <f>'table-2-raw'!D8</f>
        <v>0.060</v>
      </c>
      <c r="F10" s="3" t="str">
        <f>"(" &amp;'table-2-raw'!E8&amp; ")"</f>
        <v>(0.906)</v>
      </c>
    </row>
    <row r="11" spans="1:6" x14ac:dyDescent="0.3">
      <c r="B11" s="1" t="s">
        <v>52</v>
      </c>
      <c r="C11" s="3" t="str">
        <f>'table-2-raw'!B9</f>
        <v>0.155</v>
      </c>
      <c r="D11" s="3" t="str">
        <f>'table-2-raw'!C9</f>
        <v>0.158</v>
      </c>
      <c r="E11" s="3" t="str">
        <f>'table-2-raw'!D9</f>
        <v>0.153</v>
      </c>
      <c r="F11" s="3" t="str">
        <f>"(" &amp;'table-2-raw'!E9&amp; ")"</f>
        <v>(0.533)</v>
      </c>
    </row>
    <row r="12" spans="1:6" x14ac:dyDescent="0.3">
      <c r="B12" s="1" t="s">
        <v>53</v>
      </c>
      <c r="C12" s="3" t="str">
        <f>'table-2-raw'!B10</f>
        <v>0.095</v>
      </c>
      <c r="D12" s="3" t="str">
        <f>'table-2-raw'!C10</f>
        <v>0.101</v>
      </c>
      <c r="E12" s="3" t="str">
        <f>'table-2-raw'!D10</f>
        <v>0.090</v>
      </c>
      <c r="F12" s="3" t="str">
        <f>"(" &amp;'table-2-raw'!E10&amp; ")"</f>
        <v>(0.072)</v>
      </c>
    </row>
    <row r="13" spans="1:6" x14ac:dyDescent="0.3">
      <c r="A13" s="1" t="s">
        <v>71</v>
      </c>
      <c r="C13" s="3"/>
      <c r="D13" s="3"/>
      <c r="E13" s="3"/>
      <c r="F13" s="3"/>
    </row>
    <row r="14" spans="1:6" x14ac:dyDescent="0.3">
      <c r="B14" s="1" t="s">
        <v>54</v>
      </c>
      <c r="C14" s="3" t="str">
        <f>'table-2-raw'!B11</f>
        <v>0.603</v>
      </c>
      <c r="D14" s="3" t="str">
        <f>'table-2-raw'!C11</f>
        <v>0.596</v>
      </c>
      <c r="E14" s="3" t="str">
        <f>'table-2-raw'!D11</f>
        <v>0.609</v>
      </c>
      <c r="F14" s="3" t="str">
        <f>"(" &amp;'table-2-raw'!E11&amp; ")"</f>
        <v>(0.260)</v>
      </c>
    </row>
    <row r="15" spans="1:6" x14ac:dyDescent="0.3">
      <c r="B15" s="1" t="s">
        <v>55</v>
      </c>
      <c r="C15" s="3" t="str">
        <f>'table-2-raw'!B12</f>
        <v>0.586</v>
      </c>
      <c r="D15" s="3" t="str">
        <f>'table-2-raw'!C12</f>
        <v>0.581</v>
      </c>
      <c r="E15" s="3" t="str">
        <f>'table-2-raw'!D12</f>
        <v>0.590</v>
      </c>
      <c r="F15" s="3" t="str">
        <f>"(" &amp;'table-2-raw'!E12&amp; ")"</f>
        <v>(0.434)</v>
      </c>
    </row>
    <row r="16" spans="1:6" x14ac:dyDescent="0.3">
      <c r="A16" s="29" t="s">
        <v>28</v>
      </c>
      <c r="B16" s="29"/>
      <c r="C16" s="3"/>
      <c r="D16" s="3"/>
      <c r="E16" s="3"/>
      <c r="F16" s="3"/>
    </row>
    <row r="17" spans="1:6" x14ac:dyDescent="0.3">
      <c r="B17" s="1" t="s">
        <v>29</v>
      </c>
      <c r="C17" s="3" t="str">
        <f>'table-2-raw'!B13</f>
        <v>0.773</v>
      </c>
      <c r="D17" s="3" t="str">
        <f>'table-2-raw'!C13</f>
        <v>0.775</v>
      </c>
      <c r="E17" s="3" t="str">
        <f>'table-2-raw'!D13</f>
        <v>0.772</v>
      </c>
      <c r="F17" s="3" t="str">
        <f>"(" &amp;'table-2-raw'!E13&amp; ")"</f>
        <v>(0.806)</v>
      </c>
    </row>
    <row r="18" spans="1:6" x14ac:dyDescent="0.3">
      <c r="B18" s="1" t="s">
        <v>30</v>
      </c>
      <c r="C18" s="3" t="str">
        <f>'table-2-raw'!B14</f>
        <v>0.073</v>
      </c>
      <c r="D18" s="3" t="str">
        <f>'table-2-raw'!C14</f>
        <v>0.075</v>
      </c>
      <c r="E18" s="3" t="str">
        <f>'table-2-raw'!D14</f>
        <v>0.071</v>
      </c>
      <c r="F18" s="3" t="str">
        <f>"(" &amp;'table-2-raw'!E14&amp; ")"</f>
        <v>(0.547)</v>
      </c>
    </row>
    <row r="19" spans="1:6" x14ac:dyDescent="0.3">
      <c r="B19" s="1" t="s">
        <v>31</v>
      </c>
      <c r="C19" s="3" t="str">
        <f>'table-2-raw'!B15</f>
        <v>0.249</v>
      </c>
      <c r="D19" s="3" t="str">
        <f>'table-2-raw'!C15</f>
        <v>0.249</v>
      </c>
      <c r="E19" s="3" t="str">
        <f>'table-2-raw'!D15</f>
        <v>0.250</v>
      </c>
      <c r="F19" s="3" t="str">
        <f>"(" &amp;'table-2-raw'!E15&amp; ")"</f>
        <v>(0.914)</v>
      </c>
    </row>
    <row r="20" spans="1:6" ht="16.2" thickBot="1" x14ac:dyDescent="0.35">
      <c r="A20" s="7"/>
      <c r="B20" s="7" t="s">
        <v>32</v>
      </c>
      <c r="C20" s="8" t="str">
        <f>'table-2-raw'!B16</f>
        <v>0.340</v>
      </c>
      <c r="D20" s="8" t="str">
        <f>'table-2-raw'!C16</f>
        <v>0.339</v>
      </c>
      <c r="E20" s="8" t="str">
        <f>'table-2-raw'!D16</f>
        <v>0.342</v>
      </c>
      <c r="F20" s="8" t="str">
        <f>"(" &amp;'table-2-raw'!E16&amp; ")"</f>
        <v>(0.754)</v>
      </c>
    </row>
    <row r="21" spans="1:6" ht="6.45" customHeight="1" thickTop="1" x14ac:dyDescent="0.3">
      <c r="C21" s="3"/>
      <c r="D21" s="3"/>
      <c r="E21" s="3"/>
      <c r="F21" s="3"/>
    </row>
    <row r="22" spans="1:6" x14ac:dyDescent="0.3">
      <c r="A22" s="29"/>
      <c r="B22" s="29"/>
      <c r="C22" s="3"/>
      <c r="D22" s="3"/>
      <c r="E22" s="3"/>
      <c r="F22" s="3"/>
    </row>
    <row r="23" spans="1:6" x14ac:dyDescent="0.3">
      <c r="C23" s="3"/>
      <c r="D23" s="3"/>
      <c r="E23" s="3"/>
      <c r="F23" s="3"/>
    </row>
    <row r="24" spans="1:6" x14ac:dyDescent="0.3">
      <c r="C24" s="3"/>
      <c r="D24" s="3"/>
      <c r="E24" s="3"/>
      <c r="F24" s="3"/>
    </row>
    <row r="25" spans="1:6" x14ac:dyDescent="0.3">
      <c r="C25" s="3"/>
      <c r="D25" s="3"/>
      <c r="E25" s="3"/>
      <c r="F25" s="3"/>
    </row>
    <row r="26" spans="1:6" x14ac:dyDescent="0.3">
      <c r="C26" s="3"/>
      <c r="D26" s="3"/>
      <c r="E26" s="3"/>
      <c r="F26" s="3"/>
    </row>
    <row r="27" spans="1:6" x14ac:dyDescent="0.3">
      <c r="C27" s="3"/>
      <c r="D27" s="3"/>
      <c r="E27" s="3"/>
      <c r="F27" s="3"/>
    </row>
    <row r="28" spans="1:6" x14ac:dyDescent="0.3">
      <c r="A28" s="29"/>
      <c r="B28" s="29"/>
      <c r="C28" s="3"/>
      <c r="D28" s="3"/>
      <c r="E28" s="3"/>
      <c r="F28" s="3"/>
    </row>
    <row r="29" spans="1:6" x14ac:dyDescent="0.3">
      <c r="C29" s="3"/>
      <c r="D29" s="3"/>
      <c r="E29" s="3"/>
      <c r="F29" s="3"/>
    </row>
    <row r="30" spans="1:6" x14ac:dyDescent="0.3">
      <c r="C30" s="3"/>
      <c r="D30" s="3"/>
      <c r="E30" s="3"/>
      <c r="F30" s="3"/>
    </row>
    <row r="31" spans="1:6" x14ac:dyDescent="0.3">
      <c r="C31" s="3"/>
      <c r="D31" s="3"/>
      <c r="E31" s="3"/>
      <c r="F31" s="3"/>
    </row>
    <row r="32" spans="1:6" x14ac:dyDescent="0.3">
      <c r="C32" s="3"/>
      <c r="D32" s="3"/>
      <c r="E32" s="3"/>
      <c r="F32" s="3"/>
    </row>
  </sheetData>
  <mergeCells count="5">
    <mergeCell ref="A4:B4"/>
    <mergeCell ref="A8:B8"/>
    <mergeCell ref="A16:B16"/>
    <mergeCell ref="A22:B22"/>
    <mergeCell ref="A28:B28"/>
  </mergeCells>
  <pageMargins left="0.7" right="0.7" top="0.75" bottom="0.75" header="0.3" footer="0.3"/>
  <pageSetup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EB1D0-3794-4107-B5C1-747C124CF5F1}">
  <dimension ref="A1:E9"/>
  <sheetViews>
    <sheetView workbookViewId="0">
      <selection activeCell="H35" sqref="H35"/>
    </sheetView>
  </sheetViews>
  <sheetFormatPr defaultRowHeight="14.4" x14ac:dyDescent="0.3"/>
  <sheetData>
    <row r="1" spans="1:5" x14ac:dyDescent="0.3">
      <c r="A1" t="str">
        <f>"Testing Intent to Treat Effects - 1 Year"</f>
        <v>Testing Intent to Treat Effects - 1 Year</v>
      </c>
    </row>
    <row r="2" spans="1:5" x14ac:dyDescent="0.3">
      <c r="A2" t="str">
        <f>""</f>
        <v/>
      </c>
      <c r="B2" t="str">
        <f>"(1)"</f>
        <v>(1)</v>
      </c>
      <c r="C2" t="str">
        <f>"(2)"</f>
        <v>(2)</v>
      </c>
      <c r="D2" t="str">
        <f>"(3)"</f>
        <v>(3)</v>
      </c>
      <c r="E2" t="str">
        <f>"(4)"</f>
        <v>(4)</v>
      </c>
    </row>
    <row r="3" spans="1:5" x14ac:dyDescent="0.3">
      <c r="A3" t="str">
        <f>"main"</f>
        <v>main</v>
      </c>
      <c r="B3" t="str">
        <f>""</f>
        <v/>
      </c>
      <c r="C3" t="str">
        <f>""</f>
        <v/>
      </c>
      <c r="D3" t="str">
        <f>""</f>
        <v/>
      </c>
      <c r="E3" t="str">
        <f>""</f>
        <v/>
      </c>
    </row>
    <row r="4" spans="1:5" x14ac:dyDescent="0.3">
      <c r="A4" t="str">
        <f>"Mailed Test Strip"</f>
        <v>Mailed Test Strip</v>
      </c>
      <c r="B4" t="str">
        <f>"0.698***"</f>
        <v>0.698***</v>
      </c>
      <c r="C4" t="str">
        <f>"1.160***"</f>
        <v>1.160***</v>
      </c>
      <c r="D4" t="str">
        <f>"0.160***"</f>
        <v>0.160***</v>
      </c>
      <c r="E4" t="str">
        <f>"0.304***"</f>
        <v>0.304***</v>
      </c>
    </row>
    <row r="5" spans="1:5" x14ac:dyDescent="0.3">
      <c r="A5" t="str">
        <f>""</f>
        <v/>
      </c>
      <c r="B5" t="str">
        <f>"(0.040)"</f>
        <v>(0.040)</v>
      </c>
      <c r="C5" t="str">
        <f>"(0.068)"</f>
        <v>(0.068)</v>
      </c>
      <c r="D5" t="str">
        <f>"(0.049)"</f>
        <v>(0.049)</v>
      </c>
      <c r="E5" t="str">
        <f>"(0.093)"</f>
        <v>(0.093)</v>
      </c>
    </row>
    <row r="6" spans="1:5" x14ac:dyDescent="0.3">
      <c r="A6" t="str">
        <f>"Constant"</f>
        <v>Constant</v>
      </c>
      <c r="B6" t="str">
        <f>"-0.865***"</f>
        <v>-0.865***</v>
      </c>
      <c r="C6" t="str">
        <f>"-1.427***"</f>
        <v>-1.427***</v>
      </c>
      <c r="D6" t="str">
        <f>"-1.282***"</f>
        <v>-1.282***</v>
      </c>
      <c r="E6" t="str">
        <f>"-2.198***"</f>
        <v>-2.198***</v>
      </c>
    </row>
    <row r="7" spans="1:5" x14ac:dyDescent="0.3">
      <c r="A7" t="str">
        <f>""</f>
        <v/>
      </c>
      <c r="B7" t="str">
        <f>"(0.030)"</f>
        <v>(0.030)</v>
      </c>
      <c r="C7" t="str">
        <f>"(0.052)"</f>
        <v>(0.052)</v>
      </c>
      <c r="D7" t="str">
        <f>"(0.035)"</f>
        <v>(0.035)</v>
      </c>
      <c r="E7" t="str">
        <f>"(0.068)"</f>
        <v>(0.068)</v>
      </c>
    </row>
    <row r="8" spans="1:5" x14ac:dyDescent="0.3">
      <c r="A8" t="str">
        <f>"Observations"</f>
        <v>Observations</v>
      </c>
      <c r="B8" t="str">
        <f>"4541"</f>
        <v>4541</v>
      </c>
      <c r="C8" t="str">
        <f>"4541"</f>
        <v>4541</v>
      </c>
      <c r="D8" t="str">
        <f>"4541"</f>
        <v>4541</v>
      </c>
      <c r="E8" t="str">
        <f>"4541"</f>
        <v>4541</v>
      </c>
    </row>
    <row r="9" spans="1:5" x14ac:dyDescent="0.3">
      <c r="A9" t="str">
        <f>"Marginal Effect"</f>
        <v>Marginal Effect</v>
      </c>
      <c r="B9" t="str">
        <f>"0.2311"</f>
        <v>0.2311</v>
      </c>
      <c r="C9" t="str">
        <f>"0.2307"</f>
        <v>0.2307</v>
      </c>
      <c r="D9" t="str">
        <f>"0.0308"</f>
        <v>0.0308</v>
      </c>
      <c r="E9" t="str">
        <f>"0.0309"</f>
        <v>0.0309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E738D-FC6D-47DC-BBDA-3A2D37B43291}">
  <dimension ref="A1:K24"/>
  <sheetViews>
    <sheetView workbookViewId="0">
      <selection activeCell="H34" sqref="H34"/>
    </sheetView>
  </sheetViews>
  <sheetFormatPr defaultRowHeight="14.4" x14ac:dyDescent="0.3"/>
  <sheetData>
    <row r="1" spans="1:11" x14ac:dyDescent="0.3">
      <c r="A1" t="str">
        <f>"Testing Intent to Treat Effects - 1 Year"</f>
        <v>Testing Intent to Treat Effects - 1 Year</v>
      </c>
    </row>
    <row r="2" spans="1:11" x14ac:dyDescent="0.3">
      <c r="A2" t="str">
        <f>""</f>
        <v/>
      </c>
      <c r="B2" t="str">
        <f>"(1)"</f>
        <v>(1)</v>
      </c>
      <c r="C2" t="str">
        <f>"(2)"</f>
        <v>(2)</v>
      </c>
      <c r="D2" t="str">
        <f>"(3)"</f>
        <v>(3)</v>
      </c>
      <c r="E2" t="str">
        <f>"(4)"</f>
        <v>(4)</v>
      </c>
      <c r="F2" t="str">
        <f>"(5)"</f>
        <v>(5)</v>
      </c>
      <c r="G2" t="str">
        <f>"(6)"</f>
        <v>(6)</v>
      </c>
      <c r="H2" t="str">
        <f>"(7)"</f>
        <v>(7)</v>
      </c>
      <c r="I2" t="str">
        <f>"(8)"</f>
        <v>(8)</v>
      </c>
      <c r="J2" t="str">
        <f>"(9)"</f>
        <v>(9)</v>
      </c>
      <c r="K2" t="str">
        <f>"(10)"</f>
        <v>(10)</v>
      </c>
    </row>
    <row r="3" spans="1:11" x14ac:dyDescent="0.3">
      <c r="A3" t="str">
        <f>"Mailed Test Strip"</f>
        <v>Mailed Test Strip</v>
      </c>
      <c r="B3" t="str">
        <f>"0.237***"</f>
        <v>0.237***</v>
      </c>
      <c r="C3" t="str">
        <f>"0.239***"</f>
        <v>0.239***</v>
      </c>
      <c r="D3" t="str">
        <f>"0.236***"</f>
        <v>0.236***</v>
      </c>
      <c r="E3" t="str">
        <f>"0.241***"</f>
        <v>0.241***</v>
      </c>
      <c r="F3" t="str">
        <f>"0.250***"</f>
        <v>0.250***</v>
      </c>
      <c r="G3" t="str">
        <f>"0.233***"</f>
        <v>0.233***</v>
      </c>
      <c r="H3" t="str">
        <f>"0.218***"</f>
        <v>0.218***</v>
      </c>
      <c r="I3" t="str">
        <f>"0.216***"</f>
        <v>0.216***</v>
      </c>
      <c r="J3" t="str">
        <f>"0.184***"</f>
        <v>0.184***</v>
      </c>
      <c r="K3" t="str">
        <f>"0.192***"</f>
        <v>0.192***</v>
      </c>
    </row>
    <row r="4" spans="1:11" x14ac:dyDescent="0.3">
      <c r="A4" t="str">
        <f>""</f>
        <v/>
      </c>
      <c r="B4" t="str">
        <f>"(0.020)"</f>
        <v>(0.020)</v>
      </c>
      <c r="C4" t="str">
        <f>"(0.014)"</f>
        <v>(0.014)</v>
      </c>
      <c r="D4" t="str">
        <f>"(0.014)"</f>
        <v>(0.014)</v>
      </c>
      <c r="E4" t="str">
        <f>"(0.014)"</f>
        <v>(0.014)</v>
      </c>
      <c r="F4" t="str">
        <f>"(0.016)"</f>
        <v>(0.016)</v>
      </c>
      <c r="G4" t="str">
        <f>"(0.014)"</f>
        <v>(0.014)</v>
      </c>
      <c r="H4" t="str">
        <f>"(0.016)"</f>
        <v>(0.016)</v>
      </c>
      <c r="I4" t="str">
        <f>"(0.015)"</f>
        <v>(0.015)</v>
      </c>
      <c r="J4" t="str">
        <f>"(0.030)"</f>
        <v>(0.030)</v>
      </c>
      <c r="K4" t="str">
        <f>"(0.030)"</f>
        <v>(0.030)</v>
      </c>
    </row>
    <row r="5" spans="1:11" x14ac:dyDescent="0.3">
      <c r="A5" t="str">
        <f>"Treat x Well Age&gt;20 Years"</f>
        <v>Treat x Well Age&gt;20 Years</v>
      </c>
      <c r="B5" t="str">
        <f>"0.005"</f>
        <v>0.005</v>
      </c>
      <c r="C5" t="str">
        <f>""</f>
        <v/>
      </c>
      <c r="D5" t="str">
        <f>""</f>
        <v/>
      </c>
      <c r="E5" t="str">
        <f>""</f>
        <v/>
      </c>
      <c r="F5" t="str">
        <f>""</f>
        <v/>
      </c>
      <c r="G5" t="str">
        <f>""</f>
        <v/>
      </c>
      <c r="H5" t="str">
        <f>""</f>
        <v/>
      </c>
      <c r="I5" t="str">
        <f>""</f>
        <v/>
      </c>
      <c r="J5" t="str">
        <f>"0.016"</f>
        <v>0.016</v>
      </c>
      <c r="K5" t="str">
        <f>"0.017"</f>
        <v>0.017</v>
      </c>
    </row>
    <row r="6" spans="1:11" x14ac:dyDescent="0.3">
      <c r="A6" t="str">
        <f>""</f>
        <v/>
      </c>
      <c r="B6" t="str">
        <f>"(0.021)"</f>
        <v>(0.021)</v>
      </c>
      <c r="C6" t="str">
        <f>""</f>
        <v/>
      </c>
      <c r="D6" t="str">
        <f>""</f>
        <v/>
      </c>
      <c r="E6" t="str">
        <f>""</f>
        <v/>
      </c>
      <c r="F6" t="str">
        <f>""</f>
        <v/>
      </c>
      <c r="G6" t="str">
        <f>""</f>
        <v/>
      </c>
      <c r="H6" t="str">
        <f>""</f>
        <v/>
      </c>
      <c r="I6" t="str">
        <f>""</f>
        <v/>
      </c>
      <c r="J6" t="str">
        <f>"(0.026)"</f>
        <v>(0.026)</v>
      </c>
      <c r="K6" t="str">
        <f>"(0.026)"</f>
        <v>(0.026)</v>
      </c>
    </row>
    <row r="7" spans="1:11" x14ac:dyDescent="0.3">
      <c r="A7" t="str">
        <f>"Treat x Unsure Well Age"</f>
        <v>Treat x Unsure Well Age</v>
      </c>
      <c r="B7" t="str">
        <f>""</f>
        <v/>
      </c>
      <c r="C7" t="str">
        <f>"0.012"</f>
        <v>0.012</v>
      </c>
      <c r="D7" t="str">
        <f>""</f>
        <v/>
      </c>
      <c r="E7" t="str">
        <f>""</f>
        <v/>
      </c>
      <c r="F7" t="str">
        <f>""</f>
        <v/>
      </c>
      <c r="G7" t="str">
        <f>""</f>
        <v/>
      </c>
      <c r="H7" t="str">
        <f>""</f>
        <v/>
      </c>
      <c r="I7" t="str">
        <f>""</f>
        <v/>
      </c>
      <c r="J7" t="str">
        <f>"0.035"</f>
        <v>0.035</v>
      </c>
      <c r="K7" t="str">
        <f>"0.035"</f>
        <v>0.035</v>
      </c>
    </row>
    <row r="8" spans="1:11" x14ac:dyDescent="0.3">
      <c r="A8" t="str">
        <f>""</f>
        <v/>
      </c>
      <c r="B8" t="str">
        <f>""</f>
        <v/>
      </c>
      <c r="C8" t="str">
        <f>"(0.035)"</f>
        <v>(0.035)</v>
      </c>
      <c r="D8" t="str">
        <f>""</f>
        <v/>
      </c>
      <c r="E8" t="str">
        <f>""</f>
        <v/>
      </c>
      <c r="F8" t="str">
        <f>""</f>
        <v/>
      </c>
      <c r="G8" t="str">
        <f>""</f>
        <v/>
      </c>
      <c r="H8" t="str">
        <f>""</f>
        <v/>
      </c>
      <c r="I8" t="str">
        <f>""</f>
        <v/>
      </c>
      <c r="J8" t="str">
        <f>"(0.047)"</f>
        <v>(0.047)</v>
      </c>
      <c r="K8" t="str">
        <f>"(0.047)"</f>
        <v>(0.047)</v>
      </c>
    </row>
    <row r="9" spans="1:11" x14ac:dyDescent="0.3">
      <c r="A9" t="str">
        <f>"Treat x Well Depth &lt;50 Feet"</f>
        <v>Treat x Well Depth &lt;50 Feet</v>
      </c>
      <c r="B9" t="str">
        <f>""</f>
        <v/>
      </c>
      <c r="C9" t="str">
        <f>""</f>
        <v/>
      </c>
      <c r="D9" t="str">
        <f>"0.033"</f>
        <v>0.033</v>
      </c>
      <c r="E9" t="str">
        <f>""</f>
        <v/>
      </c>
      <c r="F9" t="str">
        <f>""</f>
        <v/>
      </c>
      <c r="G9" t="str">
        <f>""</f>
        <v/>
      </c>
      <c r="H9" t="str">
        <f>""</f>
        <v/>
      </c>
      <c r="I9" t="str">
        <f>""</f>
        <v/>
      </c>
      <c r="J9" t="str">
        <f>"0.059"</f>
        <v>0.059</v>
      </c>
      <c r="K9" t="str">
        <f>"0.035"</f>
        <v>0.035</v>
      </c>
    </row>
    <row r="10" spans="1:11" x14ac:dyDescent="0.3">
      <c r="A10" t="str">
        <f>""</f>
        <v/>
      </c>
      <c r="B10" t="str">
        <f>""</f>
        <v/>
      </c>
      <c r="C10" t="str">
        <f>""</f>
        <v/>
      </c>
      <c r="D10" t="str">
        <f>"(0.033)"</f>
        <v>(0.033)</v>
      </c>
      <c r="E10" t="str">
        <f>""</f>
        <v/>
      </c>
      <c r="F10" t="str">
        <f>""</f>
        <v/>
      </c>
      <c r="G10" t="str">
        <f>""</f>
        <v/>
      </c>
      <c r="H10" t="str">
        <f>""</f>
        <v/>
      </c>
      <c r="I10" t="str">
        <f>""</f>
        <v/>
      </c>
      <c r="J10" t="str">
        <f>"(0.036)"</f>
        <v>(0.036)</v>
      </c>
      <c r="K10" t="str">
        <f>"(0.037)"</f>
        <v>(0.037)</v>
      </c>
    </row>
    <row r="11" spans="1:11" x14ac:dyDescent="0.3">
      <c r="A11" t="str">
        <f>"Treat x Unsure Well Depth"</f>
        <v>Treat x Unsure Well Depth</v>
      </c>
      <c r="B11" t="str">
        <f>""</f>
        <v/>
      </c>
      <c r="C11" t="str">
        <f>""</f>
        <v/>
      </c>
      <c r="D11" t="str">
        <f>""</f>
        <v/>
      </c>
      <c r="E11" t="str">
        <f>"-0.013"</f>
        <v>-0.013</v>
      </c>
      <c r="F11" t="str">
        <f>""</f>
        <v/>
      </c>
      <c r="G11" t="str">
        <f>""</f>
        <v/>
      </c>
      <c r="H11" t="str">
        <f>""</f>
        <v/>
      </c>
      <c r="I11" t="str">
        <f>""</f>
        <v/>
      </c>
      <c r="J11" t="str">
        <f>"-0.034"</f>
        <v>-0.034</v>
      </c>
      <c r="K11" t="str">
        <f>"-0.037"</f>
        <v>-0.037</v>
      </c>
    </row>
    <row r="12" spans="1:11" x14ac:dyDescent="0.3">
      <c r="A12" t="str">
        <f>""</f>
        <v/>
      </c>
      <c r="B12" t="str">
        <f>""</f>
        <v/>
      </c>
      <c r="C12" t="str">
        <f>""</f>
        <v/>
      </c>
      <c r="D12" t="str">
        <f>""</f>
        <v/>
      </c>
      <c r="E12" t="str">
        <f>"(0.027)"</f>
        <v>(0.027)</v>
      </c>
      <c r="F12" t="str">
        <f>""</f>
        <v/>
      </c>
      <c r="G12" t="str">
        <f>""</f>
        <v/>
      </c>
      <c r="H12" t="str">
        <f>""</f>
        <v/>
      </c>
      <c r="I12" t="str">
        <f>""</f>
        <v/>
      </c>
      <c r="J12" t="str">
        <f>"(0.032)"</f>
        <v>(0.032)</v>
      </c>
      <c r="K12" t="str">
        <f>"(0.032)"</f>
        <v>(0.032)</v>
      </c>
    </row>
    <row r="13" spans="1:11" x14ac:dyDescent="0.3">
      <c r="A13" t="str">
        <f>"Treat x Retiree in Household"</f>
        <v>Treat x Retiree in Household</v>
      </c>
      <c r="B13" t="str">
        <f>""</f>
        <v/>
      </c>
      <c r="C13" t="str">
        <f>""</f>
        <v/>
      </c>
      <c r="D13" t="str">
        <f>""</f>
        <v/>
      </c>
      <c r="E13" t="str">
        <f>""</f>
        <v/>
      </c>
      <c r="F13" t="str">
        <f>"-0.021"</f>
        <v>-0.021</v>
      </c>
      <c r="G13" t="str">
        <f>""</f>
        <v/>
      </c>
      <c r="H13" t="str">
        <f>""</f>
        <v/>
      </c>
      <c r="I13" t="str">
        <f>""</f>
        <v/>
      </c>
      <c r="J13" t="str">
        <f>"-0.005"</f>
        <v>-0.005</v>
      </c>
      <c r="K13" t="str">
        <f>"-0.011"</f>
        <v>-0.011</v>
      </c>
    </row>
    <row r="14" spans="1:11" x14ac:dyDescent="0.3">
      <c r="A14" t="str">
        <f>""</f>
        <v/>
      </c>
      <c r="B14" t="str">
        <f>""</f>
        <v/>
      </c>
      <c r="C14" t="str">
        <f>""</f>
        <v/>
      </c>
      <c r="D14" t="str">
        <f>""</f>
        <v/>
      </c>
      <c r="E14" t="str">
        <f>""</f>
        <v/>
      </c>
      <c r="F14" t="str">
        <f>"(0.019)"</f>
        <v>(0.019)</v>
      </c>
      <c r="G14" t="str">
        <f>""</f>
        <v/>
      </c>
      <c r="H14" t="str">
        <f>""</f>
        <v/>
      </c>
      <c r="I14" t="str">
        <f>""</f>
        <v/>
      </c>
      <c r="J14" t="str">
        <f>"(0.023)"</f>
        <v>(0.023)</v>
      </c>
      <c r="K14" t="str">
        <f>"(0.023)"</f>
        <v>(0.023)</v>
      </c>
    </row>
    <row r="15" spans="1:11" x14ac:dyDescent="0.3">
      <c r="A15" t="str">
        <f>"Treat x Children in Household"</f>
        <v>Treat x Children in Household</v>
      </c>
      <c r="B15" t="str">
        <f>""</f>
        <v/>
      </c>
      <c r="C15" t="str">
        <f>""</f>
        <v/>
      </c>
      <c r="D15" t="str">
        <f>""</f>
        <v/>
      </c>
      <c r="E15" t="str">
        <f>""</f>
        <v/>
      </c>
      <c r="F15" t="str">
        <f>""</f>
        <v/>
      </c>
      <c r="G15" t="str">
        <f>"0.037"</f>
        <v>0.037</v>
      </c>
      <c r="H15" t="str">
        <f>""</f>
        <v/>
      </c>
      <c r="I15" t="str">
        <f>""</f>
        <v/>
      </c>
      <c r="J15" t="str">
        <f>"0.029"</f>
        <v>0.029</v>
      </c>
      <c r="K15" t="str">
        <f>"0.030"</f>
        <v>0.030</v>
      </c>
    </row>
    <row r="16" spans="1:11" x14ac:dyDescent="0.3">
      <c r="A16" t="str">
        <f>""</f>
        <v/>
      </c>
      <c r="B16" t="str">
        <f>""</f>
        <v/>
      </c>
      <c r="C16" t="str">
        <f>""</f>
        <v/>
      </c>
      <c r="D16" t="str">
        <f>""</f>
        <v/>
      </c>
      <c r="E16" t="str">
        <f>""</f>
        <v/>
      </c>
      <c r="F16" t="str">
        <f>""</f>
        <v/>
      </c>
      <c r="G16" t="str">
        <f>"(0.026)"</f>
        <v>(0.026)</v>
      </c>
      <c r="H16" t="str">
        <f>""</f>
        <v/>
      </c>
      <c r="I16" t="str">
        <f>""</f>
        <v/>
      </c>
      <c r="J16" t="str">
        <f>"(0.030)"</f>
        <v>(0.030)</v>
      </c>
      <c r="K16" t="str">
        <f>"(0.030)"</f>
        <v>(0.030)</v>
      </c>
    </row>
    <row r="17" spans="1:11" x14ac:dyDescent="0.3">
      <c r="A17" t="str">
        <f>"Treat x Bachelor's or Higher"</f>
        <v>Treat x Bachelor's or Higher</v>
      </c>
      <c r="B17" t="str">
        <f>""</f>
        <v/>
      </c>
      <c r="C17" t="str">
        <f>""</f>
        <v/>
      </c>
      <c r="D17" t="str">
        <f>""</f>
        <v/>
      </c>
      <c r="E17" t="str">
        <f>""</f>
        <v/>
      </c>
      <c r="F17" t="str">
        <f>""</f>
        <v/>
      </c>
      <c r="G17" t="str">
        <f>""</f>
        <v/>
      </c>
      <c r="H17" t="str">
        <f>"0.047**"</f>
        <v>0.047**</v>
      </c>
      <c r="I17" t="str">
        <f>""</f>
        <v/>
      </c>
      <c r="J17" t="str">
        <f>"0.046**"</f>
        <v>0.046**</v>
      </c>
      <c r="K17" t="str">
        <f>"0.040*"</f>
        <v>0.040*</v>
      </c>
    </row>
    <row r="18" spans="1:11" x14ac:dyDescent="0.3">
      <c r="A18" t="str">
        <f>""</f>
        <v/>
      </c>
      <c r="B18" t="str">
        <f>""</f>
        <v/>
      </c>
      <c r="C18" t="str">
        <f>""</f>
        <v/>
      </c>
      <c r="D18" t="str">
        <f>""</f>
        <v/>
      </c>
      <c r="E18" t="str">
        <f>""</f>
        <v/>
      </c>
      <c r="F18" t="str">
        <f>""</f>
        <v/>
      </c>
      <c r="G18" t="str">
        <f>""</f>
        <v/>
      </c>
      <c r="H18" t="str">
        <f>"(0.020)"</f>
        <v>(0.020)</v>
      </c>
      <c r="I18" t="str">
        <f>""</f>
        <v/>
      </c>
      <c r="J18" t="str">
        <f>"(0.023)"</f>
        <v>(0.023)</v>
      </c>
      <c r="K18" t="str">
        <f>"(0.023)"</f>
        <v>(0.023)</v>
      </c>
    </row>
    <row r="19" spans="1:11" x14ac:dyDescent="0.3">
      <c r="A19" t="str">
        <f>"Treat x Income &gt;$200K"</f>
        <v>Treat x Income &gt;$200K</v>
      </c>
      <c r="B19" t="str">
        <f>""</f>
        <v/>
      </c>
      <c r="C19" t="str">
        <f>""</f>
        <v/>
      </c>
      <c r="D19" t="str">
        <f>""</f>
        <v/>
      </c>
      <c r="E19" t="str">
        <f>""</f>
        <v/>
      </c>
      <c r="F19" t="str">
        <f>""</f>
        <v/>
      </c>
      <c r="G19" t="str">
        <f>""</f>
        <v/>
      </c>
      <c r="H19" t="str">
        <f>""</f>
        <v/>
      </c>
      <c r="I19" t="str">
        <f>"0.043*"</f>
        <v>0.043*</v>
      </c>
      <c r="J19" t="str">
        <f>"0.027"</f>
        <v>0.027</v>
      </c>
      <c r="K19" t="str">
        <f>"0.024"</f>
        <v>0.024</v>
      </c>
    </row>
    <row r="20" spans="1:11" x14ac:dyDescent="0.3">
      <c r="A20" t="str">
        <f>""</f>
        <v/>
      </c>
      <c r="B20" t="str">
        <f>""</f>
        <v/>
      </c>
      <c r="C20" t="str">
        <f>""</f>
        <v/>
      </c>
      <c r="D20" t="str">
        <f>""</f>
        <v/>
      </c>
      <c r="E20" t="str">
        <f>""</f>
        <v/>
      </c>
      <c r="F20" t="str">
        <f>""</f>
        <v/>
      </c>
      <c r="G20" t="str">
        <f>""</f>
        <v/>
      </c>
      <c r="H20" t="str">
        <f>""</f>
        <v/>
      </c>
      <c r="I20" t="str">
        <f>"(0.024)"</f>
        <v>(0.024)</v>
      </c>
      <c r="J20" t="str">
        <f>"(0.026)"</f>
        <v>(0.026)</v>
      </c>
      <c r="K20" t="str">
        <f>"(0.026)"</f>
        <v>(0.026)</v>
      </c>
    </row>
    <row r="21" spans="1:11" x14ac:dyDescent="0.3">
      <c r="A21" t="str">
        <f>"Constant"</f>
        <v>Constant</v>
      </c>
      <c r="B21" t="str">
        <f t="shared" ref="B21:G21" si="0">"0.194***"</f>
        <v>0.194***</v>
      </c>
      <c r="C21" t="str">
        <f t="shared" si="0"/>
        <v>0.194***</v>
      </c>
      <c r="D21" t="str">
        <f t="shared" si="0"/>
        <v>0.194***</v>
      </c>
      <c r="E21" t="str">
        <f t="shared" si="0"/>
        <v>0.194***</v>
      </c>
      <c r="F21" t="str">
        <f t="shared" si="0"/>
        <v>0.194***</v>
      </c>
      <c r="G21" t="str">
        <f t="shared" si="0"/>
        <v>0.194***</v>
      </c>
      <c r="H21" t="str">
        <f>"0.193***"</f>
        <v>0.193***</v>
      </c>
      <c r="I21" t="str">
        <f>"0.197***"</f>
        <v>0.197***</v>
      </c>
      <c r="J21" t="str">
        <f>"0.195***"</f>
        <v>0.195***</v>
      </c>
      <c r="K21" t="str">
        <f>"0.195***"</f>
        <v>0.195***</v>
      </c>
    </row>
    <row r="22" spans="1:11" x14ac:dyDescent="0.3">
      <c r="A22" t="str">
        <f>""</f>
        <v/>
      </c>
      <c r="B22" t="str">
        <f t="shared" ref="B22:H22" si="1">"(0.009)"</f>
        <v>(0.009)</v>
      </c>
      <c r="C22" t="str">
        <f t="shared" si="1"/>
        <v>(0.009)</v>
      </c>
      <c r="D22" t="str">
        <f t="shared" si="1"/>
        <v>(0.009)</v>
      </c>
      <c r="E22" t="str">
        <f t="shared" si="1"/>
        <v>(0.009)</v>
      </c>
      <c r="F22" t="str">
        <f t="shared" si="1"/>
        <v>(0.009)</v>
      </c>
      <c r="G22" t="str">
        <f t="shared" si="1"/>
        <v>(0.009)</v>
      </c>
      <c r="H22" t="str">
        <f t="shared" si="1"/>
        <v>(0.009)</v>
      </c>
      <c r="I22" t="str">
        <f>"(0.010)"</f>
        <v>(0.010)</v>
      </c>
      <c r="J22" t="str">
        <f>"(0.010)"</f>
        <v>(0.010)</v>
      </c>
      <c r="K22" t="str">
        <f>"(0.010)"</f>
        <v>(0.010)</v>
      </c>
    </row>
    <row r="23" spans="1:11" x14ac:dyDescent="0.3">
      <c r="A23" t="str">
        <f>"Observations"</f>
        <v>Observations</v>
      </c>
      <c r="B23" t="str">
        <f>"4517"</f>
        <v>4517</v>
      </c>
      <c r="C23" t="str">
        <f>"4517"</f>
        <v>4517</v>
      </c>
      <c r="D23" t="str">
        <f>"4442"</f>
        <v>4442</v>
      </c>
      <c r="E23" t="str">
        <f>"4442"</f>
        <v>4442</v>
      </c>
      <c r="F23" t="str">
        <f>"4541"</f>
        <v>4541</v>
      </c>
      <c r="G23" t="str">
        <f>"4500"</f>
        <v>4500</v>
      </c>
      <c r="H23" t="str">
        <f>"4239"</f>
        <v>4239</v>
      </c>
      <c r="I23" t="str">
        <f>"3903"</f>
        <v>3903</v>
      </c>
      <c r="J23" t="str">
        <f>"3711"</f>
        <v>3711</v>
      </c>
      <c r="K23" t="str">
        <f>"3711"</f>
        <v>3711</v>
      </c>
    </row>
    <row r="24" spans="1:11" x14ac:dyDescent="0.3">
      <c r="A24" t="str">
        <f>"County FE"</f>
        <v>County FE</v>
      </c>
      <c r="B24" t="str">
        <f t="shared" ref="B24:J24" si="2">"No"</f>
        <v>No</v>
      </c>
      <c r="C24" t="str">
        <f t="shared" si="2"/>
        <v>No</v>
      </c>
      <c r="D24" t="str">
        <f t="shared" si="2"/>
        <v>No</v>
      </c>
      <c r="E24" t="str">
        <f t="shared" si="2"/>
        <v>No</v>
      </c>
      <c r="F24" t="str">
        <f t="shared" si="2"/>
        <v>No</v>
      </c>
      <c r="G24" t="str">
        <f t="shared" si="2"/>
        <v>No</v>
      </c>
      <c r="H24" t="str">
        <f t="shared" si="2"/>
        <v>No</v>
      </c>
      <c r="I24" t="str">
        <f t="shared" si="2"/>
        <v>No</v>
      </c>
      <c r="J24" t="str">
        <f t="shared" si="2"/>
        <v>No</v>
      </c>
      <c r="K24" t="str">
        <f>"Yes"</f>
        <v>Yes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9384F-7C4F-44FC-ACA0-B278F490CA2D}">
  <dimension ref="A1:K24"/>
  <sheetViews>
    <sheetView workbookViewId="0">
      <selection activeCell="Z20" sqref="Z20"/>
    </sheetView>
  </sheetViews>
  <sheetFormatPr defaultRowHeight="14.4" x14ac:dyDescent="0.3"/>
  <sheetData>
    <row r="1" spans="1:11" x14ac:dyDescent="0.3">
      <c r="A1" t="str">
        <f>"Testing Intent to Treat Effects - GTC"</f>
        <v>Testing Intent to Treat Effects - GTC</v>
      </c>
    </row>
    <row r="2" spans="1:11" x14ac:dyDescent="0.3">
      <c r="A2" t="str">
        <f>""</f>
        <v/>
      </c>
      <c r="B2" t="str">
        <f>"(1)"</f>
        <v>(1)</v>
      </c>
      <c r="C2" t="str">
        <f>"(2)"</f>
        <v>(2)</v>
      </c>
      <c r="D2" t="str">
        <f>"(3)"</f>
        <v>(3)</v>
      </c>
      <c r="E2" t="str">
        <f>"(4)"</f>
        <v>(4)</v>
      </c>
      <c r="F2" t="str">
        <f>"(5)"</f>
        <v>(5)</v>
      </c>
      <c r="G2" t="str">
        <f>"(6)"</f>
        <v>(6)</v>
      </c>
      <c r="H2" t="str">
        <f>"(7)"</f>
        <v>(7)</v>
      </c>
      <c r="I2" t="str">
        <f>"(8)"</f>
        <v>(8)</v>
      </c>
      <c r="J2" t="str">
        <f>"(9)"</f>
        <v>(9)</v>
      </c>
      <c r="K2" t="str">
        <f>"(10)"</f>
        <v>(10)</v>
      </c>
    </row>
    <row r="3" spans="1:11" x14ac:dyDescent="0.3">
      <c r="A3" t="str">
        <f>"Mailed Test Strip"</f>
        <v>Mailed Test Strip</v>
      </c>
      <c r="B3" t="str">
        <f>"0.034**"</f>
        <v>0.034**</v>
      </c>
      <c r="C3" t="str">
        <f>"0.031***"</f>
        <v>0.031***</v>
      </c>
      <c r="D3" t="str">
        <f>"0.030***"</f>
        <v>0.030***</v>
      </c>
      <c r="E3" t="str">
        <f>"0.036***"</f>
        <v>0.036***</v>
      </c>
      <c r="F3" t="str">
        <f>"0.038***"</f>
        <v>0.038***</v>
      </c>
      <c r="G3" t="str">
        <f>"0.023**"</f>
        <v>0.023**</v>
      </c>
      <c r="H3" t="str">
        <f>"0.020*"</f>
        <v>0.020*</v>
      </c>
      <c r="I3" t="str">
        <f>"0.033***"</f>
        <v>0.033***</v>
      </c>
      <c r="J3" t="str">
        <f>"0.018"</f>
        <v>0.018</v>
      </c>
      <c r="K3" t="str">
        <f>"0.025"</f>
        <v>0.025</v>
      </c>
    </row>
    <row r="4" spans="1:11" x14ac:dyDescent="0.3">
      <c r="A4" t="str">
        <f>""</f>
        <v/>
      </c>
      <c r="B4" t="str">
        <f>"(0.014)"</f>
        <v>(0.014)</v>
      </c>
      <c r="C4" t="str">
        <f>"(0.010)"</f>
        <v>(0.010)</v>
      </c>
      <c r="D4" t="str">
        <f>"(0.010)"</f>
        <v>(0.010)</v>
      </c>
      <c r="E4" t="str">
        <f>"(0.010)"</f>
        <v>(0.010)</v>
      </c>
      <c r="F4" t="str">
        <f>"(0.012)"</f>
        <v>(0.012)</v>
      </c>
      <c r="G4" t="str">
        <f>"(0.010)"</f>
        <v>(0.010)</v>
      </c>
      <c r="H4" t="str">
        <f>"(0.012)"</f>
        <v>(0.012)</v>
      </c>
      <c r="I4" t="str">
        <f>"(0.011)"</f>
        <v>(0.011)</v>
      </c>
      <c r="J4" t="str">
        <f>"(0.022)"</f>
        <v>(0.022)</v>
      </c>
      <c r="K4" t="str">
        <f>"(0.022)"</f>
        <v>(0.022)</v>
      </c>
    </row>
    <row r="5" spans="1:11" x14ac:dyDescent="0.3">
      <c r="A5" t="str">
        <f>"Treat x Well Age&gt;20 Years"</f>
        <v>Treat x Well Age&gt;20 Years</v>
      </c>
      <c r="B5" t="str">
        <f>"-0.004"</f>
        <v>-0.004</v>
      </c>
      <c r="C5" t="str">
        <f>""</f>
        <v/>
      </c>
      <c r="D5" t="str">
        <f>""</f>
        <v/>
      </c>
      <c r="E5" t="str">
        <f>""</f>
        <v/>
      </c>
      <c r="F5" t="str">
        <f>""</f>
        <v/>
      </c>
      <c r="G5" t="str">
        <f>""</f>
        <v/>
      </c>
      <c r="H5" t="str">
        <f>""</f>
        <v/>
      </c>
      <c r="I5" t="str">
        <f>""</f>
        <v/>
      </c>
      <c r="J5" t="str">
        <f>"-0.001"</f>
        <v>-0.001</v>
      </c>
      <c r="K5" t="str">
        <f>"-0.003"</f>
        <v>-0.003</v>
      </c>
    </row>
    <row r="6" spans="1:11" x14ac:dyDescent="0.3">
      <c r="A6" t="str">
        <f>""</f>
        <v/>
      </c>
      <c r="B6" t="str">
        <f>"(0.015)"</f>
        <v>(0.015)</v>
      </c>
      <c r="C6" t="str">
        <f>""</f>
        <v/>
      </c>
      <c r="D6" t="str">
        <f>""</f>
        <v/>
      </c>
      <c r="E6" t="str">
        <f>""</f>
        <v/>
      </c>
      <c r="F6" t="str">
        <f>""</f>
        <v/>
      </c>
      <c r="G6" t="str">
        <f>""</f>
        <v/>
      </c>
      <c r="H6" t="str">
        <f>""</f>
        <v/>
      </c>
      <c r="I6" t="str">
        <f>""</f>
        <v/>
      </c>
      <c r="J6" t="str">
        <f>"(0.019)"</f>
        <v>(0.019)</v>
      </c>
      <c r="K6" t="str">
        <f>"(0.019)"</f>
        <v>(0.019)</v>
      </c>
    </row>
    <row r="7" spans="1:11" x14ac:dyDescent="0.3">
      <c r="A7" t="str">
        <f>"Treat x Unsure Well Age"</f>
        <v>Treat x Unsure Well Age</v>
      </c>
      <c r="B7" t="str">
        <f>""</f>
        <v/>
      </c>
      <c r="C7" t="str">
        <f>"0.002"</f>
        <v>0.002</v>
      </c>
      <c r="D7" t="str">
        <f>""</f>
        <v/>
      </c>
      <c r="E7" t="str">
        <f>""</f>
        <v/>
      </c>
      <c r="F7" t="str">
        <f>""</f>
        <v/>
      </c>
      <c r="G7" t="str">
        <f>""</f>
        <v/>
      </c>
      <c r="H7" t="str">
        <f>""</f>
        <v/>
      </c>
      <c r="I7" t="str">
        <f>""</f>
        <v/>
      </c>
      <c r="J7" t="str">
        <f>"0.010"</f>
        <v>0.010</v>
      </c>
      <c r="K7" t="str">
        <f>"0.008"</f>
        <v>0.008</v>
      </c>
    </row>
    <row r="8" spans="1:11" x14ac:dyDescent="0.3">
      <c r="A8" t="str">
        <f>""</f>
        <v/>
      </c>
      <c r="B8" t="str">
        <f>""</f>
        <v/>
      </c>
      <c r="C8" t="str">
        <f>"(0.025)"</f>
        <v>(0.025)</v>
      </c>
      <c r="D8" t="str">
        <f>""</f>
        <v/>
      </c>
      <c r="E8" t="str">
        <f>""</f>
        <v/>
      </c>
      <c r="F8" t="str">
        <f>""</f>
        <v/>
      </c>
      <c r="G8" t="str">
        <f>""</f>
        <v/>
      </c>
      <c r="H8" t="str">
        <f>""</f>
        <v/>
      </c>
      <c r="I8" t="str">
        <f>""</f>
        <v/>
      </c>
      <c r="J8" t="str">
        <f>"(0.034)"</f>
        <v>(0.034)</v>
      </c>
      <c r="K8" t="str">
        <f>"(0.034)"</f>
        <v>(0.034)</v>
      </c>
    </row>
    <row r="9" spans="1:11" x14ac:dyDescent="0.3">
      <c r="A9" t="str">
        <f>"Treat x Well Depth &lt;50 Feet"</f>
        <v>Treat x Well Depth &lt;50 Feet</v>
      </c>
      <c r="B9" t="str">
        <f>""</f>
        <v/>
      </c>
      <c r="C9" t="str">
        <f>""</f>
        <v/>
      </c>
      <c r="D9" t="str">
        <f>"0.027"</f>
        <v>0.027</v>
      </c>
      <c r="E9" t="str">
        <f>""</f>
        <v/>
      </c>
      <c r="F9" t="str">
        <f>""</f>
        <v/>
      </c>
      <c r="G9" t="str">
        <f>""</f>
        <v/>
      </c>
      <c r="H9" t="str">
        <f>""</f>
        <v/>
      </c>
      <c r="I9" t="str">
        <f>""</f>
        <v/>
      </c>
      <c r="J9" t="str">
        <f>"0.033"</f>
        <v>0.033</v>
      </c>
      <c r="K9" t="str">
        <f>"0.017"</f>
        <v>0.017</v>
      </c>
    </row>
    <row r="10" spans="1:11" x14ac:dyDescent="0.3">
      <c r="A10" t="str">
        <f>""</f>
        <v/>
      </c>
      <c r="B10" t="str">
        <f>""</f>
        <v/>
      </c>
      <c r="C10" t="str">
        <f>""</f>
        <v/>
      </c>
      <c r="D10" t="str">
        <f>"(0.023)"</f>
        <v>(0.023)</v>
      </c>
      <c r="E10" t="str">
        <f>""</f>
        <v/>
      </c>
      <c r="F10" t="str">
        <f>""</f>
        <v/>
      </c>
      <c r="G10" t="str">
        <f>""</f>
        <v/>
      </c>
      <c r="H10" t="str">
        <f>""</f>
        <v/>
      </c>
      <c r="I10" t="str">
        <f>""</f>
        <v/>
      </c>
      <c r="J10" t="str">
        <f>"(0.026)"</f>
        <v>(0.026)</v>
      </c>
      <c r="K10" t="str">
        <f>"(0.027)"</f>
        <v>(0.027)</v>
      </c>
    </row>
    <row r="11" spans="1:11" x14ac:dyDescent="0.3">
      <c r="A11" t="str">
        <f>"Treat x Unsure Well Depth"</f>
        <v>Treat x Unsure Well Depth</v>
      </c>
      <c r="B11" t="str">
        <f>""</f>
        <v/>
      </c>
      <c r="C11" t="str">
        <f>""</f>
        <v/>
      </c>
      <c r="D11" t="str">
        <f>""</f>
        <v/>
      </c>
      <c r="E11" t="str">
        <f>"-0.024"</f>
        <v>-0.024</v>
      </c>
      <c r="F11" t="str">
        <f>""</f>
        <v/>
      </c>
      <c r="G11" t="str">
        <f>""</f>
        <v/>
      </c>
      <c r="H11" t="str">
        <f>""</f>
        <v/>
      </c>
      <c r="I11" t="str">
        <f>""</f>
        <v/>
      </c>
      <c r="J11" t="str">
        <f>"-0.040*"</f>
        <v>-0.040*</v>
      </c>
      <c r="K11" t="str">
        <f>"-0.042*"</f>
        <v>-0.042*</v>
      </c>
    </row>
    <row r="12" spans="1:11" x14ac:dyDescent="0.3">
      <c r="A12" t="str">
        <f>""</f>
        <v/>
      </c>
      <c r="B12" t="str">
        <f>""</f>
        <v/>
      </c>
      <c r="C12" t="str">
        <f>""</f>
        <v/>
      </c>
      <c r="D12" t="str">
        <f>""</f>
        <v/>
      </c>
      <c r="E12" t="str">
        <f>"(0.019)"</f>
        <v>(0.019)</v>
      </c>
      <c r="F12" t="str">
        <f>""</f>
        <v/>
      </c>
      <c r="G12" t="str">
        <f>""</f>
        <v/>
      </c>
      <c r="H12" t="str">
        <f>""</f>
        <v/>
      </c>
      <c r="I12" t="str">
        <f>""</f>
        <v/>
      </c>
      <c r="J12" t="str">
        <f>"(0.023)"</f>
        <v>(0.023)</v>
      </c>
      <c r="K12" t="str">
        <f>"(0.023)"</f>
        <v>(0.023)</v>
      </c>
    </row>
    <row r="13" spans="1:11" x14ac:dyDescent="0.3">
      <c r="A13" t="str">
        <f>"Treat x Retiree in Household"</f>
        <v>Treat x Retiree in Household</v>
      </c>
      <c r="B13" t="str">
        <f>""</f>
        <v/>
      </c>
      <c r="C13" t="str">
        <f>""</f>
        <v/>
      </c>
      <c r="D13" t="str">
        <f>""</f>
        <v/>
      </c>
      <c r="E13" t="str">
        <f>""</f>
        <v/>
      </c>
      <c r="F13" t="str">
        <f>"-0.014"</f>
        <v>-0.014</v>
      </c>
      <c r="G13" t="str">
        <f>""</f>
        <v/>
      </c>
      <c r="H13" t="str">
        <f>""</f>
        <v/>
      </c>
      <c r="I13" t="str">
        <f>""</f>
        <v/>
      </c>
      <c r="J13" t="str">
        <f>"-0.001"</f>
        <v>-0.001</v>
      </c>
      <c r="K13" t="str">
        <f>"-0.004"</f>
        <v>-0.004</v>
      </c>
    </row>
    <row r="14" spans="1:11" x14ac:dyDescent="0.3">
      <c r="A14" t="str">
        <f>""</f>
        <v/>
      </c>
      <c r="B14" t="str">
        <f>""</f>
        <v/>
      </c>
      <c r="C14" t="str">
        <f>""</f>
        <v/>
      </c>
      <c r="D14" t="str">
        <f>""</f>
        <v/>
      </c>
      <c r="E14" t="str">
        <f>""</f>
        <v/>
      </c>
      <c r="F14" t="str">
        <f>"(0.014)"</f>
        <v>(0.014)</v>
      </c>
      <c r="G14" t="str">
        <f>""</f>
        <v/>
      </c>
      <c r="H14" t="str">
        <f>""</f>
        <v/>
      </c>
      <c r="I14" t="str">
        <f>""</f>
        <v/>
      </c>
      <c r="J14" t="str">
        <f>"(0.017)"</f>
        <v>(0.017)</v>
      </c>
      <c r="K14" t="str">
        <f>"(0.017)"</f>
        <v>(0.017)</v>
      </c>
    </row>
    <row r="15" spans="1:11" x14ac:dyDescent="0.3">
      <c r="A15" t="str">
        <f>"Treat x Children in Household"</f>
        <v>Treat x Children in Household</v>
      </c>
      <c r="B15" t="str">
        <f>""</f>
        <v/>
      </c>
      <c r="C15" t="str">
        <f>""</f>
        <v/>
      </c>
      <c r="D15" t="str">
        <f>""</f>
        <v/>
      </c>
      <c r="E15" t="str">
        <f>""</f>
        <v/>
      </c>
      <c r="F15" t="str">
        <f>""</f>
        <v/>
      </c>
      <c r="G15" t="str">
        <f>"0.036*"</f>
        <v>0.036*</v>
      </c>
      <c r="H15" t="str">
        <f>""</f>
        <v/>
      </c>
      <c r="I15" t="str">
        <f>""</f>
        <v/>
      </c>
      <c r="J15" t="str">
        <f>"0.034"</f>
        <v>0.034</v>
      </c>
      <c r="K15" t="str">
        <f>"0.036*"</f>
        <v>0.036*</v>
      </c>
    </row>
    <row r="16" spans="1:11" x14ac:dyDescent="0.3">
      <c r="A16" t="str">
        <f>""</f>
        <v/>
      </c>
      <c r="B16" t="str">
        <f>""</f>
        <v/>
      </c>
      <c r="C16" t="str">
        <f>""</f>
        <v/>
      </c>
      <c r="D16" t="str">
        <f>""</f>
        <v/>
      </c>
      <c r="E16" t="str">
        <f>""</f>
        <v/>
      </c>
      <c r="F16" t="str">
        <f>""</f>
        <v/>
      </c>
      <c r="G16" t="str">
        <f>"(0.018)"</f>
        <v>(0.018)</v>
      </c>
      <c r="H16" t="str">
        <f>""</f>
        <v/>
      </c>
      <c r="I16" t="str">
        <f>""</f>
        <v/>
      </c>
      <c r="J16" t="str">
        <f>"(0.021)"</f>
        <v>(0.021)</v>
      </c>
      <c r="K16" t="str">
        <f>"(0.021)"</f>
        <v>(0.021)</v>
      </c>
    </row>
    <row r="17" spans="1:11" x14ac:dyDescent="0.3">
      <c r="A17" t="str">
        <f>"Treat x Bachelor's or Higher"</f>
        <v>Treat x Bachelor's or Higher</v>
      </c>
      <c r="B17" t="str">
        <f>""</f>
        <v/>
      </c>
      <c r="C17" t="str">
        <f>""</f>
        <v/>
      </c>
      <c r="D17" t="str">
        <f>""</f>
        <v/>
      </c>
      <c r="E17" t="str">
        <f>""</f>
        <v/>
      </c>
      <c r="F17" t="str">
        <f>""</f>
        <v/>
      </c>
      <c r="G17" t="str">
        <f>""</f>
        <v/>
      </c>
      <c r="H17" t="str">
        <f>"0.033**"</f>
        <v>0.033**</v>
      </c>
      <c r="I17" t="str">
        <f>""</f>
        <v/>
      </c>
      <c r="J17" t="str">
        <f>"0.039**"</f>
        <v>0.039**</v>
      </c>
      <c r="K17" t="str">
        <f>"0.037**"</f>
        <v>0.037**</v>
      </c>
    </row>
    <row r="18" spans="1:11" x14ac:dyDescent="0.3">
      <c r="A18" t="str">
        <f>""</f>
        <v/>
      </c>
      <c r="B18" t="str">
        <f>""</f>
        <v/>
      </c>
      <c r="C18" t="str">
        <f>""</f>
        <v/>
      </c>
      <c r="D18" t="str">
        <f>""</f>
        <v/>
      </c>
      <c r="E18" t="str">
        <f>""</f>
        <v/>
      </c>
      <c r="F18" t="str">
        <f>""</f>
        <v/>
      </c>
      <c r="G18" t="str">
        <f>""</f>
        <v/>
      </c>
      <c r="H18" t="str">
        <f>"(0.014)"</f>
        <v>(0.014)</v>
      </c>
      <c r="I18" t="str">
        <f>""</f>
        <v/>
      </c>
      <c r="J18" t="str">
        <f>"(0.016)"</f>
        <v>(0.016)</v>
      </c>
      <c r="K18" t="str">
        <f>"(0.017)"</f>
        <v>(0.017)</v>
      </c>
    </row>
    <row r="19" spans="1:11" x14ac:dyDescent="0.3">
      <c r="A19" t="str">
        <f>"Treat x Income &gt;$200K"</f>
        <v>Treat x Income &gt;$200K</v>
      </c>
      <c r="B19" t="str">
        <f>""</f>
        <v/>
      </c>
      <c r="C19" t="str">
        <f>""</f>
        <v/>
      </c>
      <c r="D19" t="str">
        <f>""</f>
        <v/>
      </c>
      <c r="E19" t="str">
        <f>""</f>
        <v/>
      </c>
      <c r="F19" t="str">
        <f>""</f>
        <v/>
      </c>
      <c r="G19" t="str">
        <f>""</f>
        <v/>
      </c>
      <c r="H19" t="str">
        <f>""</f>
        <v/>
      </c>
      <c r="I19" t="str">
        <f>"-0.004"</f>
        <v>-0.004</v>
      </c>
      <c r="J19" t="str">
        <f>"-0.017"</f>
        <v>-0.017</v>
      </c>
      <c r="K19" t="str">
        <f>"-0.022"</f>
        <v>-0.022</v>
      </c>
    </row>
    <row r="20" spans="1:11" x14ac:dyDescent="0.3">
      <c r="A20" t="str">
        <f>""</f>
        <v/>
      </c>
      <c r="B20" t="str">
        <f>""</f>
        <v/>
      </c>
      <c r="C20" t="str">
        <f>""</f>
        <v/>
      </c>
      <c r="D20" t="str">
        <f>""</f>
        <v/>
      </c>
      <c r="E20" t="str">
        <f>""</f>
        <v/>
      </c>
      <c r="F20" t="str">
        <f>""</f>
        <v/>
      </c>
      <c r="G20" t="str">
        <f>""</f>
        <v/>
      </c>
      <c r="H20" t="str">
        <f>""</f>
        <v/>
      </c>
      <c r="I20" t="str">
        <f>"(0.018)"</f>
        <v>(0.018)</v>
      </c>
      <c r="J20" t="str">
        <f>"(0.019)"</f>
        <v>(0.019)</v>
      </c>
      <c r="K20" t="str">
        <f>"(0.019)"</f>
        <v>(0.019)</v>
      </c>
    </row>
    <row r="21" spans="1:11" x14ac:dyDescent="0.3">
      <c r="A21" t="str">
        <f>"Constant"</f>
        <v>Constant</v>
      </c>
      <c r="B21" t="str">
        <f>"0.100***"</f>
        <v>0.100***</v>
      </c>
      <c r="C21" t="str">
        <f>"0.100***"</f>
        <v>0.100***</v>
      </c>
      <c r="D21" t="str">
        <f>"0.100***"</f>
        <v>0.100***</v>
      </c>
      <c r="E21" t="str">
        <f>"0.100***"</f>
        <v>0.100***</v>
      </c>
      <c r="F21" t="str">
        <f>"0.100***"</f>
        <v>0.100***</v>
      </c>
      <c r="G21" t="str">
        <f>"0.101***"</f>
        <v>0.101***</v>
      </c>
      <c r="H21" t="str">
        <f>"0.099***"</f>
        <v>0.099***</v>
      </c>
      <c r="I21" t="str">
        <f>"0.102***"</f>
        <v>0.102***</v>
      </c>
      <c r="J21" t="str">
        <f>"0.100***"</f>
        <v>0.100***</v>
      </c>
      <c r="K21" t="str">
        <f>"0.100***"</f>
        <v>0.100***</v>
      </c>
    </row>
    <row r="22" spans="1:11" x14ac:dyDescent="0.3">
      <c r="A22" t="str">
        <f>""</f>
        <v/>
      </c>
      <c r="B22" t="str">
        <f t="shared" ref="B22:K22" si="0">"(0.007)"</f>
        <v>(0.007)</v>
      </c>
      <c r="C22" t="str">
        <f t="shared" si="0"/>
        <v>(0.007)</v>
      </c>
      <c r="D22" t="str">
        <f t="shared" si="0"/>
        <v>(0.007)</v>
      </c>
      <c r="E22" t="str">
        <f t="shared" si="0"/>
        <v>(0.007)</v>
      </c>
      <c r="F22" t="str">
        <f t="shared" si="0"/>
        <v>(0.007)</v>
      </c>
      <c r="G22" t="str">
        <f t="shared" si="0"/>
        <v>(0.007)</v>
      </c>
      <c r="H22" t="str">
        <f t="shared" si="0"/>
        <v>(0.007)</v>
      </c>
      <c r="I22" t="str">
        <f t="shared" si="0"/>
        <v>(0.007)</v>
      </c>
      <c r="J22" t="str">
        <f t="shared" si="0"/>
        <v>(0.007)</v>
      </c>
      <c r="K22" t="str">
        <f t="shared" si="0"/>
        <v>(0.007)</v>
      </c>
    </row>
    <row r="23" spans="1:11" x14ac:dyDescent="0.3">
      <c r="A23" t="str">
        <f>"Observations"</f>
        <v>Observations</v>
      </c>
      <c r="B23" t="str">
        <f>"4517"</f>
        <v>4517</v>
      </c>
      <c r="C23" t="str">
        <f>"4517"</f>
        <v>4517</v>
      </c>
      <c r="D23" t="str">
        <f>"4442"</f>
        <v>4442</v>
      </c>
      <c r="E23" t="str">
        <f>"4442"</f>
        <v>4442</v>
      </c>
      <c r="F23" t="str">
        <f>"4541"</f>
        <v>4541</v>
      </c>
      <c r="G23" t="str">
        <f>"4500"</f>
        <v>4500</v>
      </c>
      <c r="H23" t="str">
        <f>"4239"</f>
        <v>4239</v>
      </c>
      <c r="I23" t="str">
        <f>"3903"</f>
        <v>3903</v>
      </c>
      <c r="J23" t="str">
        <f>"3711"</f>
        <v>3711</v>
      </c>
      <c r="K23" t="str">
        <f>"3711"</f>
        <v>3711</v>
      </c>
    </row>
    <row r="24" spans="1:11" x14ac:dyDescent="0.3">
      <c r="A24" t="str">
        <f>"County FE"</f>
        <v>County FE</v>
      </c>
      <c r="B24" t="str">
        <f t="shared" ref="B24:J24" si="1">"No"</f>
        <v>No</v>
      </c>
      <c r="C24" t="str">
        <f t="shared" si="1"/>
        <v>No</v>
      </c>
      <c r="D24" t="str">
        <f t="shared" si="1"/>
        <v>No</v>
      </c>
      <c r="E24" t="str">
        <f t="shared" si="1"/>
        <v>No</v>
      </c>
      <c r="F24" t="str">
        <f t="shared" si="1"/>
        <v>No</v>
      </c>
      <c r="G24" t="str">
        <f t="shared" si="1"/>
        <v>No</v>
      </c>
      <c r="H24" t="str">
        <f t="shared" si="1"/>
        <v>No</v>
      </c>
      <c r="I24" t="str">
        <f t="shared" si="1"/>
        <v>No</v>
      </c>
      <c r="J24" t="str">
        <f t="shared" si="1"/>
        <v>No</v>
      </c>
      <c r="K24" t="str">
        <f>"Yes"</f>
        <v>Yes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8C5A9-FE12-4A93-8153-8CABAA04674C}">
  <dimension ref="A1:F33"/>
  <sheetViews>
    <sheetView workbookViewId="0">
      <selection sqref="A1:F33"/>
    </sheetView>
  </sheetViews>
  <sheetFormatPr defaultRowHeight="14.4" x14ac:dyDescent="0.3"/>
  <sheetData>
    <row r="1" spans="1:6" x14ac:dyDescent="0.3">
      <c r="A1" t="str">
        <f>"Testing Intent to Treat Effects - 1 Year"</f>
        <v>Testing Intent to Treat Effects - 1 Year</v>
      </c>
    </row>
    <row r="2" spans="1:6" x14ac:dyDescent="0.3">
      <c r="A2" t="str">
        <f>""</f>
        <v/>
      </c>
      <c r="B2" t="str">
        <f>"(1)"</f>
        <v>(1)</v>
      </c>
      <c r="C2" t="str">
        <f>"(2)"</f>
        <v>(2)</v>
      </c>
      <c r="D2" t="str">
        <f>"(3)"</f>
        <v>(3)</v>
      </c>
      <c r="E2" t="str">
        <f>"(4)"</f>
        <v>(4)</v>
      </c>
      <c r="F2" t="str">
        <f>"(5)"</f>
        <v>(5)</v>
      </c>
    </row>
    <row r="3" spans="1:6" x14ac:dyDescent="0.3">
      <c r="A3" t="str">
        <f>"GTC Test (Own)"</f>
        <v>GTC Test (Own)</v>
      </c>
      <c r="B3" t="str">
        <f>"0.500***"</f>
        <v>0.500***</v>
      </c>
      <c r="C3" t="str">
        <f>""</f>
        <v/>
      </c>
      <c r="D3" t="str">
        <f>""</f>
        <v/>
      </c>
      <c r="E3" t="str">
        <f>""</f>
        <v/>
      </c>
      <c r="F3" t="str">
        <f>""</f>
        <v/>
      </c>
    </row>
    <row r="4" spans="1:6" x14ac:dyDescent="0.3">
      <c r="A4" t="str">
        <f>""</f>
        <v/>
      </c>
      <c r="B4" t="str">
        <f>"(0.027)"</f>
        <v>(0.027)</v>
      </c>
      <c r="C4" t="str">
        <f>""</f>
        <v/>
      </c>
      <c r="D4" t="str">
        <f>""</f>
        <v/>
      </c>
      <c r="E4" t="str">
        <f>""</f>
        <v/>
      </c>
      <c r="F4" t="str">
        <f>""</f>
        <v/>
      </c>
    </row>
    <row r="5" spans="1:6" x14ac:dyDescent="0.3">
      <c r="A5" t="str">
        <f>"GTC Test (0.5 miles)"</f>
        <v>GTC Test (0.5 miles)</v>
      </c>
      <c r="B5" t="str">
        <f>""</f>
        <v/>
      </c>
      <c r="C5" t="str">
        <f>"0.156***"</f>
        <v>0.156***</v>
      </c>
      <c r="D5" t="str">
        <f>""</f>
        <v/>
      </c>
      <c r="E5" t="str">
        <f>""</f>
        <v/>
      </c>
      <c r="F5" t="str">
        <f>""</f>
        <v/>
      </c>
    </row>
    <row r="6" spans="1:6" x14ac:dyDescent="0.3">
      <c r="A6" t="str">
        <f>""</f>
        <v/>
      </c>
      <c r="B6" t="str">
        <f>""</f>
        <v/>
      </c>
      <c r="C6" t="str">
        <f>"(0.019)"</f>
        <v>(0.019)</v>
      </c>
      <c r="D6" t="str">
        <f>""</f>
        <v/>
      </c>
      <c r="E6" t="str">
        <f>""</f>
        <v/>
      </c>
      <c r="F6" t="str">
        <f>""</f>
        <v/>
      </c>
    </row>
    <row r="7" spans="1:6" x14ac:dyDescent="0.3">
      <c r="A7" t="str">
        <f>"GTC Test (&lt;1 mile)"</f>
        <v>GTC Test (&lt;1 mile)</v>
      </c>
      <c r="B7" t="str">
        <f>""</f>
        <v/>
      </c>
      <c r="C7" t="str">
        <f>""</f>
        <v/>
      </c>
      <c r="D7" t="str">
        <f>"0.075***"</f>
        <v>0.075***</v>
      </c>
      <c r="E7" t="str">
        <f>""</f>
        <v/>
      </c>
      <c r="F7" t="str">
        <f>""</f>
        <v/>
      </c>
    </row>
    <row r="8" spans="1:6" x14ac:dyDescent="0.3">
      <c r="A8" t="str">
        <f>""</f>
        <v/>
      </c>
      <c r="B8" t="str">
        <f>""</f>
        <v/>
      </c>
      <c r="C8" t="str">
        <f>""</f>
        <v/>
      </c>
      <c r="D8" t="str">
        <f>"(0.019)"</f>
        <v>(0.019)</v>
      </c>
      <c r="E8" t="str">
        <f>""</f>
        <v/>
      </c>
      <c r="F8" t="str">
        <f>""</f>
        <v/>
      </c>
    </row>
    <row r="9" spans="1:6" x14ac:dyDescent="0.3">
      <c r="A9" t="str">
        <f>"GTC Test (&lt;2 miles)"</f>
        <v>GTC Test (&lt;2 miles)</v>
      </c>
      <c r="B9" t="str">
        <f>""</f>
        <v/>
      </c>
      <c r="C9" t="str">
        <f>""</f>
        <v/>
      </c>
      <c r="D9" t="str">
        <f>""</f>
        <v/>
      </c>
      <c r="E9" t="str">
        <f>"0.014"</f>
        <v>0.014</v>
      </c>
      <c r="F9" t="str">
        <f>""</f>
        <v/>
      </c>
    </row>
    <row r="10" spans="1:6" x14ac:dyDescent="0.3">
      <c r="A10" t="str">
        <f>""</f>
        <v/>
      </c>
      <c r="B10" t="str">
        <f>""</f>
        <v/>
      </c>
      <c r="C10" t="str">
        <f>""</f>
        <v/>
      </c>
      <c r="D10" t="str">
        <f>""</f>
        <v/>
      </c>
      <c r="E10" t="str">
        <f>"(0.029)"</f>
        <v>(0.029)</v>
      </c>
      <c r="F10" t="str">
        <f>""</f>
        <v/>
      </c>
    </row>
    <row r="11" spans="1:6" x14ac:dyDescent="0.3">
      <c r="A11" t="str">
        <f>"Mailed Test Strip (Treated)"</f>
        <v>Mailed Test Strip (Treated)</v>
      </c>
      <c r="B11" t="str">
        <f>"0.261***"</f>
        <v>0.261***</v>
      </c>
      <c r="C11" t="str">
        <f>"0.243***"</f>
        <v>0.243***</v>
      </c>
      <c r="D11" t="str">
        <f>"0.238***"</f>
        <v>0.238***</v>
      </c>
      <c r="E11" t="str">
        <f>"0.205***"</f>
        <v>0.205***</v>
      </c>
      <c r="F11" t="str">
        <f>"0.239***"</f>
        <v>0.239***</v>
      </c>
    </row>
    <row r="12" spans="1:6" x14ac:dyDescent="0.3">
      <c r="A12" t="str">
        <f>""</f>
        <v/>
      </c>
      <c r="B12" t="str">
        <f>"(0.013)"</f>
        <v>(0.013)</v>
      </c>
      <c r="C12" t="str">
        <f>"(0.016)"</f>
        <v>(0.016)</v>
      </c>
      <c r="D12" t="str">
        <f>"(0.022)"</f>
        <v>(0.022)</v>
      </c>
      <c r="E12" t="str">
        <f>"(0.041)"</f>
        <v>(0.041)</v>
      </c>
      <c r="F12" t="str">
        <f>"(0.013)"</f>
        <v>(0.013)</v>
      </c>
    </row>
    <row r="13" spans="1:6" x14ac:dyDescent="0.3">
      <c r="A13" t="str">
        <f>"GTC Test (Own) + Treated"</f>
        <v>GTC Test (Own) + Treated</v>
      </c>
      <c r="B13" t="str">
        <f>"-0.158***"</f>
        <v>-0.158***</v>
      </c>
      <c r="C13" t="str">
        <f>""</f>
        <v/>
      </c>
      <c r="D13" t="str">
        <f>""</f>
        <v/>
      </c>
      <c r="E13" t="str">
        <f>""</f>
        <v/>
      </c>
      <c r="F13" t="str">
        <f>""</f>
        <v/>
      </c>
    </row>
    <row r="14" spans="1:6" x14ac:dyDescent="0.3">
      <c r="A14" t="str">
        <f>""</f>
        <v/>
      </c>
      <c r="B14" t="str">
        <f>"(0.042)"</f>
        <v>(0.042)</v>
      </c>
      <c r="C14" t="str">
        <f>""</f>
        <v/>
      </c>
      <c r="D14" t="str">
        <f>""</f>
        <v/>
      </c>
      <c r="E14" t="str">
        <f>""</f>
        <v/>
      </c>
      <c r="F14" t="str">
        <f>""</f>
        <v/>
      </c>
    </row>
    <row r="15" spans="1:6" x14ac:dyDescent="0.3">
      <c r="A15" t="str">
        <f>"GTC Test (0.5 miles) + Treated"</f>
        <v>GTC Test (0.5 miles) + Treated</v>
      </c>
      <c r="B15" t="str">
        <f>""</f>
        <v/>
      </c>
      <c r="C15" t="str">
        <f>"-0.008"</f>
        <v>-0.008</v>
      </c>
      <c r="D15" t="str">
        <f>""</f>
        <v/>
      </c>
      <c r="E15" t="str">
        <f>""</f>
        <v/>
      </c>
      <c r="F15" t="str">
        <f>""</f>
        <v/>
      </c>
    </row>
    <row r="16" spans="1:6" x14ac:dyDescent="0.3">
      <c r="A16" t="str">
        <f>""</f>
        <v/>
      </c>
      <c r="B16" t="str">
        <f>""</f>
        <v/>
      </c>
      <c r="C16" t="str">
        <f>"(0.028)"</f>
        <v>(0.028)</v>
      </c>
      <c r="D16" t="str">
        <f>""</f>
        <v/>
      </c>
      <c r="E16" t="str">
        <f>""</f>
        <v/>
      </c>
      <c r="F16" t="str">
        <f>""</f>
        <v/>
      </c>
    </row>
    <row r="17" spans="1:6" x14ac:dyDescent="0.3">
      <c r="A17" t="str">
        <f>"GTC Test (&lt;1 mile) + Treated"</f>
        <v>GTC Test (&lt;1 mile) + Treated</v>
      </c>
      <c r="B17" t="str">
        <f>""</f>
        <v/>
      </c>
      <c r="C17" t="str">
        <f>""</f>
        <v/>
      </c>
      <c r="D17" t="str">
        <f>"0.004"</f>
        <v>0.004</v>
      </c>
      <c r="E17" t="str">
        <f>""</f>
        <v/>
      </c>
      <c r="F17" t="str">
        <f>""</f>
        <v/>
      </c>
    </row>
    <row r="18" spans="1:6" x14ac:dyDescent="0.3">
      <c r="A18" t="str">
        <f>""</f>
        <v/>
      </c>
      <c r="B18" t="str">
        <f>""</f>
        <v/>
      </c>
      <c r="C18" t="str">
        <f>""</f>
        <v/>
      </c>
      <c r="D18" t="str">
        <f>"(0.028)"</f>
        <v>(0.028)</v>
      </c>
      <c r="E18" t="str">
        <f>""</f>
        <v/>
      </c>
      <c r="F18" t="str">
        <f>""</f>
        <v/>
      </c>
    </row>
    <row r="19" spans="1:6" x14ac:dyDescent="0.3">
      <c r="A19" t="str">
        <f>"GTC Test (&lt;2 miles) + Treated"</f>
        <v>GTC Test (&lt;2 miles) + Treated</v>
      </c>
      <c r="B19" t="str">
        <f>""</f>
        <v/>
      </c>
      <c r="C19" t="str">
        <f>""</f>
        <v/>
      </c>
      <c r="D19" t="str">
        <f>""</f>
        <v/>
      </c>
      <c r="E19" t="str">
        <f>"0.041"</f>
        <v>0.041</v>
      </c>
      <c r="F19" t="str">
        <f>""</f>
        <v/>
      </c>
    </row>
    <row r="20" spans="1:6" x14ac:dyDescent="0.3">
      <c r="A20" t="str">
        <f>""</f>
        <v/>
      </c>
      <c r="B20" t="str">
        <f>""</f>
        <v/>
      </c>
      <c r="C20" t="str">
        <f>""</f>
        <v/>
      </c>
      <c r="D20" t="str">
        <f>""</f>
        <v/>
      </c>
      <c r="E20" t="str">
        <f>"(0.043)"</f>
        <v>(0.043)</v>
      </c>
      <c r="F20" t="str">
        <f>""</f>
        <v/>
      </c>
    </row>
    <row r="21" spans="1:6" x14ac:dyDescent="0.3">
      <c r="A21" t="str">
        <f>"GTC Test (Own) + Treated + Hi Test"</f>
        <v>GTC Test (Own) + Treated + Hi Test</v>
      </c>
      <c r="B21" t="str">
        <f>"0.032"</f>
        <v>0.032</v>
      </c>
      <c r="C21" t="str">
        <f>""</f>
        <v/>
      </c>
      <c r="D21" t="str">
        <f>""</f>
        <v/>
      </c>
      <c r="E21" t="str">
        <f>""</f>
        <v/>
      </c>
      <c r="F21" t="str">
        <f>""</f>
        <v/>
      </c>
    </row>
    <row r="22" spans="1:6" x14ac:dyDescent="0.3">
      <c r="A22" t="str">
        <f>""</f>
        <v/>
      </c>
      <c r="B22" t="str">
        <f>"(0.078)"</f>
        <v>(0.078)</v>
      </c>
      <c r="C22" t="str">
        <f>""</f>
        <v/>
      </c>
      <c r="D22" t="str">
        <f>""</f>
        <v/>
      </c>
      <c r="E22" t="str">
        <f>""</f>
        <v/>
      </c>
      <c r="F22" t="str">
        <f>""</f>
        <v/>
      </c>
    </row>
    <row r="23" spans="1:6" x14ac:dyDescent="0.3">
      <c r="A23" t="str">
        <f>"GTC Test (0.5 miles) + Treated + Hi Test"</f>
        <v>GTC Test (0.5 miles) + Treated + Hi Test</v>
      </c>
      <c r="B23" t="str">
        <f>""</f>
        <v/>
      </c>
      <c r="C23" t="str">
        <f>"-0.005"</f>
        <v>-0.005</v>
      </c>
      <c r="D23" t="str">
        <f>""</f>
        <v/>
      </c>
      <c r="E23" t="str">
        <f>""</f>
        <v/>
      </c>
      <c r="F23" t="str">
        <f>""</f>
        <v/>
      </c>
    </row>
    <row r="24" spans="1:6" x14ac:dyDescent="0.3">
      <c r="A24" t="str">
        <f>""</f>
        <v/>
      </c>
      <c r="B24" t="str">
        <f>""</f>
        <v/>
      </c>
      <c r="C24" t="str">
        <f>"(0.046)"</f>
        <v>(0.046)</v>
      </c>
      <c r="D24" t="str">
        <f>""</f>
        <v/>
      </c>
      <c r="E24" t="str">
        <f>""</f>
        <v/>
      </c>
      <c r="F24" t="str">
        <f>""</f>
        <v/>
      </c>
    </row>
    <row r="25" spans="1:6" x14ac:dyDescent="0.3">
      <c r="A25" t="str">
        <f>"GTC Test (&lt;1 mile) + Treated + Hi Test"</f>
        <v>GTC Test (&lt;1 mile) + Treated + Hi Test</v>
      </c>
      <c r="B25" t="str">
        <f>""</f>
        <v/>
      </c>
      <c r="C25" t="str">
        <f>""</f>
        <v/>
      </c>
      <c r="D25" t="str">
        <f>"-0.015"</f>
        <v>-0.015</v>
      </c>
      <c r="E25" t="str">
        <f>""</f>
        <v/>
      </c>
      <c r="F25" t="str">
        <f>""</f>
        <v/>
      </c>
    </row>
    <row r="26" spans="1:6" x14ac:dyDescent="0.3">
      <c r="A26" t="str">
        <f>""</f>
        <v/>
      </c>
      <c r="B26" t="str">
        <f>""</f>
        <v/>
      </c>
      <c r="C26" t="str">
        <f>""</f>
        <v/>
      </c>
      <c r="D26" t="str">
        <f>"(0.039)"</f>
        <v>(0.039)</v>
      </c>
      <c r="E26" t="str">
        <f>""</f>
        <v/>
      </c>
      <c r="F26" t="str">
        <f>""</f>
        <v/>
      </c>
    </row>
    <row r="27" spans="1:6" x14ac:dyDescent="0.3">
      <c r="A27" t="str">
        <f>"GTC Test (&lt;2 miles) + Treated + Hi Test"</f>
        <v>GTC Test (&lt;2 miles) + Treated + Hi Test</v>
      </c>
      <c r="B27" t="str">
        <f>""</f>
        <v/>
      </c>
      <c r="C27" t="str">
        <f>""</f>
        <v/>
      </c>
      <c r="D27" t="str">
        <f>""</f>
        <v/>
      </c>
      <c r="E27" t="str">
        <f>"-0.034"</f>
        <v>-0.034</v>
      </c>
      <c r="F27" t="str">
        <f>""</f>
        <v/>
      </c>
    </row>
    <row r="28" spans="1:6" x14ac:dyDescent="0.3">
      <c r="A28" t="str">
        <f>""</f>
        <v/>
      </c>
      <c r="B28" t="str">
        <f>""</f>
        <v/>
      </c>
      <c r="C28" t="str">
        <f>""</f>
        <v/>
      </c>
      <c r="D28" t="str">
        <f>""</f>
        <v/>
      </c>
      <c r="E28" t="str">
        <f>"(0.040)"</f>
        <v>(0.040)</v>
      </c>
      <c r="F28" t="str">
        <f>""</f>
        <v/>
      </c>
    </row>
    <row r="29" spans="1:6" x14ac:dyDescent="0.3">
      <c r="A29" t="str">
        <f>"GTC Test (&lt;5 miles) + Treated + Hi Test"</f>
        <v>GTC Test (&lt;5 miles) + Treated + Hi Test</v>
      </c>
      <c r="B29" t="str">
        <f>""</f>
        <v/>
      </c>
      <c r="C29" t="str">
        <f>""</f>
        <v/>
      </c>
      <c r="D29" t="str">
        <f>""</f>
        <v/>
      </c>
      <c r="E29" t="str">
        <f>""</f>
        <v/>
      </c>
      <c r="F29" t="str">
        <f>"0.048"</f>
        <v>0.048</v>
      </c>
    </row>
    <row r="30" spans="1:6" x14ac:dyDescent="0.3">
      <c r="A30" t="str">
        <f>""</f>
        <v/>
      </c>
      <c r="B30" t="str">
        <f>""</f>
        <v/>
      </c>
      <c r="C30" t="str">
        <f>""</f>
        <v/>
      </c>
      <c r="D30" t="str">
        <f>""</f>
        <v/>
      </c>
      <c r="E30" t="str">
        <f>""</f>
        <v/>
      </c>
      <c r="F30" t="str">
        <f>"(0.086)"</f>
        <v>(0.086)</v>
      </c>
    </row>
    <row r="31" spans="1:6" x14ac:dyDescent="0.3">
      <c r="A31" t="str">
        <f>"Constant"</f>
        <v>Constant</v>
      </c>
      <c r="B31" t="str">
        <f>"0.136***"</f>
        <v>0.136***</v>
      </c>
      <c r="C31" t="str">
        <f>"0.137***"</f>
        <v>0.137***</v>
      </c>
      <c r="D31" t="str">
        <f>"0.147***"</f>
        <v>0.147***</v>
      </c>
      <c r="E31" t="str">
        <f>"0.181***"</f>
        <v>0.181***</v>
      </c>
      <c r="F31" t="str">
        <f>"0.194***"</f>
        <v>0.194***</v>
      </c>
    </row>
    <row r="32" spans="1:6" x14ac:dyDescent="0.3">
      <c r="A32" t="str">
        <f>""</f>
        <v/>
      </c>
      <c r="B32" t="str">
        <f>"(0.009)"</f>
        <v>(0.009)</v>
      </c>
      <c r="C32" t="str">
        <f>"(0.011)"</f>
        <v>(0.011)</v>
      </c>
      <c r="D32" t="str">
        <f>"(0.015)"</f>
        <v>(0.015)</v>
      </c>
      <c r="E32" t="str">
        <f>"(0.027)"</f>
        <v>(0.027)</v>
      </c>
      <c r="F32" t="str">
        <f>"(0.009)"</f>
        <v>(0.009)</v>
      </c>
    </row>
    <row r="33" spans="1:6" x14ac:dyDescent="0.3">
      <c r="A33" t="str">
        <f>"Observations"</f>
        <v>Observations</v>
      </c>
      <c r="B33" t="str">
        <f>"4541"</f>
        <v>4541</v>
      </c>
      <c r="C33" t="str">
        <f>"4541"</f>
        <v>4541</v>
      </c>
      <c r="D33" t="str">
        <f>"4541"</f>
        <v>4541</v>
      </c>
      <c r="E33" t="str">
        <f>"4541"</f>
        <v>4541</v>
      </c>
      <c r="F33" t="str">
        <f>"4541"</f>
        <v>4541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1E3F1-182B-4165-A315-63564178CC80}">
  <dimension ref="A1:F33"/>
  <sheetViews>
    <sheetView workbookViewId="0">
      <selection sqref="A1:F33"/>
    </sheetView>
  </sheetViews>
  <sheetFormatPr defaultRowHeight="14.4" x14ac:dyDescent="0.3"/>
  <sheetData>
    <row r="1" spans="1:6" x14ac:dyDescent="0.3">
      <c r="A1" t="str">
        <f>"Testing Intent to Treat Effects - GTC Testing"</f>
        <v>Testing Intent to Treat Effects - GTC Testing</v>
      </c>
    </row>
    <row r="2" spans="1:6" x14ac:dyDescent="0.3">
      <c r="A2" t="str">
        <f>""</f>
        <v/>
      </c>
      <c r="B2" t="str">
        <f>"(1)"</f>
        <v>(1)</v>
      </c>
      <c r="C2" t="str">
        <f>"(2)"</f>
        <v>(2)</v>
      </c>
      <c r="D2" t="str">
        <f>"(3)"</f>
        <v>(3)</v>
      </c>
      <c r="E2" t="str">
        <f>"(4)"</f>
        <v>(4)</v>
      </c>
      <c r="F2" t="str">
        <f>"(5)"</f>
        <v>(5)</v>
      </c>
    </row>
    <row r="3" spans="1:6" x14ac:dyDescent="0.3">
      <c r="A3" t="str">
        <f>"GTC Test (Own)"</f>
        <v>GTC Test (Own)</v>
      </c>
      <c r="B3" t="str">
        <f>"0.410***"</f>
        <v>0.410***</v>
      </c>
      <c r="C3" t="str">
        <f>""</f>
        <v/>
      </c>
      <c r="D3" t="str">
        <f>""</f>
        <v/>
      </c>
      <c r="E3" t="str">
        <f>""</f>
        <v/>
      </c>
      <c r="F3" t="str">
        <f>""</f>
        <v/>
      </c>
    </row>
    <row r="4" spans="1:6" x14ac:dyDescent="0.3">
      <c r="A4" t="str">
        <f>""</f>
        <v/>
      </c>
      <c r="B4" t="str">
        <f>"(0.019)"</f>
        <v>(0.019)</v>
      </c>
      <c r="C4" t="str">
        <f>""</f>
        <v/>
      </c>
      <c r="D4" t="str">
        <f>""</f>
        <v/>
      </c>
      <c r="E4" t="str">
        <f>""</f>
        <v/>
      </c>
      <c r="F4" t="str">
        <f>""</f>
        <v/>
      </c>
    </row>
    <row r="5" spans="1:6" x14ac:dyDescent="0.3">
      <c r="A5" t="str">
        <f>"GTC Test (0.5 miles)"</f>
        <v>GTC Test (0.5 miles)</v>
      </c>
      <c r="B5" t="str">
        <f>""</f>
        <v/>
      </c>
      <c r="C5" t="str">
        <f>"0.127***"</f>
        <v>0.127***</v>
      </c>
      <c r="D5" t="str">
        <f>""</f>
        <v/>
      </c>
      <c r="E5" t="str">
        <f>""</f>
        <v/>
      </c>
      <c r="F5" t="str">
        <f>""</f>
        <v/>
      </c>
    </row>
    <row r="6" spans="1:6" x14ac:dyDescent="0.3">
      <c r="A6" t="str">
        <f>""</f>
        <v/>
      </c>
      <c r="B6" t="str">
        <f>""</f>
        <v/>
      </c>
      <c r="C6" t="str">
        <f>"(0.013)"</f>
        <v>(0.013)</v>
      </c>
      <c r="D6" t="str">
        <f>""</f>
        <v/>
      </c>
      <c r="E6" t="str">
        <f>""</f>
        <v/>
      </c>
      <c r="F6" t="str">
        <f>""</f>
        <v/>
      </c>
    </row>
    <row r="7" spans="1:6" x14ac:dyDescent="0.3">
      <c r="A7" t="str">
        <f>"GTC Test (&lt;1 mile)"</f>
        <v>GTC Test (&lt;1 mile)</v>
      </c>
      <c r="B7" t="str">
        <f>""</f>
        <v/>
      </c>
      <c r="C7" t="str">
        <f>""</f>
        <v/>
      </c>
      <c r="D7" t="str">
        <f>"0.065***"</f>
        <v>0.065***</v>
      </c>
      <c r="E7" t="str">
        <f>""</f>
        <v/>
      </c>
      <c r="F7" t="str">
        <f>""</f>
        <v/>
      </c>
    </row>
    <row r="8" spans="1:6" x14ac:dyDescent="0.3">
      <c r="A8" t="str">
        <f>""</f>
        <v/>
      </c>
      <c r="B8" t="str">
        <f>""</f>
        <v/>
      </c>
      <c r="C8" t="str">
        <f>""</f>
        <v/>
      </c>
      <c r="D8" t="str">
        <f>"(0.013)"</f>
        <v>(0.013)</v>
      </c>
      <c r="E8" t="str">
        <f>""</f>
        <v/>
      </c>
      <c r="F8" t="str">
        <f>""</f>
        <v/>
      </c>
    </row>
    <row r="9" spans="1:6" x14ac:dyDescent="0.3">
      <c r="A9" t="str">
        <f>"GTC Test (&lt;2 miles)"</f>
        <v>GTC Test (&lt;2 miles)</v>
      </c>
      <c r="B9" t="str">
        <f>""</f>
        <v/>
      </c>
      <c r="C9" t="str">
        <f>""</f>
        <v/>
      </c>
      <c r="D9" t="str">
        <f>""</f>
        <v/>
      </c>
      <c r="E9" t="str">
        <f>"0.005"</f>
        <v>0.005</v>
      </c>
      <c r="F9" t="str">
        <f>""</f>
        <v/>
      </c>
    </row>
    <row r="10" spans="1:6" x14ac:dyDescent="0.3">
      <c r="A10" t="str">
        <f>""</f>
        <v/>
      </c>
      <c r="B10" t="str">
        <f>""</f>
        <v/>
      </c>
      <c r="C10" t="str">
        <f>""</f>
        <v/>
      </c>
      <c r="D10" t="str">
        <f>""</f>
        <v/>
      </c>
      <c r="E10" t="str">
        <f>"(0.021)"</f>
        <v>(0.021)</v>
      </c>
      <c r="F10" t="str">
        <f>""</f>
        <v/>
      </c>
    </row>
    <row r="11" spans="1:6" x14ac:dyDescent="0.3">
      <c r="A11" t="str">
        <f>"Mailed Test Strip (Treated)"</f>
        <v>Mailed Test Strip (Treated)</v>
      </c>
      <c r="B11" t="str">
        <f>"0.028***"</f>
        <v>0.028***</v>
      </c>
      <c r="C11" t="str">
        <f>"0.025**"</f>
        <v>0.025**</v>
      </c>
      <c r="D11" t="str">
        <f>"0.019"</f>
        <v>0.019</v>
      </c>
      <c r="E11" t="str">
        <f>"0.004"</f>
        <v>0.004</v>
      </c>
      <c r="F11" t="str">
        <f>"0.031***"</f>
        <v>0.031***</v>
      </c>
    </row>
    <row r="12" spans="1:6" x14ac:dyDescent="0.3">
      <c r="A12" t="str">
        <f>""</f>
        <v/>
      </c>
      <c r="B12" t="str">
        <f>"(0.009)"</f>
        <v>(0.009)</v>
      </c>
      <c r="C12" t="str">
        <f>"(0.012)"</f>
        <v>(0.012)</v>
      </c>
      <c r="D12" t="str">
        <f>"(0.015)"</f>
        <v>(0.015)</v>
      </c>
      <c r="E12" t="str">
        <f>"(0.029)"</f>
        <v>(0.029)</v>
      </c>
      <c r="F12" t="str">
        <f>"(0.009)"</f>
        <v>(0.009)</v>
      </c>
    </row>
    <row r="13" spans="1:6" x14ac:dyDescent="0.3">
      <c r="A13" t="str">
        <f>"GTC Test (Own) + Treated"</f>
        <v>GTC Test (Own) + Treated</v>
      </c>
      <c r="B13" t="str">
        <f>"0.066**"</f>
        <v>0.066**</v>
      </c>
      <c r="C13" t="str">
        <f>""</f>
        <v/>
      </c>
      <c r="D13" t="str">
        <f>""</f>
        <v/>
      </c>
      <c r="E13" t="str">
        <f>""</f>
        <v/>
      </c>
      <c r="F13" t="str">
        <f>""</f>
        <v/>
      </c>
    </row>
    <row r="14" spans="1:6" x14ac:dyDescent="0.3">
      <c r="A14" t="str">
        <f>""</f>
        <v/>
      </c>
      <c r="B14" t="str">
        <f>"(0.029)"</f>
        <v>(0.029)</v>
      </c>
      <c r="C14" t="str">
        <f>""</f>
        <v/>
      </c>
      <c r="D14" t="str">
        <f>""</f>
        <v/>
      </c>
      <c r="E14" t="str">
        <f>""</f>
        <v/>
      </c>
      <c r="F14" t="str">
        <f>""</f>
        <v/>
      </c>
    </row>
    <row r="15" spans="1:6" x14ac:dyDescent="0.3">
      <c r="A15" t="str">
        <f>"GTC Test (0.5 miles) + Treated"</f>
        <v>GTC Test (0.5 miles) + Treated</v>
      </c>
      <c r="B15" t="str">
        <f>""</f>
        <v/>
      </c>
      <c r="C15" t="str">
        <f>"0.013"</f>
        <v>0.013</v>
      </c>
      <c r="D15" t="str">
        <f>""</f>
        <v/>
      </c>
      <c r="E15" t="str">
        <f>""</f>
        <v/>
      </c>
      <c r="F15" t="str">
        <f>""</f>
        <v/>
      </c>
    </row>
    <row r="16" spans="1:6" x14ac:dyDescent="0.3">
      <c r="A16" t="str">
        <f>""</f>
        <v/>
      </c>
      <c r="B16" t="str">
        <f>""</f>
        <v/>
      </c>
      <c r="C16" t="str">
        <f>"(0.020)"</f>
        <v>(0.020)</v>
      </c>
      <c r="D16" t="str">
        <f>""</f>
        <v/>
      </c>
      <c r="E16" t="str">
        <f>""</f>
        <v/>
      </c>
      <c r="F16" t="str">
        <f>""</f>
        <v/>
      </c>
    </row>
    <row r="17" spans="1:6" x14ac:dyDescent="0.3">
      <c r="A17" t="str">
        <f>"GTC Test (&lt;1 mile) + Treated"</f>
        <v>GTC Test (&lt;1 mile) + Treated</v>
      </c>
      <c r="B17" t="str">
        <f>""</f>
        <v/>
      </c>
      <c r="C17" t="str">
        <f>""</f>
        <v/>
      </c>
      <c r="D17" t="str">
        <f>"0.019"</f>
        <v>0.019</v>
      </c>
      <c r="E17" t="str">
        <f>""</f>
        <v/>
      </c>
      <c r="F17" t="str">
        <f>""</f>
        <v/>
      </c>
    </row>
    <row r="18" spans="1:6" x14ac:dyDescent="0.3">
      <c r="A18" t="str">
        <f>""</f>
        <v/>
      </c>
      <c r="B18" t="str">
        <f>""</f>
        <v/>
      </c>
      <c r="C18" t="str">
        <f>""</f>
        <v/>
      </c>
      <c r="D18" t="str">
        <f>"(0.020)"</f>
        <v>(0.020)</v>
      </c>
      <c r="E18" t="str">
        <f>""</f>
        <v/>
      </c>
      <c r="F18" t="str">
        <f>""</f>
        <v/>
      </c>
    </row>
    <row r="19" spans="1:6" x14ac:dyDescent="0.3">
      <c r="A19" t="str">
        <f>"GTC Test (&lt;2 miles) + Treated"</f>
        <v>GTC Test (&lt;2 miles) + Treated</v>
      </c>
      <c r="B19" t="str">
        <f>""</f>
        <v/>
      </c>
      <c r="C19" t="str">
        <f>""</f>
        <v/>
      </c>
      <c r="D19" t="str">
        <f>""</f>
        <v/>
      </c>
      <c r="E19" t="str">
        <f>"0.030"</f>
        <v>0.030</v>
      </c>
      <c r="F19" t="str">
        <f>""</f>
        <v/>
      </c>
    </row>
    <row r="20" spans="1:6" x14ac:dyDescent="0.3">
      <c r="A20" t="str">
        <f>""</f>
        <v/>
      </c>
      <c r="B20" t="str">
        <f>""</f>
        <v/>
      </c>
      <c r="C20" t="str">
        <f>""</f>
        <v/>
      </c>
      <c r="D20" t="str">
        <f>""</f>
        <v/>
      </c>
      <c r="E20" t="str">
        <f>"(0.031)"</f>
        <v>(0.031)</v>
      </c>
      <c r="F20" t="str">
        <f>""</f>
        <v/>
      </c>
    </row>
    <row r="21" spans="1:6" x14ac:dyDescent="0.3">
      <c r="A21" t="str">
        <f>"GTC Test (Own) + Treated + Hi Test"</f>
        <v>GTC Test (Own) + Treated + Hi Test</v>
      </c>
      <c r="B21" t="str">
        <f>"-0.014"</f>
        <v>-0.014</v>
      </c>
      <c r="C21" t="str">
        <f>""</f>
        <v/>
      </c>
      <c r="D21" t="str">
        <f>""</f>
        <v/>
      </c>
      <c r="E21" t="str">
        <f>""</f>
        <v/>
      </c>
      <c r="F21" t="str">
        <f>""</f>
        <v/>
      </c>
    </row>
    <row r="22" spans="1:6" x14ac:dyDescent="0.3">
      <c r="A22" t="str">
        <f>""</f>
        <v/>
      </c>
      <c r="B22" t="str">
        <f>"(0.053)"</f>
        <v>(0.053)</v>
      </c>
      <c r="C22" t="str">
        <f>""</f>
        <v/>
      </c>
      <c r="D22" t="str">
        <f>""</f>
        <v/>
      </c>
      <c r="E22" t="str">
        <f>""</f>
        <v/>
      </c>
      <c r="F22" t="str">
        <f>""</f>
        <v/>
      </c>
    </row>
    <row r="23" spans="1:6" x14ac:dyDescent="0.3">
      <c r="A23" t="str">
        <f>"GTC Test (0.5 miles) + Treated + Hi Test"</f>
        <v>GTC Test (0.5 miles) + Treated + Hi Test</v>
      </c>
      <c r="B23" t="str">
        <f>""</f>
        <v/>
      </c>
      <c r="C23" t="str">
        <f>"0.034"</f>
        <v>0.034</v>
      </c>
      <c r="D23" t="str">
        <f>""</f>
        <v/>
      </c>
      <c r="E23" t="str">
        <f>""</f>
        <v/>
      </c>
      <c r="F23" t="str">
        <f>""</f>
        <v/>
      </c>
    </row>
    <row r="24" spans="1:6" x14ac:dyDescent="0.3">
      <c r="A24" t="str">
        <f>""</f>
        <v/>
      </c>
      <c r="B24" t="str">
        <f>""</f>
        <v/>
      </c>
      <c r="C24" t="str">
        <f>"(0.032)"</f>
        <v>(0.032)</v>
      </c>
      <c r="D24" t="str">
        <f>""</f>
        <v/>
      </c>
      <c r="E24" t="str">
        <f>""</f>
        <v/>
      </c>
      <c r="F24" t="str">
        <f>""</f>
        <v/>
      </c>
    </row>
    <row r="25" spans="1:6" x14ac:dyDescent="0.3">
      <c r="A25" t="str">
        <f>"GTC Test (&lt;1 mile) + Treated + Hi Test"</f>
        <v>GTC Test (&lt;1 mile) + Treated + Hi Test</v>
      </c>
      <c r="B25" t="str">
        <f>""</f>
        <v/>
      </c>
      <c r="C25" t="str">
        <f>""</f>
        <v/>
      </c>
      <c r="D25" t="str">
        <f>"-0.001"</f>
        <v>-0.001</v>
      </c>
      <c r="E25" t="str">
        <f>""</f>
        <v/>
      </c>
      <c r="F25" t="str">
        <f>""</f>
        <v/>
      </c>
    </row>
    <row r="26" spans="1:6" x14ac:dyDescent="0.3">
      <c r="A26" t="str">
        <f>""</f>
        <v/>
      </c>
      <c r="B26" t="str">
        <f>""</f>
        <v/>
      </c>
      <c r="C26" t="str">
        <f>""</f>
        <v/>
      </c>
      <c r="D26" t="str">
        <f>"(0.027)"</f>
        <v>(0.027)</v>
      </c>
      <c r="E26" t="str">
        <f>""</f>
        <v/>
      </c>
      <c r="F26" t="str">
        <f>""</f>
        <v/>
      </c>
    </row>
    <row r="27" spans="1:6" x14ac:dyDescent="0.3">
      <c r="A27" t="str">
        <f>"GTC Test (&lt;2 miles) + Treated + Hi Test"</f>
        <v>GTC Test (&lt;2 miles) + Treated + Hi Test</v>
      </c>
      <c r="B27" t="str">
        <f>""</f>
        <v/>
      </c>
      <c r="C27" t="str">
        <f>""</f>
        <v/>
      </c>
      <c r="D27" t="str">
        <f>""</f>
        <v/>
      </c>
      <c r="E27" t="str">
        <f>"-0.001"</f>
        <v>-0.001</v>
      </c>
      <c r="F27" t="str">
        <f>""</f>
        <v/>
      </c>
    </row>
    <row r="28" spans="1:6" x14ac:dyDescent="0.3">
      <c r="A28" t="str">
        <f>""</f>
        <v/>
      </c>
      <c r="B28" t="str">
        <f>""</f>
        <v/>
      </c>
      <c r="C28" t="str">
        <f>""</f>
        <v/>
      </c>
      <c r="D28" t="str">
        <f>""</f>
        <v/>
      </c>
      <c r="E28" t="str">
        <f>"(0.028)"</f>
        <v>(0.028)</v>
      </c>
      <c r="F28" t="str">
        <f>""</f>
        <v/>
      </c>
    </row>
    <row r="29" spans="1:6" x14ac:dyDescent="0.3">
      <c r="A29" t="str">
        <f>"GTC Test (&lt;5 miles) + Treated + Hi Test"</f>
        <v>GTC Test (&lt;5 miles) + Treated + Hi Test</v>
      </c>
      <c r="B29" t="str">
        <f>""</f>
        <v/>
      </c>
      <c r="C29" t="str">
        <f>""</f>
        <v/>
      </c>
      <c r="D29" t="str">
        <f>""</f>
        <v/>
      </c>
      <c r="E29" t="str">
        <f>""</f>
        <v/>
      </c>
      <c r="F29" t="str">
        <f>"-0.020"</f>
        <v>-0.020</v>
      </c>
    </row>
    <row r="30" spans="1:6" x14ac:dyDescent="0.3">
      <c r="A30" t="str">
        <f>""</f>
        <v/>
      </c>
      <c r="B30" t="str">
        <f>""</f>
        <v/>
      </c>
      <c r="C30" t="str">
        <f>""</f>
        <v/>
      </c>
      <c r="D30" t="str">
        <f>""</f>
        <v/>
      </c>
      <c r="E30" t="str">
        <f>""</f>
        <v/>
      </c>
      <c r="F30" t="str">
        <f>"(0.062)"</f>
        <v>(0.062)</v>
      </c>
    </row>
    <row r="31" spans="1:6" x14ac:dyDescent="0.3">
      <c r="A31" t="str">
        <f>"Constant"</f>
        <v>Constant</v>
      </c>
      <c r="B31" t="str">
        <f>"0.053***"</f>
        <v>0.053***</v>
      </c>
      <c r="C31" t="str">
        <f>"0.054***"</f>
        <v>0.054***</v>
      </c>
      <c r="D31" t="str">
        <f>"0.059***"</f>
        <v>0.059***</v>
      </c>
      <c r="E31" t="str">
        <f>"0.096***"</f>
        <v>0.096***</v>
      </c>
      <c r="F31" t="str">
        <f>"0.100***"</f>
        <v>0.100***</v>
      </c>
    </row>
    <row r="32" spans="1:6" x14ac:dyDescent="0.3">
      <c r="A32" t="str">
        <f>""</f>
        <v/>
      </c>
      <c r="B32" t="str">
        <f>"(0.006)"</f>
        <v>(0.006)</v>
      </c>
      <c r="C32" t="str">
        <f>"(0.008)"</f>
        <v>(0.008)</v>
      </c>
      <c r="D32" t="str">
        <f>"(0.011)"</f>
        <v>(0.011)</v>
      </c>
      <c r="E32" t="str">
        <f>"(0.019)"</f>
        <v>(0.019)</v>
      </c>
      <c r="F32" t="str">
        <f>"(0.007)"</f>
        <v>(0.007)</v>
      </c>
    </row>
    <row r="33" spans="1:6" x14ac:dyDescent="0.3">
      <c r="A33" t="str">
        <f>"Observations"</f>
        <v>Observations</v>
      </c>
      <c r="B33" t="str">
        <f>"4541"</f>
        <v>4541</v>
      </c>
      <c r="C33" t="str">
        <f>"4541"</f>
        <v>4541</v>
      </c>
      <c r="D33" t="str">
        <f>"4541"</f>
        <v>4541</v>
      </c>
      <c r="E33" t="str">
        <f>"4541"</f>
        <v>4541</v>
      </c>
      <c r="F33" t="str">
        <f>"4541"</f>
        <v>4541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0D69D-1E43-489B-B986-3FD02AE77A23}">
  <dimension ref="A1:F33"/>
  <sheetViews>
    <sheetView workbookViewId="0">
      <selection sqref="A1:F33"/>
    </sheetView>
  </sheetViews>
  <sheetFormatPr defaultRowHeight="14.4" x14ac:dyDescent="0.3"/>
  <sheetData>
    <row r="1" spans="1:6" x14ac:dyDescent="0.3">
      <c r="A1" t="str">
        <f>"Testing Intent to Treat Effects - 1 Year"</f>
        <v>Testing Intent to Treat Effects - 1 Year</v>
      </c>
    </row>
    <row r="2" spans="1:6" x14ac:dyDescent="0.3">
      <c r="A2" t="str">
        <f>""</f>
        <v/>
      </c>
      <c r="B2" t="str">
        <f>"(1)"</f>
        <v>(1)</v>
      </c>
      <c r="C2" t="str">
        <f>"(2)"</f>
        <v>(2)</v>
      </c>
      <c r="D2" t="str">
        <f>"(3)"</f>
        <v>(3)</v>
      </c>
      <c r="E2" t="str">
        <f>"(4)"</f>
        <v>(4)</v>
      </c>
      <c r="F2" t="str">
        <f>"(5)"</f>
        <v>(5)</v>
      </c>
    </row>
    <row r="3" spans="1:6" x14ac:dyDescent="0.3">
      <c r="A3" t="str">
        <f>"GTC Test (Own)"</f>
        <v>GTC Test (Own)</v>
      </c>
      <c r="B3" t="str">
        <f>"0.169***"</f>
        <v>0.169***</v>
      </c>
      <c r="C3" t="str">
        <f>""</f>
        <v/>
      </c>
      <c r="D3" t="str">
        <f>""</f>
        <v/>
      </c>
      <c r="E3" t="str">
        <f>""</f>
        <v/>
      </c>
      <c r="F3" t="str">
        <f>""</f>
        <v/>
      </c>
    </row>
    <row r="4" spans="1:6" x14ac:dyDescent="0.3">
      <c r="A4" t="str">
        <f>""</f>
        <v/>
      </c>
      <c r="B4" t="str">
        <f>"(0.019)"</f>
        <v>(0.019)</v>
      </c>
      <c r="C4" t="str">
        <f>""</f>
        <v/>
      </c>
      <c r="D4" t="str">
        <f>""</f>
        <v/>
      </c>
      <c r="E4" t="str">
        <f>""</f>
        <v/>
      </c>
      <c r="F4" t="str">
        <f>""</f>
        <v/>
      </c>
    </row>
    <row r="5" spans="1:6" x14ac:dyDescent="0.3">
      <c r="A5" t="str">
        <f>"GTC Test (0.5 miles)"</f>
        <v>GTC Test (0.5 miles)</v>
      </c>
      <c r="B5" t="str">
        <f>""</f>
        <v/>
      </c>
      <c r="C5" t="str">
        <f>"0.081***"</f>
        <v>0.081***</v>
      </c>
      <c r="D5" t="str">
        <f>""</f>
        <v/>
      </c>
      <c r="E5" t="str">
        <f>""</f>
        <v/>
      </c>
      <c r="F5" t="str">
        <f>""</f>
        <v/>
      </c>
    </row>
    <row r="6" spans="1:6" x14ac:dyDescent="0.3">
      <c r="A6" t="str">
        <f>""</f>
        <v/>
      </c>
      <c r="B6" t="str">
        <f>""</f>
        <v/>
      </c>
      <c r="C6" t="str">
        <f>"(0.021)"</f>
        <v>(0.021)</v>
      </c>
      <c r="D6" t="str">
        <f>""</f>
        <v/>
      </c>
      <c r="E6" t="str">
        <f>""</f>
        <v/>
      </c>
      <c r="F6" t="str">
        <f>""</f>
        <v/>
      </c>
    </row>
    <row r="7" spans="1:6" x14ac:dyDescent="0.3">
      <c r="A7" t="str">
        <f>"GTC Test (&lt;1 mile)"</f>
        <v>GTC Test (&lt;1 mile)</v>
      </c>
      <c r="B7" t="str">
        <f>""</f>
        <v/>
      </c>
      <c r="C7" t="str">
        <f>""</f>
        <v/>
      </c>
      <c r="D7" t="str">
        <f>"0.085**"</f>
        <v>0.085**</v>
      </c>
      <c r="E7" t="str">
        <f>""</f>
        <v/>
      </c>
      <c r="F7" t="str">
        <f>""</f>
        <v/>
      </c>
    </row>
    <row r="8" spans="1:6" x14ac:dyDescent="0.3">
      <c r="A8" t="str">
        <f>""</f>
        <v/>
      </c>
      <c r="B8" t="str">
        <f>""</f>
        <v/>
      </c>
      <c r="C8" t="str">
        <f>""</f>
        <v/>
      </c>
      <c r="D8" t="str">
        <f>"(0.034)"</f>
        <v>(0.034)</v>
      </c>
      <c r="E8" t="str">
        <f>""</f>
        <v/>
      </c>
      <c r="F8" t="str">
        <f>""</f>
        <v/>
      </c>
    </row>
    <row r="9" spans="1:6" x14ac:dyDescent="0.3">
      <c r="A9" t="str">
        <f>"GTC Test (&lt;2 miles)"</f>
        <v>GTC Test (&lt;2 miles)</v>
      </c>
      <c r="B9" t="str">
        <f>""</f>
        <v/>
      </c>
      <c r="C9" t="str">
        <f>""</f>
        <v/>
      </c>
      <c r="D9" t="str">
        <f>""</f>
        <v/>
      </c>
      <c r="E9" t="str">
        <f>"0.099"</f>
        <v>0.099</v>
      </c>
      <c r="F9" t="str">
        <f>""</f>
        <v/>
      </c>
    </row>
    <row r="10" spans="1:6" x14ac:dyDescent="0.3">
      <c r="A10" t="str">
        <f>""</f>
        <v/>
      </c>
      <c r="B10" t="str">
        <f>""</f>
        <v/>
      </c>
      <c r="C10" t="str">
        <f>""</f>
        <v/>
      </c>
      <c r="D10" t="str">
        <f>""</f>
        <v/>
      </c>
      <c r="E10" t="str">
        <f>"(0.098)"</f>
        <v>(0.098)</v>
      </c>
      <c r="F10" t="str">
        <f>""</f>
        <v/>
      </c>
    </row>
    <row r="11" spans="1:6" x14ac:dyDescent="0.3">
      <c r="A11" t="str">
        <f>"Mailed Test Strip (Treated)"</f>
        <v>Mailed Test Strip (Treated)</v>
      </c>
      <c r="B11" t="str">
        <f>"0.266***"</f>
        <v>0.266***</v>
      </c>
      <c r="C11" t="str">
        <f>"0.249***"</f>
        <v>0.249***</v>
      </c>
      <c r="D11" t="str">
        <f>"0.271***"</f>
        <v>0.271***</v>
      </c>
      <c r="E11" t="str">
        <f>"0.294**"</f>
        <v>0.294**</v>
      </c>
      <c r="F11" t="str">
        <f>"0.238***"</f>
        <v>0.238***</v>
      </c>
    </row>
    <row r="12" spans="1:6" x14ac:dyDescent="0.3">
      <c r="A12" t="str">
        <f>""</f>
        <v/>
      </c>
      <c r="B12" t="str">
        <f>"(0.017)"</f>
        <v>(0.017)</v>
      </c>
      <c r="C12" t="str">
        <f>"(0.027)"</f>
        <v>(0.027)</v>
      </c>
      <c r="D12" t="str">
        <f>"(0.048)"</f>
        <v>(0.048)</v>
      </c>
      <c r="E12" t="str">
        <f>"(0.143)"</f>
        <v>(0.143)</v>
      </c>
      <c r="F12" t="str">
        <f>"(0.013)"</f>
        <v>(0.013)</v>
      </c>
    </row>
    <row r="13" spans="1:6" x14ac:dyDescent="0.3">
      <c r="A13" t="str">
        <f>"GTC Test (Own) + Treated"</f>
        <v>GTC Test (Own) + Treated</v>
      </c>
      <c r="B13" t="str">
        <f>"-0.054*"</f>
        <v>-0.054*</v>
      </c>
      <c r="C13" t="str">
        <f>""</f>
        <v/>
      </c>
      <c r="D13" t="str">
        <f>""</f>
        <v/>
      </c>
      <c r="E13" t="str">
        <f>""</f>
        <v/>
      </c>
      <c r="F13" t="str">
        <f>""</f>
        <v/>
      </c>
    </row>
    <row r="14" spans="1:6" x14ac:dyDescent="0.3">
      <c r="A14" t="str">
        <f>""</f>
        <v/>
      </c>
      <c r="B14" t="str">
        <f>"(0.028)"</f>
        <v>(0.028)</v>
      </c>
      <c r="C14" t="str">
        <f>""</f>
        <v/>
      </c>
      <c r="D14" t="str">
        <f>""</f>
        <v/>
      </c>
      <c r="E14" t="str">
        <f>""</f>
        <v/>
      </c>
      <c r="F14" t="str">
        <f>""</f>
        <v/>
      </c>
    </row>
    <row r="15" spans="1:6" x14ac:dyDescent="0.3">
      <c r="A15" t="str">
        <f>"GTC Test (0.5 miles) + Treated"</f>
        <v>GTC Test (0.5 miles) + Treated</v>
      </c>
      <c r="B15" t="str">
        <f>""</f>
        <v/>
      </c>
      <c r="C15" t="str">
        <f>"-0.009"</f>
        <v>-0.009</v>
      </c>
      <c r="D15" t="str">
        <f>""</f>
        <v/>
      </c>
      <c r="E15" t="str">
        <f>""</f>
        <v/>
      </c>
      <c r="F15" t="str">
        <f>""</f>
        <v/>
      </c>
    </row>
    <row r="16" spans="1:6" x14ac:dyDescent="0.3">
      <c r="A16" t="str">
        <f>""</f>
        <v/>
      </c>
      <c r="B16" t="str">
        <f>""</f>
        <v/>
      </c>
      <c r="C16" t="str">
        <f>"(0.031)"</f>
        <v>(0.031)</v>
      </c>
      <c r="D16" t="str">
        <f>""</f>
        <v/>
      </c>
      <c r="E16" t="str">
        <f>""</f>
        <v/>
      </c>
      <c r="F16" t="str">
        <f>""</f>
        <v/>
      </c>
    </row>
    <row r="17" spans="1:6" x14ac:dyDescent="0.3">
      <c r="A17" t="str">
        <f>"GTC Test (&lt;1 mile) + Treated"</f>
        <v>GTC Test (&lt;1 mile) + Treated</v>
      </c>
      <c r="B17" t="str">
        <f>""</f>
        <v/>
      </c>
      <c r="C17" t="str">
        <f>""</f>
        <v/>
      </c>
      <c r="D17" t="str">
        <f>"-0.031"</f>
        <v>-0.031</v>
      </c>
      <c r="E17" t="str">
        <f>""</f>
        <v/>
      </c>
      <c r="F17" t="str">
        <f>""</f>
        <v/>
      </c>
    </row>
    <row r="18" spans="1:6" x14ac:dyDescent="0.3">
      <c r="A18" t="str">
        <f>""</f>
        <v/>
      </c>
      <c r="B18" t="str">
        <f>""</f>
        <v/>
      </c>
      <c r="C18" t="str">
        <f>""</f>
        <v/>
      </c>
      <c r="D18" t="str">
        <f>"(0.051)"</f>
        <v>(0.051)</v>
      </c>
      <c r="E18" t="str">
        <f>""</f>
        <v/>
      </c>
      <c r="F18" t="str">
        <f>""</f>
        <v/>
      </c>
    </row>
    <row r="19" spans="1:6" x14ac:dyDescent="0.3">
      <c r="A19" t="str">
        <f>"GTC Test (&lt;2 miles) + Treated"</f>
        <v>GTC Test (&lt;2 miles) + Treated</v>
      </c>
      <c r="B19" t="str">
        <f>""</f>
        <v/>
      </c>
      <c r="C19" t="str">
        <f>""</f>
        <v/>
      </c>
      <c r="D19" t="str">
        <f>""</f>
        <v/>
      </c>
      <c r="E19" t="str">
        <f>"-0.052"</f>
        <v>-0.052</v>
      </c>
      <c r="F19" t="str">
        <f>""</f>
        <v/>
      </c>
    </row>
    <row r="20" spans="1:6" x14ac:dyDescent="0.3">
      <c r="A20" t="str">
        <f>""</f>
        <v/>
      </c>
      <c r="B20" t="str">
        <f>""</f>
        <v/>
      </c>
      <c r="C20" t="str">
        <f>""</f>
        <v/>
      </c>
      <c r="D20" t="str">
        <f>""</f>
        <v/>
      </c>
      <c r="E20" t="str">
        <f>"(0.144)"</f>
        <v>(0.144)</v>
      </c>
      <c r="F20" t="str">
        <f>""</f>
        <v/>
      </c>
    </row>
    <row r="21" spans="1:6" x14ac:dyDescent="0.3">
      <c r="A21" t="str">
        <f>"GTC Test (Own) + Treated + Hi Test"</f>
        <v>GTC Test (Own) + Treated + Hi Test</v>
      </c>
      <c r="B21" t="str">
        <f>"-0.068"</f>
        <v>-0.068</v>
      </c>
      <c r="C21" t="str">
        <f>""</f>
        <v/>
      </c>
      <c r="D21" t="str">
        <f>""</f>
        <v/>
      </c>
      <c r="E21" t="str">
        <f>""</f>
        <v/>
      </c>
      <c r="F21" t="str">
        <f>""</f>
        <v/>
      </c>
    </row>
    <row r="22" spans="1:6" x14ac:dyDescent="0.3">
      <c r="A22" t="str">
        <f>""</f>
        <v/>
      </c>
      <c r="B22" t="str">
        <f>"(0.041)"</f>
        <v>(0.041)</v>
      </c>
      <c r="C22" t="str">
        <f>""</f>
        <v/>
      </c>
      <c r="D22" t="str">
        <f>""</f>
        <v/>
      </c>
      <c r="E22" t="str">
        <f>""</f>
        <v/>
      </c>
      <c r="F22" t="str">
        <f>""</f>
        <v/>
      </c>
    </row>
    <row r="23" spans="1:6" x14ac:dyDescent="0.3">
      <c r="A23" t="str">
        <f>"GTC Test (0.5 miles) + Treated + Hi Test"</f>
        <v>GTC Test (0.5 miles) + Treated + Hi Test</v>
      </c>
      <c r="B23" t="str">
        <f>""</f>
        <v/>
      </c>
      <c r="C23" t="str">
        <f>"-0.043"</f>
        <v>-0.043</v>
      </c>
      <c r="D23" t="str">
        <f>""</f>
        <v/>
      </c>
      <c r="E23" t="str">
        <f>""</f>
        <v/>
      </c>
      <c r="F23" t="str">
        <f>""</f>
        <v/>
      </c>
    </row>
    <row r="24" spans="1:6" x14ac:dyDescent="0.3">
      <c r="A24" t="str">
        <f>""</f>
        <v/>
      </c>
      <c r="B24" t="str">
        <f>""</f>
        <v/>
      </c>
      <c r="C24" t="str">
        <f>"(0.033)"</f>
        <v>(0.033)</v>
      </c>
      <c r="D24" t="str">
        <f>""</f>
        <v/>
      </c>
      <c r="E24" t="str">
        <f>""</f>
        <v/>
      </c>
      <c r="F24" t="str">
        <f>""</f>
        <v/>
      </c>
    </row>
    <row r="25" spans="1:6" x14ac:dyDescent="0.3">
      <c r="A25" t="str">
        <f>"GTC Test (&lt;1 mile) + Treated + Hi Test"</f>
        <v>GTC Test (&lt;1 mile) + Treated + Hi Test</v>
      </c>
      <c r="B25" t="str">
        <f>""</f>
        <v/>
      </c>
      <c r="C25" t="str">
        <f>""</f>
        <v/>
      </c>
      <c r="D25" t="str">
        <f>"-0.019"</f>
        <v>-0.019</v>
      </c>
      <c r="E25" t="str">
        <f>""</f>
        <v/>
      </c>
      <c r="F25" t="str">
        <f>""</f>
        <v/>
      </c>
    </row>
    <row r="26" spans="1:6" x14ac:dyDescent="0.3">
      <c r="A26" t="str">
        <f>""</f>
        <v/>
      </c>
      <c r="B26" t="str">
        <f>""</f>
        <v/>
      </c>
      <c r="C26" t="str">
        <f>""</f>
        <v/>
      </c>
      <c r="D26" t="str">
        <f>"(0.030)"</f>
        <v>(0.030)</v>
      </c>
      <c r="E26" t="str">
        <f>""</f>
        <v/>
      </c>
      <c r="F26" t="str">
        <f>""</f>
        <v/>
      </c>
    </row>
    <row r="27" spans="1:6" x14ac:dyDescent="0.3">
      <c r="A27" t="str">
        <f>"GTC Test (&lt;2 miles) + Treated + Hi Test"</f>
        <v>GTC Test (&lt;2 miles) + Treated + Hi Test</v>
      </c>
      <c r="B27" t="str">
        <f>""</f>
        <v/>
      </c>
      <c r="C27" t="str">
        <f>""</f>
        <v/>
      </c>
      <c r="D27" t="str">
        <f>""</f>
        <v/>
      </c>
      <c r="E27" t="str">
        <f>"-0.021"</f>
        <v>-0.021</v>
      </c>
      <c r="F27" t="str">
        <f>""</f>
        <v/>
      </c>
    </row>
    <row r="28" spans="1:6" x14ac:dyDescent="0.3">
      <c r="A28" t="str">
        <f>""</f>
        <v/>
      </c>
      <c r="B28" t="str">
        <f>""</f>
        <v/>
      </c>
      <c r="C28" t="str">
        <f>""</f>
        <v/>
      </c>
      <c r="D28" t="str">
        <f>""</f>
        <v/>
      </c>
      <c r="E28" t="str">
        <f>"(0.034)"</f>
        <v>(0.034)</v>
      </c>
      <c r="F28" t="str">
        <f>""</f>
        <v/>
      </c>
    </row>
    <row r="29" spans="1:6" x14ac:dyDescent="0.3">
      <c r="A29" t="str">
        <f>"GTC Test (&lt;5 miles) + Treated + Hi Test"</f>
        <v>GTC Test (&lt;5 miles) + Treated + Hi Test</v>
      </c>
      <c r="B29" t="str">
        <f>""</f>
        <v/>
      </c>
      <c r="C29" t="str">
        <f>""</f>
        <v/>
      </c>
      <c r="D29" t="str">
        <f>""</f>
        <v/>
      </c>
      <c r="E29" t="str">
        <f>""</f>
        <v/>
      </c>
      <c r="F29" t="str">
        <f>"0.040"</f>
        <v>0.040</v>
      </c>
    </row>
    <row r="30" spans="1:6" x14ac:dyDescent="0.3">
      <c r="A30" t="str">
        <f>""</f>
        <v/>
      </c>
      <c r="B30" t="str">
        <f>""</f>
        <v/>
      </c>
      <c r="C30" t="str">
        <f>""</f>
        <v/>
      </c>
      <c r="D30" t="str">
        <f>""</f>
        <v/>
      </c>
      <c r="E30" t="str">
        <f>""</f>
        <v/>
      </c>
      <c r="F30" t="str">
        <f>"(0.044)"</f>
        <v>(0.044)</v>
      </c>
    </row>
    <row r="31" spans="1:6" x14ac:dyDescent="0.3">
      <c r="A31" t="str">
        <f>"Constant"</f>
        <v>Constant</v>
      </c>
      <c r="B31" t="str">
        <f>"0.128***"</f>
        <v>0.128***</v>
      </c>
      <c r="C31" t="str">
        <f>"0.134***"</f>
        <v>0.134***</v>
      </c>
      <c r="D31" t="str">
        <f>"0.115***"</f>
        <v>0.115***</v>
      </c>
      <c r="E31" t="str">
        <f>"0.095"</f>
        <v>0.095</v>
      </c>
      <c r="F31" t="str">
        <f>"0.194***"</f>
        <v>0.194***</v>
      </c>
    </row>
    <row r="32" spans="1:6" x14ac:dyDescent="0.3">
      <c r="A32" t="str">
        <f>""</f>
        <v/>
      </c>
      <c r="B32" t="str">
        <f>"(0.012)"</f>
        <v>(0.012)</v>
      </c>
      <c r="C32" t="str">
        <f>"(0.018)"</f>
        <v>(0.018)</v>
      </c>
      <c r="D32" t="str">
        <f>"(0.033)"</f>
        <v>(0.033)</v>
      </c>
      <c r="E32" t="str">
        <f>"(0.097)"</f>
        <v>(0.097)</v>
      </c>
      <c r="F32" t="str">
        <f>"(0.009)"</f>
        <v>(0.009)</v>
      </c>
    </row>
    <row r="33" spans="1:6" x14ac:dyDescent="0.3">
      <c r="A33" t="str">
        <f>"Observations"</f>
        <v>Observations</v>
      </c>
      <c r="B33" t="str">
        <f>"4541"</f>
        <v>4541</v>
      </c>
      <c r="C33" t="str">
        <f>"4541"</f>
        <v>4541</v>
      </c>
      <c r="D33" t="str">
        <f>"4541"</f>
        <v>4541</v>
      </c>
      <c r="E33" t="str">
        <f>"4541"</f>
        <v>4541</v>
      </c>
      <c r="F33" t="str">
        <f>"4541"</f>
        <v>4541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C843C-2807-443B-960C-BBFC1FC0F62D}">
  <dimension ref="A1:F33"/>
  <sheetViews>
    <sheetView workbookViewId="0">
      <selection activeCell="AA29" sqref="AA29"/>
    </sheetView>
  </sheetViews>
  <sheetFormatPr defaultRowHeight="14.4" x14ac:dyDescent="0.3"/>
  <sheetData>
    <row r="1" spans="1:6" x14ac:dyDescent="0.3">
      <c r="A1" t="str">
        <f>"Testing Intent to Treat Effects - GTC Testing"</f>
        <v>Testing Intent to Treat Effects - GTC Testing</v>
      </c>
    </row>
    <row r="2" spans="1:6" x14ac:dyDescent="0.3">
      <c r="A2" t="str">
        <f>""</f>
        <v/>
      </c>
      <c r="B2" t="str">
        <f>"(1)"</f>
        <v>(1)</v>
      </c>
      <c r="C2" t="str">
        <f>"(2)"</f>
        <v>(2)</v>
      </c>
      <c r="D2" t="str">
        <f>"(3)"</f>
        <v>(3)</v>
      </c>
      <c r="E2" t="str">
        <f>"(4)"</f>
        <v>(4)</v>
      </c>
      <c r="F2" t="str">
        <f>"(5)"</f>
        <v>(5)</v>
      </c>
    </row>
    <row r="3" spans="1:6" x14ac:dyDescent="0.3">
      <c r="A3" t="str">
        <f>"GTC Test (Own)"</f>
        <v>GTC Test (Own)</v>
      </c>
      <c r="B3" t="str">
        <f>"0.144***"</f>
        <v>0.144***</v>
      </c>
      <c r="C3" t="str">
        <f>""</f>
        <v/>
      </c>
      <c r="D3" t="str">
        <f>""</f>
        <v/>
      </c>
      <c r="E3" t="str">
        <f>""</f>
        <v/>
      </c>
      <c r="F3" t="str">
        <f>""</f>
        <v/>
      </c>
    </row>
    <row r="4" spans="1:6" x14ac:dyDescent="0.3">
      <c r="A4" t="str">
        <f>""</f>
        <v/>
      </c>
      <c r="B4" t="str">
        <f>"(0.013)"</f>
        <v>(0.013)</v>
      </c>
      <c r="C4" t="str">
        <f>""</f>
        <v/>
      </c>
      <c r="D4" t="str">
        <f>""</f>
        <v/>
      </c>
      <c r="E4" t="str">
        <f>""</f>
        <v/>
      </c>
      <c r="F4" t="str">
        <f>""</f>
        <v/>
      </c>
    </row>
    <row r="5" spans="1:6" x14ac:dyDescent="0.3">
      <c r="A5" t="str">
        <f>"GTC Test (0.5 miles)"</f>
        <v>GTC Test (0.5 miles)</v>
      </c>
      <c r="B5" t="str">
        <f>""</f>
        <v/>
      </c>
      <c r="C5" t="str">
        <f>"0.074***"</f>
        <v>0.074***</v>
      </c>
      <c r="D5" t="str">
        <f>""</f>
        <v/>
      </c>
      <c r="E5" t="str">
        <f>""</f>
        <v/>
      </c>
      <c r="F5" t="str">
        <f>""</f>
        <v/>
      </c>
    </row>
    <row r="6" spans="1:6" x14ac:dyDescent="0.3">
      <c r="A6" t="str">
        <f>""</f>
        <v/>
      </c>
      <c r="B6" t="str">
        <f>""</f>
        <v/>
      </c>
      <c r="C6" t="str">
        <f>"(0.015)"</f>
        <v>(0.015)</v>
      </c>
      <c r="D6" t="str">
        <f>""</f>
        <v/>
      </c>
      <c r="E6" t="str">
        <f>""</f>
        <v/>
      </c>
      <c r="F6" t="str">
        <f>""</f>
        <v/>
      </c>
    </row>
    <row r="7" spans="1:6" x14ac:dyDescent="0.3">
      <c r="A7" t="str">
        <f>"GTC Test (&lt;1 mile)"</f>
        <v>GTC Test (&lt;1 mile)</v>
      </c>
      <c r="B7" t="str">
        <f>""</f>
        <v/>
      </c>
      <c r="C7" t="str">
        <f>""</f>
        <v/>
      </c>
      <c r="D7" t="str">
        <f>"0.055**"</f>
        <v>0.055**</v>
      </c>
      <c r="E7" t="str">
        <f>""</f>
        <v/>
      </c>
      <c r="F7" t="str">
        <f>""</f>
        <v/>
      </c>
    </row>
    <row r="8" spans="1:6" x14ac:dyDescent="0.3">
      <c r="A8" t="str">
        <f>""</f>
        <v/>
      </c>
      <c r="B8" t="str">
        <f>""</f>
        <v/>
      </c>
      <c r="C8" t="str">
        <f>""</f>
        <v/>
      </c>
      <c r="D8" t="str">
        <f>"(0.025)"</f>
        <v>(0.025)</v>
      </c>
      <c r="E8" t="str">
        <f>""</f>
        <v/>
      </c>
      <c r="F8" t="str">
        <f>""</f>
        <v/>
      </c>
    </row>
    <row r="9" spans="1:6" x14ac:dyDescent="0.3">
      <c r="A9" t="str">
        <f>"GTC Test (&lt;2 miles)"</f>
        <v>GTC Test (&lt;2 miles)</v>
      </c>
      <c r="B9" t="str">
        <f>""</f>
        <v/>
      </c>
      <c r="C9" t="str">
        <f>""</f>
        <v/>
      </c>
      <c r="D9" t="str">
        <f>""</f>
        <v/>
      </c>
      <c r="E9" t="str">
        <f>"0.005"</f>
        <v>0.005</v>
      </c>
      <c r="F9" t="str">
        <f>""</f>
        <v/>
      </c>
    </row>
    <row r="10" spans="1:6" x14ac:dyDescent="0.3">
      <c r="A10" t="str">
        <f>""</f>
        <v/>
      </c>
      <c r="B10" t="str">
        <f>""</f>
        <v/>
      </c>
      <c r="C10" t="str">
        <f>""</f>
        <v/>
      </c>
      <c r="D10" t="str">
        <f>""</f>
        <v/>
      </c>
      <c r="E10" t="str">
        <f>"(0.070)"</f>
        <v>(0.070)</v>
      </c>
      <c r="F10" t="str">
        <f>""</f>
        <v/>
      </c>
    </row>
    <row r="11" spans="1:6" x14ac:dyDescent="0.3">
      <c r="A11" t="str">
        <f>"Mailed Test Strip (Treated)"</f>
        <v>Mailed Test Strip (Treated)</v>
      </c>
      <c r="B11" t="str">
        <f>"0.021*"</f>
        <v>0.021*</v>
      </c>
      <c r="C11" t="str">
        <f>"0.047**"</f>
        <v>0.047**</v>
      </c>
      <c r="D11" t="str">
        <f>"0.039"</f>
        <v>0.039</v>
      </c>
      <c r="E11" t="str">
        <f>"-0.040"</f>
        <v>-0.040</v>
      </c>
      <c r="F11" t="str">
        <f>"0.030***"</f>
        <v>0.030***</v>
      </c>
    </row>
    <row r="12" spans="1:6" x14ac:dyDescent="0.3">
      <c r="A12" t="str">
        <f>""</f>
        <v/>
      </c>
      <c r="B12" t="str">
        <f>"(0.012)"</f>
        <v>(0.012)</v>
      </c>
      <c r="C12" t="str">
        <f>"(0.019)"</f>
        <v>(0.019)</v>
      </c>
      <c r="D12" t="str">
        <f>"(0.035)"</f>
        <v>(0.035)</v>
      </c>
      <c r="E12" t="str">
        <f>"(0.102)"</f>
        <v>(0.102)</v>
      </c>
      <c r="F12" t="str">
        <f>"(0.010)"</f>
        <v>(0.010)</v>
      </c>
    </row>
    <row r="13" spans="1:6" x14ac:dyDescent="0.3">
      <c r="A13" t="str">
        <f>"GTC Test (Own) + Treated"</f>
        <v>GTC Test (Own) + Treated</v>
      </c>
      <c r="B13" t="str">
        <f>"0.031"</f>
        <v>0.031</v>
      </c>
      <c r="C13" t="str">
        <f>""</f>
        <v/>
      </c>
      <c r="D13" t="str">
        <f>""</f>
        <v/>
      </c>
      <c r="E13" t="str">
        <f>""</f>
        <v/>
      </c>
      <c r="F13" t="str">
        <f>""</f>
        <v/>
      </c>
    </row>
    <row r="14" spans="1:6" x14ac:dyDescent="0.3">
      <c r="A14" t="str">
        <f>""</f>
        <v/>
      </c>
      <c r="B14" t="str">
        <f>"(0.020)"</f>
        <v>(0.020)</v>
      </c>
      <c r="C14" t="str">
        <f>""</f>
        <v/>
      </c>
      <c r="D14" t="str">
        <f>""</f>
        <v/>
      </c>
      <c r="E14" t="str">
        <f>""</f>
        <v/>
      </c>
      <c r="F14" t="str">
        <f>""</f>
        <v/>
      </c>
    </row>
    <row r="15" spans="1:6" x14ac:dyDescent="0.3">
      <c r="A15" t="str">
        <f>"GTC Test (0.5 miles) + Treated"</f>
        <v>GTC Test (0.5 miles) + Treated</v>
      </c>
      <c r="B15" t="str">
        <f>""</f>
        <v/>
      </c>
      <c r="C15" t="str">
        <f>"-0.025"</f>
        <v>-0.025</v>
      </c>
      <c r="D15" t="str">
        <f>""</f>
        <v/>
      </c>
      <c r="E15" t="str">
        <f>""</f>
        <v/>
      </c>
      <c r="F15" t="str">
        <f>""</f>
        <v/>
      </c>
    </row>
    <row r="16" spans="1:6" x14ac:dyDescent="0.3">
      <c r="A16" t="str">
        <f>""</f>
        <v/>
      </c>
      <c r="B16" t="str">
        <f>""</f>
        <v/>
      </c>
      <c r="C16" t="str">
        <f>"(0.022)"</f>
        <v>(0.022)</v>
      </c>
      <c r="D16" t="str">
        <f>""</f>
        <v/>
      </c>
      <c r="E16" t="str">
        <f>""</f>
        <v/>
      </c>
      <c r="F16" t="str">
        <f>""</f>
        <v/>
      </c>
    </row>
    <row r="17" spans="1:6" x14ac:dyDescent="0.3">
      <c r="A17" t="str">
        <f>"GTC Test (&lt;1 mile) + Treated"</f>
        <v>GTC Test (&lt;1 mile) + Treated</v>
      </c>
      <c r="B17" t="str">
        <f>""</f>
        <v/>
      </c>
      <c r="C17" t="str">
        <f>""</f>
        <v/>
      </c>
      <c r="D17" t="str">
        <f>"-0.009"</f>
        <v>-0.009</v>
      </c>
      <c r="E17" t="str">
        <f>""</f>
        <v/>
      </c>
      <c r="F17" t="str">
        <f>""</f>
        <v/>
      </c>
    </row>
    <row r="18" spans="1:6" x14ac:dyDescent="0.3">
      <c r="A18" t="str">
        <f>""</f>
        <v/>
      </c>
      <c r="B18" t="str">
        <f>""</f>
        <v/>
      </c>
      <c r="C18" t="str">
        <f>""</f>
        <v/>
      </c>
      <c r="D18" t="str">
        <f>"(0.036)"</f>
        <v>(0.036)</v>
      </c>
      <c r="E18" t="str">
        <f>""</f>
        <v/>
      </c>
      <c r="F18" t="str">
        <f>""</f>
        <v/>
      </c>
    </row>
    <row r="19" spans="1:6" x14ac:dyDescent="0.3">
      <c r="A19" t="str">
        <f>"GTC Test (&lt;2 miles) + Treated"</f>
        <v>GTC Test (&lt;2 miles) + Treated</v>
      </c>
      <c r="B19" t="str">
        <f>""</f>
        <v/>
      </c>
      <c r="C19" t="str">
        <f>""</f>
        <v/>
      </c>
      <c r="D19" t="str">
        <f>""</f>
        <v/>
      </c>
      <c r="E19" t="str">
        <f>"0.072"</f>
        <v>0.072</v>
      </c>
      <c r="F19" t="str">
        <f>""</f>
        <v/>
      </c>
    </row>
    <row r="20" spans="1:6" x14ac:dyDescent="0.3">
      <c r="A20" t="str">
        <f>""</f>
        <v/>
      </c>
      <c r="B20" t="str">
        <f>""</f>
        <v/>
      </c>
      <c r="C20" t="str">
        <f>""</f>
        <v/>
      </c>
      <c r="D20" t="str">
        <f>""</f>
        <v/>
      </c>
      <c r="E20" t="str">
        <f>"(0.103)"</f>
        <v>(0.103)</v>
      </c>
      <c r="F20" t="str">
        <f>""</f>
        <v/>
      </c>
    </row>
    <row r="21" spans="1:6" x14ac:dyDescent="0.3">
      <c r="A21" t="str">
        <f>"GTC Test (Own) + Treated + Hi Test"</f>
        <v>GTC Test (Own) + Treated + Hi Test</v>
      </c>
      <c r="B21" t="str">
        <f>"-0.016"</f>
        <v>-0.016</v>
      </c>
      <c r="C21" t="str">
        <f>""</f>
        <v/>
      </c>
      <c r="D21" t="str">
        <f>""</f>
        <v/>
      </c>
      <c r="E21" t="str">
        <f>""</f>
        <v/>
      </c>
      <c r="F21" t="str">
        <f>""</f>
        <v/>
      </c>
    </row>
    <row r="22" spans="1:6" x14ac:dyDescent="0.3">
      <c r="A22" t="str">
        <f>""</f>
        <v/>
      </c>
      <c r="B22" t="str">
        <f>"(0.029)"</f>
        <v>(0.029)</v>
      </c>
      <c r="C22" t="str">
        <f>""</f>
        <v/>
      </c>
      <c r="D22" t="str">
        <f>""</f>
        <v/>
      </c>
      <c r="E22" t="str">
        <f>""</f>
        <v/>
      </c>
      <c r="F22" t="str">
        <f>""</f>
        <v/>
      </c>
    </row>
    <row r="23" spans="1:6" x14ac:dyDescent="0.3">
      <c r="A23" t="str">
        <f>"GTC Test (0.5 miles) + Treated + Hi Test"</f>
        <v>GTC Test (0.5 miles) + Treated + Hi Test</v>
      </c>
      <c r="B23" t="str">
        <f>""</f>
        <v/>
      </c>
      <c r="C23" t="str">
        <f>"0.012"</f>
        <v>0.012</v>
      </c>
      <c r="D23" t="str">
        <f>""</f>
        <v/>
      </c>
      <c r="E23" t="str">
        <f>""</f>
        <v/>
      </c>
      <c r="F23" t="str">
        <f>""</f>
        <v/>
      </c>
    </row>
    <row r="24" spans="1:6" x14ac:dyDescent="0.3">
      <c r="A24" t="str">
        <f>""</f>
        <v/>
      </c>
      <c r="B24" t="str">
        <f>""</f>
        <v/>
      </c>
      <c r="C24" t="str">
        <f>"(0.023)"</f>
        <v>(0.023)</v>
      </c>
      <c r="D24" t="str">
        <f>""</f>
        <v/>
      </c>
      <c r="E24" t="str">
        <f>""</f>
        <v/>
      </c>
      <c r="F24" t="str">
        <f>""</f>
        <v/>
      </c>
    </row>
    <row r="25" spans="1:6" x14ac:dyDescent="0.3">
      <c r="A25" t="str">
        <f>"GTC Test (&lt;1 mile) + Treated + Hi Test"</f>
        <v>GTC Test (&lt;1 mile) + Treated + Hi Test</v>
      </c>
      <c r="B25" t="str">
        <f>""</f>
        <v/>
      </c>
      <c r="C25" t="str">
        <f>""</f>
        <v/>
      </c>
      <c r="D25" t="str">
        <f>"0.001"</f>
        <v>0.001</v>
      </c>
      <c r="E25" t="str">
        <f>""</f>
        <v/>
      </c>
      <c r="F25" t="str">
        <f>""</f>
        <v/>
      </c>
    </row>
    <row r="26" spans="1:6" x14ac:dyDescent="0.3">
      <c r="A26" t="str">
        <f>""</f>
        <v/>
      </c>
      <c r="B26" t="str">
        <f>""</f>
        <v/>
      </c>
      <c r="C26" t="str">
        <f>""</f>
        <v/>
      </c>
      <c r="D26" t="str">
        <f>"(0.022)"</f>
        <v>(0.022)</v>
      </c>
      <c r="E26" t="str">
        <f>""</f>
        <v/>
      </c>
      <c r="F26" t="str">
        <f>""</f>
        <v/>
      </c>
    </row>
    <row r="27" spans="1:6" x14ac:dyDescent="0.3">
      <c r="A27" t="str">
        <f>"GTC Test (&lt;2 miles) + Treated + Hi Test"</f>
        <v>GTC Test (&lt;2 miles) + Treated + Hi Test</v>
      </c>
      <c r="B27" t="str">
        <f>""</f>
        <v/>
      </c>
      <c r="C27" t="str">
        <f>""</f>
        <v/>
      </c>
      <c r="D27" t="str">
        <f>""</f>
        <v/>
      </c>
      <c r="E27" t="str">
        <f>"-0.014"</f>
        <v>-0.014</v>
      </c>
      <c r="F27" t="str">
        <f>""</f>
        <v/>
      </c>
    </row>
    <row r="28" spans="1:6" x14ac:dyDescent="0.3">
      <c r="A28" t="str">
        <f>""</f>
        <v/>
      </c>
      <c r="B28" t="str">
        <f>""</f>
        <v/>
      </c>
      <c r="C28" t="str">
        <f>""</f>
        <v/>
      </c>
      <c r="D28" t="str">
        <f>""</f>
        <v/>
      </c>
      <c r="E28" t="str">
        <f>"(0.024)"</f>
        <v>(0.024)</v>
      </c>
      <c r="F28" t="str">
        <f>""</f>
        <v/>
      </c>
    </row>
    <row r="29" spans="1:6" x14ac:dyDescent="0.3">
      <c r="A29" t="str">
        <f>"GTC Test (&lt;5 miles) + Treated + Hi Test"</f>
        <v>GTC Test (&lt;5 miles) + Treated + Hi Test</v>
      </c>
      <c r="B29" t="str">
        <f>""</f>
        <v/>
      </c>
      <c r="C29" t="str">
        <f>""</f>
        <v/>
      </c>
      <c r="D29" t="str">
        <f>""</f>
        <v/>
      </c>
      <c r="E29" t="str">
        <f>""</f>
        <v/>
      </c>
      <c r="F29" t="str">
        <f>"0.011"</f>
        <v>0.011</v>
      </c>
    </row>
    <row r="30" spans="1:6" x14ac:dyDescent="0.3">
      <c r="A30" t="str">
        <f>""</f>
        <v/>
      </c>
      <c r="B30" t="str">
        <f>""</f>
        <v/>
      </c>
      <c r="C30" t="str">
        <f>""</f>
        <v/>
      </c>
      <c r="D30" t="str">
        <f>""</f>
        <v/>
      </c>
      <c r="E30" t="str">
        <f>""</f>
        <v/>
      </c>
      <c r="F30" t="str">
        <f>"(0.032)"</f>
        <v>(0.032)</v>
      </c>
    </row>
    <row r="31" spans="1:6" x14ac:dyDescent="0.3">
      <c r="A31" t="str">
        <f>"Constant"</f>
        <v>Constant</v>
      </c>
      <c r="B31" t="str">
        <f>"0.045***"</f>
        <v>0.045***</v>
      </c>
      <c r="C31" t="str">
        <f>"0.045***"</f>
        <v>0.045***</v>
      </c>
      <c r="D31" t="str">
        <f>"0.049**"</f>
        <v>0.049**</v>
      </c>
      <c r="E31" t="str">
        <f>"0.095"</f>
        <v>0.095</v>
      </c>
      <c r="F31" t="str">
        <f>"0.100***"</f>
        <v>0.100***</v>
      </c>
    </row>
    <row r="32" spans="1:6" x14ac:dyDescent="0.3">
      <c r="A32" t="str">
        <f>""</f>
        <v/>
      </c>
      <c r="B32" t="str">
        <f>"(0.008)"</f>
        <v>(0.008)</v>
      </c>
      <c r="C32" t="str">
        <f>"(0.013)"</f>
        <v>(0.013)</v>
      </c>
      <c r="D32" t="str">
        <f>"(0.024)"</f>
        <v>(0.024)</v>
      </c>
      <c r="E32" t="str">
        <f>"(0.069)"</f>
        <v>(0.069)</v>
      </c>
      <c r="F32" t="str">
        <f>"(0.007)"</f>
        <v>(0.007)</v>
      </c>
    </row>
    <row r="33" spans="1:6" x14ac:dyDescent="0.3">
      <c r="A33" t="str">
        <f>"Observations"</f>
        <v>Observations</v>
      </c>
      <c r="B33" t="str">
        <f>"4541"</f>
        <v>4541</v>
      </c>
      <c r="C33" t="str">
        <f>"4541"</f>
        <v>4541</v>
      </c>
      <c r="D33" t="str">
        <f>"4541"</f>
        <v>4541</v>
      </c>
      <c r="E33" t="str">
        <f>"4541"</f>
        <v>4541</v>
      </c>
      <c r="F33" t="str">
        <f>"4541"</f>
        <v>4541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EF662-9D31-4DF4-8C5F-73F1F0C68C20}">
  <dimension ref="A1:G8"/>
  <sheetViews>
    <sheetView workbookViewId="0">
      <selection activeCell="F41" sqref="F41"/>
    </sheetView>
  </sheetViews>
  <sheetFormatPr defaultRowHeight="14.4" x14ac:dyDescent="0.3"/>
  <sheetData>
    <row r="1" spans="1:7" x14ac:dyDescent="0.3">
      <c r="A1" t="str">
        <f>"Testing Intent to Treat Effects by Pollutant"</f>
        <v>Testing Intent to Treat Effects by Pollutant</v>
      </c>
    </row>
    <row r="2" spans="1:7" x14ac:dyDescent="0.3">
      <c r="A2" t="str">
        <f>""</f>
        <v/>
      </c>
      <c r="B2" t="str">
        <f>"(1)"</f>
        <v>(1)</v>
      </c>
      <c r="C2" t="str">
        <f>"(2)"</f>
        <v>(2)</v>
      </c>
      <c r="D2" t="str">
        <f>"(3)"</f>
        <v>(3)</v>
      </c>
      <c r="E2" t="str">
        <f>"(4)"</f>
        <v>(4)</v>
      </c>
      <c r="F2" t="str">
        <f>"(5)"</f>
        <v>(5)</v>
      </c>
      <c r="G2" t="str">
        <f>"(6)"</f>
        <v>(6)</v>
      </c>
    </row>
    <row r="3" spans="1:7" x14ac:dyDescent="0.3">
      <c r="A3" t="str">
        <f>"Mailed Test Strip"</f>
        <v>Mailed Test Strip</v>
      </c>
      <c r="B3" t="str">
        <f>"0.222***"</f>
        <v>0.222***</v>
      </c>
      <c r="C3" t="str">
        <f>"0.021**"</f>
        <v>0.021**</v>
      </c>
      <c r="D3" t="str">
        <f>"0.003"</f>
        <v>0.003</v>
      </c>
      <c r="E3" t="str">
        <f>"0.009"</f>
        <v>0.009</v>
      </c>
      <c r="F3" t="str">
        <f>"0.044***"</f>
        <v>0.044***</v>
      </c>
      <c r="G3" t="str">
        <f>"-0.000"</f>
        <v>-0.000</v>
      </c>
    </row>
    <row r="4" spans="1:7" x14ac:dyDescent="0.3">
      <c r="A4" t="str">
        <f>""</f>
        <v/>
      </c>
      <c r="B4" t="str">
        <f>"(0.013)"</f>
        <v>(0.013)</v>
      </c>
      <c r="C4" t="str">
        <f>"(0.011)"</f>
        <v>(0.011)</v>
      </c>
      <c r="D4" t="str">
        <f>"(0.007)"</f>
        <v>(0.007)</v>
      </c>
      <c r="E4" t="str">
        <f>"(0.008)"</f>
        <v>(0.008)</v>
      </c>
      <c r="F4" t="str">
        <f>"(0.009)"</f>
        <v>(0.009)</v>
      </c>
      <c r="G4" t="str">
        <f>"(0.002)"</f>
        <v>(0.002)</v>
      </c>
    </row>
    <row r="5" spans="1:7" x14ac:dyDescent="0.3">
      <c r="A5" t="str">
        <f>"Constant"</f>
        <v>Constant</v>
      </c>
      <c r="B5" t="str">
        <f>"0.149***"</f>
        <v>0.149***</v>
      </c>
      <c r="C5" t="str">
        <f>"0.140***"</f>
        <v>0.140***</v>
      </c>
      <c r="D5" t="str">
        <f>"0.058***"</f>
        <v>0.058***</v>
      </c>
      <c r="E5" t="str">
        <f>"0.082***"</f>
        <v>0.082***</v>
      </c>
      <c r="F5" t="str">
        <f>"0.070***"</f>
        <v>0.070***</v>
      </c>
      <c r="G5" t="str">
        <f>"0.007***"</f>
        <v>0.007***</v>
      </c>
    </row>
    <row r="6" spans="1:7" x14ac:dyDescent="0.3">
      <c r="A6" t="str">
        <f>""</f>
        <v/>
      </c>
      <c r="B6" t="str">
        <f>"(0.009)"</f>
        <v>(0.009)</v>
      </c>
      <c r="C6" t="str">
        <f>"(0.007)"</f>
        <v>(0.007)</v>
      </c>
      <c r="D6" t="str">
        <f>"(0.005)"</f>
        <v>(0.005)</v>
      </c>
      <c r="E6" t="str">
        <f>"(0.006)"</f>
        <v>(0.006)</v>
      </c>
      <c r="F6" t="str">
        <f>"(0.006)"</f>
        <v>(0.006)</v>
      </c>
      <c r="G6" t="str">
        <f>"(0.002)"</f>
        <v>(0.002)</v>
      </c>
    </row>
    <row r="7" spans="1:7" x14ac:dyDescent="0.3">
      <c r="A7" t="str">
        <f>"Observations"</f>
        <v>Observations</v>
      </c>
      <c r="B7" t="str">
        <f t="shared" ref="B7:G7" si="0">"4541"</f>
        <v>4541</v>
      </c>
      <c r="C7" t="str">
        <f t="shared" si="0"/>
        <v>4541</v>
      </c>
      <c r="D7" t="str">
        <f t="shared" si="0"/>
        <v>4541</v>
      </c>
      <c r="E7" t="str">
        <f t="shared" si="0"/>
        <v>4541</v>
      </c>
      <c r="F7" t="str">
        <f t="shared" si="0"/>
        <v>4541</v>
      </c>
      <c r="G7" t="str">
        <f t="shared" si="0"/>
        <v>4541</v>
      </c>
    </row>
    <row r="8" spans="1:7" x14ac:dyDescent="0.3">
      <c r="A8" t="str">
        <f>"MHT Corrected p-value"</f>
        <v>MHT Corrected p-value</v>
      </c>
      <c r="B8" t="str">
        <f>"0.0003"</f>
        <v>0.0003</v>
      </c>
      <c r="C8" t="str">
        <f>"0.1617"</f>
        <v>0.1617</v>
      </c>
      <c r="D8" t="str">
        <f>"0.8810"</f>
        <v>0.8810</v>
      </c>
      <c r="E8" t="str">
        <f>"0.5303"</f>
        <v>0.5303</v>
      </c>
      <c r="F8" t="str">
        <f>"0.0003"</f>
        <v>0.0003</v>
      </c>
      <c r="G8" t="str">
        <f>"0.9210"</f>
        <v>0.9210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E09DE-738D-40C6-8B33-904766536409}">
  <dimension ref="A1:F55"/>
  <sheetViews>
    <sheetView workbookViewId="0">
      <selection activeCell="I21" sqref="I21"/>
    </sheetView>
  </sheetViews>
  <sheetFormatPr defaultRowHeight="14.4" x14ac:dyDescent="0.3"/>
  <sheetData>
    <row r="1" spans="1:6" x14ac:dyDescent="0.3">
      <c r="A1" t="str">
        <f>"Willingness to Pay"</f>
        <v>Willingness to Pay</v>
      </c>
    </row>
    <row r="2" spans="1:6" x14ac:dyDescent="0.3">
      <c r="A2" t="str">
        <f>""</f>
        <v/>
      </c>
      <c r="B2" t="str">
        <f>"(1)"</f>
        <v>(1)</v>
      </c>
      <c r="C2" t="str">
        <f>"(2)"</f>
        <v>(2)</v>
      </c>
      <c r="D2" t="str">
        <f>"(3)"</f>
        <v>(3)</v>
      </c>
      <c r="E2" t="str">
        <f>"(4)"</f>
        <v>(4)</v>
      </c>
      <c r="F2" t="str">
        <f>"(5)"</f>
        <v>(5)</v>
      </c>
    </row>
    <row r="3" spans="1:6" x14ac:dyDescent="0.3">
      <c r="A3" t="str">
        <f>"descr"</f>
        <v>descr</v>
      </c>
      <c r="B3" t="str">
        <f>""</f>
        <v/>
      </c>
      <c r="C3" t="str">
        <f>""</f>
        <v/>
      </c>
      <c r="D3" t="str">
        <f>""</f>
        <v/>
      </c>
      <c r="E3" t="str">
        <f>""</f>
        <v/>
      </c>
      <c r="F3" t="str">
        <f>""</f>
        <v/>
      </c>
    </row>
    <row r="4" spans="1:6" x14ac:dyDescent="0.3">
      <c r="A4" t="str">
        <f>"Chose Strip"</f>
        <v>Chose Strip</v>
      </c>
      <c r="B4" t="str">
        <f>"1.047***"</f>
        <v>1.047***</v>
      </c>
      <c r="C4" t="str">
        <f>"1.603***"</f>
        <v>1.603***</v>
      </c>
      <c r="D4" t="str">
        <f>"2.605***"</f>
        <v>2.605***</v>
      </c>
      <c r="E4" t="str">
        <f>"1.560***"</f>
        <v>1.560***</v>
      </c>
      <c r="F4" t="str">
        <f>"1.919***"</f>
        <v>1.919***</v>
      </c>
    </row>
    <row r="5" spans="1:6" x14ac:dyDescent="0.3">
      <c r="A5" t="str">
        <f>""</f>
        <v/>
      </c>
      <c r="B5" t="str">
        <f>"(0.097)"</f>
        <v>(0.097)</v>
      </c>
      <c r="C5" t="str">
        <f>"(0.143)"</f>
        <v>(0.143)</v>
      </c>
      <c r="D5" t="str">
        <f>"(0.427)"</f>
        <v>(0.427)</v>
      </c>
      <c r="E5" t="str">
        <f>"(0.320)"</f>
        <v>(0.320)</v>
      </c>
      <c r="F5" t="str">
        <f>"(0.300)"</f>
        <v>(0.300)</v>
      </c>
    </row>
    <row r="6" spans="1:6" x14ac:dyDescent="0.3">
      <c r="A6" t="str">
        <f>"Bid"</f>
        <v>Bid</v>
      </c>
      <c r="B6" t="str">
        <f>"0.050***"</f>
        <v>0.050***</v>
      </c>
      <c r="C6" t="str">
        <f>"0.096***"</f>
        <v>0.096***</v>
      </c>
      <c r="D6" t="str">
        <f>"0.105***"</f>
        <v>0.105***</v>
      </c>
      <c r="E6" t="str">
        <f>"0.101***"</f>
        <v>0.101***</v>
      </c>
      <c r="F6" t="str">
        <f>"0.096***"</f>
        <v>0.096***</v>
      </c>
    </row>
    <row r="7" spans="1:6" x14ac:dyDescent="0.3">
      <c r="A7" t="str">
        <f>""</f>
        <v/>
      </c>
      <c r="B7" t="str">
        <f>"(0.014)"</f>
        <v>(0.014)</v>
      </c>
      <c r="C7" t="str">
        <f>"(0.017)"</f>
        <v>(0.017)</v>
      </c>
      <c r="D7" t="str">
        <f>"(0.018)"</f>
        <v>(0.018)</v>
      </c>
      <c r="E7" t="str">
        <f>"(0.017)"</f>
        <v>(0.017)</v>
      </c>
      <c r="F7" t="str">
        <f>"(0.017)"</f>
        <v>(0.017)</v>
      </c>
    </row>
    <row r="8" spans="1:6" x14ac:dyDescent="0.3">
      <c r="A8" t="str">
        <f>"strip"</f>
        <v>strip</v>
      </c>
      <c r="B8" t="str">
        <f>""</f>
        <v/>
      </c>
      <c r="C8" t="str">
        <f>""</f>
        <v/>
      </c>
      <c r="D8" t="str">
        <f>""</f>
        <v/>
      </c>
      <c r="E8" t="str">
        <f>""</f>
        <v/>
      </c>
      <c r="F8" t="str">
        <f>""</f>
        <v/>
      </c>
    </row>
    <row r="9" spans="1:6" x14ac:dyDescent="0.3">
      <c r="A9" t="str">
        <f>"Mailed Test Strip"</f>
        <v>Mailed Test Strip</v>
      </c>
      <c r="B9" t="str">
        <f>""</f>
        <v/>
      </c>
      <c r="C9" t="str">
        <f>"-0.600***"</f>
        <v>-0.600***</v>
      </c>
      <c r="D9" t="str">
        <f>"-0.639***"</f>
        <v>-0.639***</v>
      </c>
      <c r="E9" t="str">
        <f>"-0.603***"</f>
        <v>-0.603***</v>
      </c>
      <c r="F9" t="str">
        <f>"-0.589***"</f>
        <v>-0.589***</v>
      </c>
    </row>
    <row r="10" spans="1:6" x14ac:dyDescent="0.3">
      <c r="A10" t="str">
        <f>""</f>
        <v/>
      </c>
      <c r="B10" t="str">
        <f>""</f>
        <v/>
      </c>
      <c r="C10" t="str">
        <f>"(0.111)"</f>
        <v>(0.111)</v>
      </c>
      <c r="D10" t="str">
        <f>"(0.123)"</f>
        <v>(0.123)</v>
      </c>
      <c r="E10" t="str">
        <f>"(0.112)"</f>
        <v>(0.112)</v>
      </c>
      <c r="F10" t="str">
        <f>"(0.113)"</f>
        <v>(0.113)</v>
      </c>
    </row>
    <row r="11" spans="1:6" x14ac:dyDescent="0.3">
      <c r="A11" t="str">
        <f>"Bachelor's Degree"</f>
        <v>Bachelor's Degree</v>
      </c>
      <c r="B11" t="str">
        <f>""</f>
        <v/>
      </c>
      <c r="C11" t="str">
        <f>""</f>
        <v/>
      </c>
      <c r="D11" t="str">
        <f>"0.062"</f>
        <v>0.062</v>
      </c>
      <c r="E11" t="str">
        <f>""</f>
        <v/>
      </c>
      <c r="F11" t="str">
        <f>""</f>
        <v/>
      </c>
    </row>
    <row r="12" spans="1:6" x14ac:dyDescent="0.3">
      <c r="A12" t="str">
        <f>""</f>
        <v/>
      </c>
      <c r="B12" t="str">
        <f>""</f>
        <v/>
      </c>
      <c r="C12" t="str">
        <f>""</f>
        <v/>
      </c>
      <c r="D12" t="str">
        <f>"(0.119)"</f>
        <v>(0.119)</v>
      </c>
      <c r="E12" t="str">
        <f>""</f>
        <v/>
      </c>
      <c r="F12" t="str">
        <f>""</f>
        <v/>
      </c>
    </row>
    <row r="13" spans="1:6" x14ac:dyDescent="0.3">
      <c r="A13" t="str">
        <f>"Master's Degree"</f>
        <v>Master's Degree</v>
      </c>
      <c r="B13" t="str">
        <f>""</f>
        <v/>
      </c>
      <c r="C13" t="str">
        <f>""</f>
        <v/>
      </c>
      <c r="D13" t="str">
        <f>"-0.002"</f>
        <v>-0.002</v>
      </c>
      <c r="E13" t="str">
        <f>""</f>
        <v/>
      </c>
      <c r="F13" t="str">
        <f>""</f>
        <v/>
      </c>
    </row>
    <row r="14" spans="1:6" x14ac:dyDescent="0.3">
      <c r="A14" t="str">
        <f>""</f>
        <v/>
      </c>
      <c r="B14" t="str">
        <f>""</f>
        <v/>
      </c>
      <c r="C14" t="str">
        <f>""</f>
        <v/>
      </c>
      <c r="D14" t="str">
        <f>"(0.215)"</f>
        <v>(0.215)</v>
      </c>
      <c r="E14" t="str">
        <f>""</f>
        <v/>
      </c>
      <c r="F14" t="str">
        <f>""</f>
        <v/>
      </c>
    </row>
    <row r="15" spans="1:6" x14ac:dyDescent="0.3">
      <c r="A15" t="str">
        <f>"Income &lt;$25K"</f>
        <v>Income &lt;$25K</v>
      </c>
      <c r="B15" t="str">
        <f>""</f>
        <v/>
      </c>
      <c r="C15" t="str">
        <f>""</f>
        <v/>
      </c>
      <c r="D15" t="str">
        <f>"-1.273***"</f>
        <v>-1.273***</v>
      </c>
      <c r="E15" t="str">
        <f>""</f>
        <v/>
      </c>
      <c r="F15" t="str">
        <f>""</f>
        <v/>
      </c>
    </row>
    <row r="16" spans="1:6" x14ac:dyDescent="0.3">
      <c r="A16" t="str">
        <f>""</f>
        <v/>
      </c>
      <c r="B16" t="str">
        <f>""</f>
        <v/>
      </c>
      <c r="C16" t="str">
        <f>""</f>
        <v/>
      </c>
      <c r="D16" t="str">
        <f>"(0.413)"</f>
        <v>(0.413)</v>
      </c>
      <c r="E16" t="str">
        <f>""</f>
        <v/>
      </c>
      <c r="F16" t="str">
        <f>""</f>
        <v/>
      </c>
    </row>
    <row r="17" spans="1:6" x14ac:dyDescent="0.3">
      <c r="A17" t="str">
        <f>"Income $25K-$50K"</f>
        <v>Income $25K-$50K</v>
      </c>
      <c r="B17" t="str">
        <f>""</f>
        <v/>
      </c>
      <c r="C17" t="str">
        <f>""</f>
        <v/>
      </c>
      <c r="D17" t="str">
        <f>"-1.099***"</f>
        <v>-1.099***</v>
      </c>
      <c r="E17" t="str">
        <f>""</f>
        <v/>
      </c>
      <c r="F17" t="str">
        <f>""</f>
        <v/>
      </c>
    </row>
    <row r="18" spans="1:6" x14ac:dyDescent="0.3">
      <c r="A18" t="str">
        <f>""</f>
        <v/>
      </c>
      <c r="B18" t="str">
        <f>""</f>
        <v/>
      </c>
      <c r="C18" t="str">
        <f>""</f>
        <v/>
      </c>
      <c r="D18" t="str">
        <f>"(0.386)"</f>
        <v>(0.386)</v>
      </c>
      <c r="E18" t="str">
        <f>""</f>
        <v/>
      </c>
      <c r="F18" t="str">
        <f>""</f>
        <v/>
      </c>
    </row>
    <row r="19" spans="1:6" x14ac:dyDescent="0.3">
      <c r="A19" t="str">
        <f>"Income $50K-$100K"</f>
        <v>Income $50K-$100K</v>
      </c>
      <c r="B19" t="str">
        <f>""</f>
        <v/>
      </c>
      <c r="C19" t="str">
        <f>""</f>
        <v/>
      </c>
      <c r="D19" t="str">
        <f>"-0.797**"</f>
        <v>-0.797**</v>
      </c>
      <c r="E19" t="str">
        <f>""</f>
        <v/>
      </c>
      <c r="F19" t="str">
        <f>""</f>
        <v/>
      </c>
    </row>
    <row r="20" spans="1:6" x14ac:dyDescent="0.3">
      <c r="A20" t="str">
        <f>""</f>
        <v/>
      </c>
      <c r="B20" t="str">
        <f>""</f>
        <v/>
      </c>
      <c r="C20" t="str">
        <f>""</f>
        <v/>
      </c>
      <c r="D20" t="str">
        <f>"(0.379)"</f>
        <v>(0.379)</v>
      </c>
      <c r="E20" t="str">
        <f>""</f>
        <v/>
      </c>
      <c r="F20" t="str">
        <f>""</f>
        <v/>
      </c>
    </row>
    <row r="21" spans="1:6" x14ac:dyDescent="0.3">
      <c r="A21" t="str">
        <f>"Income $100K-$200K"</f>
        <v>Income $100K-$200K</v>
      </c>
      <c r="B21" t="str">
        <f>""</f>
        <v/>
      </c>
      <c r="C21" t="str">
        <f>""</f>
        <v/>
      </c>
      <c r="D21" t="str">
        <f>"-0.679*"</f>
        <v>-0.679*</v>
      </c>
      <c r="E21" t="str">
        <f>""</f>
        <v/>
      </c>
      <c r="F21" t="str">
        <f>""</f>
        <v/>
      </c>
    </row>
    <row r="22" spans="1:6" x14ac:dyDescent="0.3">
      <c r="A22" t="str">
        <f>""</f>
        <v/>
      </c>
      <c r="B22" t="str">
        <f>""</f>
        <v/>
      </c>
      <c r="C22" t="str">
        <f>""</f>
        <v/>
      </c>
      <c r="D22" t="str">
        <f>"(0.391)"</f>
        <v>(0.391)</v>
      </c>
      <c r="E22" t="str">
        <f>""</f>
        <v/>
      </c>
      <c r="F22" t="str">
        <f>""</f>
        <v/>
      </c>
    </row>
    <row r="23" spans="1:6" x14ac:dyDescent="0.3">
      <c r="A23" t="str">
        <f>"HH Size"</f>
        <v>HH Size</v>
      </c>
      <c r="B23" t="str">
        <f>""</f>
        <v/>
      </c>
      <c r="C23" t="str">
        <f>""</f>
        <v/>
      </c>
      <c r="D23" t="str">
        <f>"0.003"</f>
        <v>0.003</v>
      </c>
      <c r="E23" t="str">
        <f>""</f>
        <v/>
      </c>
      <c r="F23" t="str">
        <f>""</f>
        <v/>
      </c>
    </row>
    <row r="24" spans="1:6" x14ac:dyDescent="0.3">
      <c r="A24" t="str">
        <f>""</f>
        <v/>
      </c>
      <c r="B24" t="str">
        <f>""</f>
        <v/>
      </c>
      <c r="C24" t="str">
        <f>""</f>
        <v/>
      </c>
      <c r="D24" t="str">
        <f>"(0.064)"</f>
        <v>(0.064)</v>
      </c>
      <c r="E24" t="str">
        <f>""</f>
        <v/>
      </c>
      <c r="F24" t="str">
        <f>""</f>
        <v/>
      </c>
    </row>
    <row r="25" spans="1:6" x14ac:dyDescent="0.3">
      <c r="A25" t="str">
        <f>"Child/Infant in HH"</f>
        <v>Child/Infant in HH</v>
      </c>
      <c r="B25" t="str">
        <f>""</f>
        <v/>
      </c>
      <c r="C25" t="str">
        <f>""</f>
        <v/>
      </c>
      <c r="D25" t="str">
        <f>"-0.316"</f>
        <v>-0.316</v>
      </c>
      <c r="E25" t="str">
        <f>""</f>
        <v/>
      </c>
      <c r="F25" t="str">
        <f>""</f>
        <v/>
      </c>
    </row>
    <row r="26" spans="1:6" x14ac:dyDescent="0.3">
      <c r="A26" t="str">
        <f>""</f>
        <v/>
      </c>
      <c r="B26" t="str">
        <f>""</f>
        <v/>
      </c>
      <c r="C26" t="str">
        <f>""</f>
        <v/>
      </c>
      <c r="D26" t="str">
        <f>"(0.212)"</f>
        <v>(0.212)</v>
      </c>
      <c r="E26" t="str">
        <f>""</f>
        <v/>
      </c>
      <c r="F26" t="str">
        <f>""</f>
        <v/>
      </c>
    </row>
    <row r="27" spans="1:6" x14ac:dyDescent="0.3">
      <c r="A27" t="str">
        <f>"Retiree in HH"</f>
        <v>Retiree in HH</v>
      </c>
      <c r="B27" t="str">
        <f>""</f>
        <v/>
      </c>
      <c r="C27" t="str">
        <f>""</f>
        <v/>
      </c>
      <c r="D27" t="str">
        <f>"0.018"</f>
        <v>0.018</v>
      </c>
      <c r="E27" t="str">
        <f>""</f>
        <v/>
      </c>
      <c r="F27" t="str">
        <f>""</f>
        <v/>
      </c>
    </row>
    <row r="28" spans="1:6" x14ac:dyDescent="0.3">
      <c r="A28" t="str">
        <f>""</f>
        <v/>
      </c>
      <c r="B28" t="str">
        <f>""</f>
        <v/>
      </c>
      <c r="C28" t="str">
        <f>""</f>
        <v/>
      </c>
      <c r="D28" t="str">
        <f>"(0.120)"</f>
        <v>(0.120)</v>
      </c>
      <c r="E28" t="str">
        <f>""</f>
        <v/>
      </c>
      <c r="F28" t="str">
        <f>""</f>
        <v/>
      </c>
    </row>
    <row r="29" spans="1:6" x14ac:dyDescent="0.3">
      <c r="A29" t="str">
        <f>"Well Age 6-10 Years"</f>
        <v>Well Age 6-10 Years</v>
      </c>
      <c r="B29" t="str">
        <f>""</f>
        <v/>
      </c>
      <c r="C29" t="str">
        <f>""</f>
        <v/>
      </c>
      <c r="D29" t="str">
        <f>""</f>
        <v/>
      </c>
      <c r="E29" t="str">
        <f>"0.257"</f>
        <v>0.257</v>
      </c>
      <c r="F29" t="str">
        <f>""</f>
        <v/>
      </c>
    </row>
    <row r="30" spans="1:6" x14ac:dyDescent="0.3">
      <c r="A30" t="str">
        <f>""</f>
        <v/>
      </c>
      <c r="B30" t="str">
        <f>""</f>
        <v/>
      </c>
      <c r="C30" t="str">
        <f>""</f>
        <v/>
      </c>
      <c r="D30" t="str">
        <f>""</f>
        <v/>
      </c>
      <c r="E30" t="str">
        <f>"(0.340)"</f>
        <v>(0.340)</v>
      </c>
      <c r="F30" t="str">
        <f>""</f>
        <v/>
      </c>
    </row>
    <row r="31" spans="1:6" x14ac:dyDescent="0.3">
      <c r="A31" t="str">
        <f>"Well Age 11-20 Years"</f>
        <v>Well Age 11-20 Years</v>
      </c>
      <c r="B31" t="str">
        <f>""</f>
        <v/>
      </c>
      <c r="C31" t="str">
        <f>""</f>
        <v/>
      </c>
      <c r="D31" t="str">
        <f>""</f>
        <v/>
      </c>
      <c r="E31" t="str">
        <f>"0.253"</f>
        <v>0.253</v>
      </c>
      <c r="F31" t="str">
        <f>""</f>
        <v/>
      </c>
    </row>
    <row r="32" spans="1:6" x14ac:dyDescent="0.3">
      <c r="A32" t="str">
        <f>""</f>
        <v/>
      </c>
      <c r="B32" t="str">
        <f>""</f>
        <v/>
      </c>
      <c r="C32" t="str">
        <f>""</f>
        <v/>
      </c>
      <c r="D32" t="str">
        <f>""</f>
        <v/>
      </c>
      <c r="E32" t="str">
        <f>"(0.285)"</f>
        <v>(0.285)</v>
      </c>
      <c r="F32" t="str">
        <f>""</f>
        <v/>
      </c>
    </row>
    <row r="33" spans="1:6" x14ac:dyDescent="0.3">
      <c r="A33" t="str">
        <f>"Well Age &gt;20 Years"</f>
        <v>Well Age &gt;20 Years</v>
      </c>
      <c r="B33" t="str">
        <f>""</f>
        <v/>
      </c>
      <c r="C33" t="str">
        <f>""</f>
        <v/>
      </c>
      <c r="D33" t="str">
        <f>""</f>
        <v/>
      </c>
      <c r="E33" t="str">
        <f>"0.218"</f>
        <v>0.218</v>
      </c>
      <c r="F33" t="str">
        <f>""</f>
        <v/>
      </c>
    </row>
    <row r="34" spans="1:6" x14ac:dyDescent="0.3">
      <c r="A34" t="str">
        <f>""</f>
        <v/>
      </c>
      <c r="B34" t="str">
        <f>""</f>
        <v/>
      </c>
      <c r="C34" t="str">
        <f>""</f>
        <v/>
      </c>
      <c r="D34" t="str">
        <f>""</f>
        <v/>
      </c>
      <c r="E34" t="str">
        <f>"(0.259)"</f>
        <v>(0.259)</v>
      </c>
      <c r="F34" t="str">
        <f>""</f>
        <v/>
      </c>
    </row>
    <row r="35" spans="1:6" x14ac:dyDescent="0.3">
      <c r="A35" t="str">
        <f>"Well Age Unsure"</f>
        <v>Well Age Unsure</v>
      </c>
      <c r="B35" t="str">
        <f>""</f>
        <v/>
      </c>
      <c r="C35" t="str">
        <f>""</f>
        <v/>
      </c>
      <c r="D35" t="str">
        <f>""</f>
        <v/>
      </c>
      <c r="E35" t="str">
        <f>"0.093"</f>
        <v>0.093</v>
      </c>
      <c r="F35" t="str">
        <f>""</f>
        <v/>
      </c>
    </row>
    <row r="36" spans="1:6" x14ac:dyDescent="0.3">
      <c r="A36" t="str">
        <f>""</f>
        <v/>
      </c>
      <c r="B36" t="str">
        <f>""</f>
        <v/>
      </c>
      <c r="C36" t="str">
        <f>""</f>
        <v/>
      </c>
      <c r="D36" t="str">
        <f>""</f>
        <v/>
      </c>
      <c r="E36" t="str">
        <f>"(0.312)"</f>
        <v>(0.312)</v>
      </c>
      <c r="F36" t="str">
        <f>""</f>
        <v/>
      </c>
    </row>
    <row r="37" spans="1:6" x14ac:dyDescent="0.3">
      <c r="A37" t="str">
        <f>"Well Depth 51-150 Feet"</f>
        <v>Well Depth 51-150 Feet</v>
      </c>
      <c r="B37" t="str">
        <f>""</f>
        <v/>
      </c>
      <c r="C37" t="str">
        <f>""</f>
        <v/>
      </c>
      <c r="D37" t="str">
        <f>""</f>
        <v/>
      </c>
      <c r="E37" t="str">
        <f>"0.056"</f>
        <v>0.056</v>
      </c>
      <c r="F37" t="str">
        <f>""</f>
        <v/>
      </c>
    </row>
    <row r="38" spans="1:6" x14ac:dyDescent="0.3">
      <c r="A38" t="str">
        <f>""</f>
        <v/>
      </c>
      <c r="B38" t="str">
        <f>""</f>
        <v/>
      </c>
      <c r="C38" t="str">
        <f>""</f>
        <v/>
      </c>
      <c r="D38" t="str">
        <f>""</f>
        <v/>
      </c>
      <c r="E38" t="str">
        <f>"(0.171)"</f>
        <v>(0.171)</v>
      </c>
      <c r="F38" t="str">
        <f>""</f>
        <v/>
      </c>
    </row>
    <row r="39" spans="1:6" x14ac:dyDescent="0.3">
      <c r="A39" t="str">
        <f>"Well Depth &gt;150 Feet"</f>
        <v>Well Depth &gt;150 Feet</v>
      </c>
      <c r="B39" t="str">
        <f>""</f>
        <v/>
      </c>
      <c r="C39" t="str">
        <f>""</f>
        <v/>
      </c>
      <c r="D39" t="str">
        <f>""</f>
        <v/>
      </c>
      <c r="E39" t="str">
        <f>"-0.231"</f>
        <v>-0.231</v>
      </c>
      <c r="F39" t="str">
        <f>""</f>
        <v/>
      </c>
    </row>
    <row r="40" spans="1:6" x14ac:dyDescent="0.3">
      <c r="A40" t="str">
        <f>""</f>
        <v/>
      </c>
      <c r="B40" t="str">
        <f>""</f>
        <v/>
      </c>
      <c r="C40" t="str">
        <f>""</f>
        <v/>
      </c>
      <c r="D40" t="str">
        <f>""</f>
        <v/>
      </c>
      <c r="E40" t="str">
        <f>"(0.157)"</f>
        <v>(0.157)</v>
      </c>
      <c r="F40" t="str">
        <f>""</f>
        <v/>
      </c>
    </row>
    <row r="41" spans="1:6" x14ac:dyDescent="0.3">
      <c r="A41" t="str">
        <f>"Well Depth Unsure"</f>
        <v>Well Depth Unsure</v>
      </c>
      <c r="B41" t="str">
        <f>""</f>
        <v/>
      </c>
      <c r="C41" t="str">
        <f>""</f>
        <v/>
      </c>
      <c r="D41" t="str">
        <f>""</f>
        <v/>
      </c>
      <c r="E41" t="str">
        <f>"-0.254"</f>
        <v>-0.254</v>
      </c>
      <c r="F41" t="str">
        <f>""</f>
        <v/>
      </c>
    </row>
    <row r="42" spans="1:6" x14ac:dyDescent="0.3">
      <c r="A42" t="str">
        <f>""</f>
        <v/>
      </c>
      <c r="B42" t="str">
        <f>""</f>
        <v/>
      </c>
      <c r="C42" t="str">
        <f>""</f>
        <v/>
      </c>
      <c r="D42" t="str">
        <f>""</f>
        <v/>
      </c>
      <c r="E42" t="str">
        <f>"(0.194)"</f>
        <v>(0.194)</v>
      </c>
      <c r="F42" t="str">
        <f>""</f>
        <v/>
      </c>
    </row>
    <row r="43" spans="1:6" x14ac:dyDescent="0.3">
      <c r="A43" t="str">
        <f>"Nitrate Concerns: Any"</f>
        <v>Nitrate Concerns: Any</v>
      </c>
      <c r="B43" t="str">
        <f>""</f>
        <v/>
      </c>
      <c r="C43" t="str">
        <f>""</f>
        <v/>
      </c>
      <c r="D43" t="str">
        <f>""</f>
        <v/>
      </c>
      <c r="E43" t="str">
        <f>""</f>
        <v/>
      </c>
      <c r="F43" t="str">
        <f>"0.330**"</f>
        <v>0.330**</v>
      </c>
    </row>
    <row r="44" spans="1:6" x14ac:dyDescent="0.3">
      <c r="A44" t="str">
        <f>""</f>
        <v/>
      </c>
      <c r="B44" t="str">
        <f>""</f>
        <v/>
      </c>
      <c r="C44" t="str">
        <f>""</f>
        <v/>
      </c>
      <c r="D44" t="str">
        <f>""</f>
        <v/>
      </c>
      <c r="E44" t="str">
        <f>""</f>
        <v/>
      </c>
      <c r="F44" t="str">
        <f>"(0.158)"</f>
        <v>(0.158)</v>
      </c>
    </row>
    <row r="45" spans="1:6" x14ac:dyDescent="0.3">
      <c r="A45" t="str">
        <f>"Nitrate Concerns: None"</f>
        <v>Nitrate Concerns: None</v>
      </c>
      <c r="B45" t="str">
        <f>""</f>
        <v/>
      </c>
      <c r="C45" t="str">
        <f>""</f>
        <v/>
      </c>
      <c r="D45" t="str">
        <f>""</f>
        <v/>
      </c>
      <c r="E45" t="str">
        <f>""</f>
        <v/>
      </c>
      <c r="F45" t="str">
        <f>"-0.409**"</f>
        <v>-0.409**</v>
      </c>
    </row>
    <row r="46" spans="1:6" x14ac:dyDescent="0.3">
      <c r="A46" t="str">
        <f>""</f>
        <v/>
      </c>
      <c r="B46" t="str">
        <f>""</f>
        <v/>
      </c>
      <c r="C46" t="str">
        <f>""</f>
        <v/>
      </c>
      <c r="D46" t="str">
        <f>""</f>
        <v/>
      </c>
      <c r="E46" t="str">
        <f>""</f>
        <v/>
      </c>
      <c r="F46" t="str">
        <f>"(0.178)"</f>
        <v>(0.178)</v>
      </c>
    </row>
    <row r="47" spans="1:6" x14ac:dyDescent="0.3">
      <c r="A47" t="str">
        <f>"Nitrate Concerns: Unsure"</f>
        <v>Nitrate Concerns: Unsure</v>
      </c>
      <c r="B47" t="str">
        <f>""</f>
        <v/>
      </c>
      <c r="C47" t="str">
        <f>""</f>
        <v/>
      </c>
      <c r="D47" t="str">
        <f>""</f>
        <v/>
      </c>
      <c r="E47" t="str">
        <f>""</f>
        <v/>
      </c>
      <c r="F47" t="str">
        <f>"0.178"</f>
        <v>0.178</v>
      </c>
    </row>
    <row r="48" spans="1:6" x14ac:dyDescent="0.3">
      <c r="A48" t="str">
        <f>""</f>
        <v/>
      </c>
      <c r="B48" t="str">
        <f>""</f>
        <v/>
      </c>
      <c r="C48" t="str">
        <f>""</f>
        <v/>
      </c>
      <c r="D48" t="str">
        <f>""</f>
        <v/>
      </c>
      <c r="E48" t="str">
        <f>""</f>
        <v/>
      </c>
      <c r="F48" t="str">
        <f>"(0.165)"</f>
        <v>(0.165)</v>
      </c>
    </row>
    <row r="49" spans="1:6" x14ac:dyDescent="0.3">
      <c r="A49" t="str">
        <f>"Rate Water: Good/Great"</f>
        <v>Rate Water: Good/Great</v>
      </c>
      <c r="B49" t="str">
        <f>""</f>
        <v/>
      </c>
      <c r="C49" t="str">
        <f>""</f>
        <v/>
      </c>
      <c r="D49" t="str">
        <f>""</f>
        <v/>
      </c>
      <c r="E49" t="str">
        <f>""</f>
        <v/>
      </c>
      <c r="F49" t="str">
        <f>"-0.418*"</f>
        <v>-0.418*</v>
      </c>
    </row>
    <row r="50" spans="1:6" x14ac:dyDescent="0.3">
      <c r="A50" t="str">
        <f>""</f>
        <v/>
      </c>
      <c r="B50" t="str">
        <f>""</f>
        <v/>
      </c>
      <c r="C50" t="str">
        <f>""</f>
        <v/>
      </c>
      <c r="D50" t="str">
        <f>""</f>
        <v/>
      </c>
      <c r="E50" t="str">
        <f>""</f>
        <v/>
      </c>
      <c r="F50" t="str">
        <f>"(0.236)"</f>
        <v>(0.236)</v>
      </c>
    </row>
    <row r="51" spans="1:6" x14ac:dyDescent="0.3">
      <c r="A51" t="str">
        <f>"Rate Water: Neutral"</f>
        <v>Rate Water: Neutral</v>
      </c>
      <c r="B51" t="str">
        <f>""</f>
        <v/>
      </c>
      <c r="C51" t="str">
        <f>""</f>
        <v/>
      </c>
      <c r="D51" t="str">
        <f>""</f>
        <v/>
      </c>
      <c r="E51" t="str">
        <f>""</f>
        <v/>
      </c>
      <c r="F51" t="str">
        <f>"-0.728***"</f>
        <v>-0.728***</v>
      </c>
    </row>
    <row r="52" spans="1:6" x14ac:dyDescent="0.3">
      <c r="A52" t="str">
        <f>""</f>
        <v/>
      </c>
      <c r="B52" t="str">
        <f>""</f>
        <v/>
      </c>
      <c r="C52" t="str">
        <f>""</f>
        <v/>
      </c>
      <c r="D52" t="str">
        <f>""</f>
        <v/>
      </c>
      <c r="E52" t="str">
        <f>""</f>
        <v/>
      </c>
      <c r="F52" t="str">
        <f>"(0.269)"</f>
        <v>(0.269)</v>
      </c>
    </row>
    <row r="53" spans="1:6" x14ac:dyDescent="0.3">
      <c r="A53" t="str">
        <f>"Rate Water: Poor"</f>
        <v>Rate Water: Poor</v>
      </c>
      <c r="B53" t="str">
        <f>""</f>
        <v/>
      </c>
      <c r="C53" t="str">
        <f>""</f>
        <v/>
      </c>
      <c r="D53" t="str">
        <f>""</f>
        <v/>
      </c>
      <c r="E53" t="str">
        <f>""</f>
        <v/>
      </c>
      <c r="F53" t="str">
        <f>"-0.574**"</f>
        <v>-0.574**</v>
      </c>
    </row>
    <row r="54" spans="1:6" x14ac:dyDescent="0.3">
      <c r="A54" t="str">
        <f>""</f>
        <v/>
      </c>
      <c r="B54" t="str">
        <f>""</f>
        <v/>
      </c>
      <c r="C54" t="str">
        <f>""</f>
        <v/>
      </c>
      <c r="D54" t="str">
        <f>""</f>
        <v/>
      </c>
      <c r="E54" t="str">
        <f>""</f>
        <v/>
      </c>
      <c r="F54" t="str">
        <f>"(0.280)"</f>
        <v>(0.280)</v>
      </c>
    </row>
    <row r="55" spans="1:6" x14ac:dyDescent="0.3">
      <c r="A55" t="str">
        <f>"Observations"</f>
        <v>Observations</v>
      </c>
      <c r="B55" t="str">
        <f>"4232"</f>
        <v>4232</v>
      </c>
      <c r="C55" t="str">
        <f>"4232"</f>
        <v>4232</v>
      </c>
      <c r="D55" t="str">
        <f>"3508"</f>
        <v>3508</v>
      </c>
      <c r="E55" t="str">
        <f>"4132"</f>
        <v>4132</v>
      </c>
      <c r="F55" t="str">
        <f>"4148"</f>
        <v>4148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C067B-B368-4206-8FDF-6946E5ECD7C3}">
  <dimension ref="A1:R48"/>
  <sheetViews>
    <sheetView showGridLines="0" workbookViewId="0">
      <selection activeCell="E16" sqref="E16"/>
    </sheetView>
  </sheetViews>
  <sheetFormatPr defaultRowHeight="14.4" x14ac:dyDescent="0.3"/>
  <cols>
    <col min="1" max="1" width="2.21875" customWidth="1"/>
    <col min="2" max="2" width="25.6640625" bestFit="1" customWidth="1"/>
    <col min="3" max="4" width="9.109375" bestFit="1" customWidth="1"/>
    <col min="5" max="5" width="9.88671875" bestFit="1" customWidth="1"/>
    <col min="6" max="6" width="9.109375" bestFit="1" customWidth="1"/>
  </cols>
  <sheetData>
    <row r="1" spans="1:7" ht="6" customHeight="1" x14ac:dyDescent="0.3"/>
    <row r="2" spans="1:7" ht="15.6" x14ac:dyDescent="0.3">
      <c r="A2" s="30" t="s">
        <v>35</v>
      </c>
      <c r="B2" s="30"/>
      <c r="C2" s="30"/>
      <c r="D2" s="30"/>
      <c r="E2" s="30"/>
      <c r="F2" s="15"/>
    </row>
    <row r="3" spans="1:7" ht="15.6" x14ac:dyDescent="0.3">
      <c r="A3" s="1" t="str">
        <f>'table-3a-raw'!A2</f>
        <v/>
      </c>
      <c r="B3" s="1"/>
      <c r="C3" s="10" t="str">
        <f>'table-3a-raw'!B2</f>
        <v>(1)</v>
      </c>
      <c r="D3" s="10" t="str">
        <f>'table-3a-raw'!C2</f>
        <v>(2)</v>
      </c>
      <c r="E3" s="10" t="str">
        <f>'table-3a-raw'!D2</f>
        <v>(3)</v>
      </c>
      <c r="F3" s="10" t="str">
        <f>'table-3a-raw'!E2</f>
        <v>(4)</v>
      </c>
    </row>
    <row r="4" spans="1:7" ht="15.6" x14ac:dyDescent="0.3">
      <c r="A4" s="1" t="str">
        <f>'table-3a-raw'!A3</f>
        <v>Mailed Test Strip</v>
      </c>
      <c r="B4" s="1"/>
      <c r="C4" s="3" t="str">
        <f>'table-3a-raw'!B3</f>
        <v>0.240***</v>
      </c>
      <c r="D4" s="3" t="str">
        <f>'table-3a-raw'!C3</f>
        <v>0.240***</v>
      </c>
      <c r="E4" s="3" t="str">
        <f>'table-3a-raw'!D3</f>
        <v>0.242***</v>
      </c>
      <c r="F4" s="3" t="str">
        <f>'table-3a-raw'!E3</f>
        <v/>
      </c>
      <c r="G4" s="6"/>
    </row>
    <row r="5" spans="1:7" ht="15.6" x14ac:dyDescent="0.3">
      <c r="A5" s="1" t="str">
        <f>'table-3a-raw'!A4</f>
        <v/>
      </c>
      <c r="B5" s="1"/>
      <c r="C5" s="3" t="str">
        <f>'table-3a-raw'!B4</f>
        <v>(0.013)</v>
      </c>
      <c r="D5" s="3" t="str">
        <f>'table-3a-raw'!C4</f>
        <v>(0.013)</v>
      </c>
      <c r="E5" s="3" t="str">
        <f>'table-3a-raw'!D4</f>
        <v>(0.013)</v>
      </c>
      <c r="F5" s="3" t="str">
        <f>'table-3a-raw'!E4</f>
        <v/>
      </c>
      <c r="G5" s="6"/>
    </row>
    <row r="6" spans="1:7" ht="15.6" x14ac:dyDescent="0.3">
      <c r="A6" s="1" t="s">
        <v>58</v>
      </c>
      <c r="B6" s="1"/>
      <c r="C6" s="3" t="str">
        <f>'table-3a-raw'!B5</f>
        <v/>
      </c>
      <c r="D6" s="3" t="str">
        <f>'table-3a-raw'!C5</f>
        <v/>
      </c>
      <c r="E6" s="3"/>
      <c r="F6" s="3" t="str">
        <f>'table-3a-raw'!E13</f>
        <v>0.239***</v>
      </c>
      <c r="G6" s="6"/>
    </row>
    <row r="7" spans="1:7" ht="15.6" x14ac:dyDescent="0.3">
      <c r="A7" s="1"/>
      <c r="B7" s="1"/>
      <c r="C7" s="3" t="str">
        <f>'table-3a-raw'!B6</f>
        <v/>
      </c>
      <c r="D7" s="3" t="str">
        <f>'table-3a-raw'!C6</f>
        <v/>
      </c>
      <c r="E7" s="3"/>
      <c r="F7" s="3" t="str">
        <f>'table-3a-raw'!E14</f>
        <v>(0.019)</v>
      </c>
      <c r="G7" s="6"/>
    </row>
    <row r="8" spans="1:7" ht="15.6" x14ac:dyDescent="0.3">
      <c r="A8" s="1" t="s">
        <v>59</v>
      </c>
      <c r="B8" s="1"/>
      <c r="C8" s="3" t="str">
        <f>'table-3a-raw'!B7</f>
        <v/>
      </c>
      <c r="D8" s="3" t="str">
        <f>'table-3a-raw'!C7</f>
        <v/>
      </c>
      <c r="E8" s="3"/>
      <c r="F8" s="3" t="str">
        <f>'table-3a-raw'!E15</f>
        <v>0.241***</v>
      </c>
      <c r="G8" s="6"/>
    </row>
    <row r="9" spans="1:7" ht="15.6" x14ac:dyDescent="0.3">
      <c r="A9" s="1"/>
      <c r="B9" s="1"/>
      <c r="C9" s="3" t="str">
        <f>'table-3a-raw'!B8</f>
        <v/>
      </c>
      <c r="D9" s="3" t="str">
        <f>'table-3a-raw'!C8</f>
        <v/>
      </c>
      <c r="E9" s="3"/>
      <c r="F9" s="3" t="str">
        <f>'table-3a-raw'!E16</f>
        <v>(0.019)</v>
      </c>
      <c r="G9" s="6"/>
    </row>
    <row r="10" spans="1:7" ht="15.6" x14ac:dyDescent="0.3">
      <c r="A10" s="1" t="str">
        <f>'table-3a-raw'!A5</f>
        <v>Baseline Testing</v>
      </c>
      <c r="B10" s="1"/>
      <c r="C10" s="3"/>
      <c r="D10" s="3"/>
      <c r="E10" s="3" t="str">
        <f>'table-3a-raw'!D5</f>
        <v>0.375***</v>
      </c>
      <c r="F10" s="3"/>
      <c r="G10" s="6"/>
    </row>
    <row r="11" spans="1:7" ht="15.6" x14ac:dyDescent="0.3">
      <c r="A11" s="1" t="str">
        <f>'table-3a-raw'!A6</f>
        <v/>
      </c>
      <c r="B11" s="1"/>
      <c r="C11" s="3"/>
      <c r="D11" s="3"/>
      <c r="E11" s="3" t="str">
        <f>'table-3a-raw'!D6</f>
        <v>(0.023)</v>
      </c>
      <c r="F11" s="3"/>
      <c r="G11" s="6"/>
    </row>
    <row r="12" spans="1:7" ht="15.6" x14ac:dyDescent="0.3">
      <c r="A12" s="1" t="str">
        <f>'table-3a-raw'!A7</f>
        <v>Missing Baseline Testing</v>
      </c>
      <c r="B12" s="1"/>
      <c r="C12" s="3"/>
      <c r="D12" s="3"/>
      <c r="E12" s="3" t="str">
        <f>'table-3a-raw'!D7</f>
        <v>-0.092**</v>
      </c>
      <c r="F12" s="3"/>
      <c r="G12" s="6"/>
    </row>
    <row r="13" spans="1:7" ht="15.6" x14ac:dyDescent="0.3">
      <c r="A13" s="1" t="str">
        <f>'table-3a-raw'!A8</f>
        <v/>
      </c>
      <c r="B13" s="1"/>
      <c r="C13" s="3"/>
      <c r="D13" s="3"/>
      <c r="E13" s="3" t="str">
        <f>'table-3a-raw'!D8</f>
        <v>(0.039)</v>
      </c>
      <c r="F13" s="3"/>
      <c r="G13" s="6"/>
    </row>
    <row r="14" spans="1:7" ht="15.6" x14ac:dyDescent="0.3">
      <c r="A14" s="1" t="s">
        <v>56</v>
      </c>
      <c r="B14" s="1"/>
      <c r="C14" s="3"/>
      <c r="D14" s="3"/>
      <c r="E14" s="3"/>
      <c r="F14" s="3" t="str">
        <f>'table-3a-raw'!E9</f>
        <v>0.188***</v>
      </c>
      <c r="G14" s="6"/>
    </row>
    <row r="15" spans="1:7" ht="15.6" x14ac:dyDescent="0.3">
      <c r="A15" s="1"/>
      <c r="B15" s="1"/>
      <c r="C15" s="3"/>
      <c r="D15" s="3"/>
      <c r="E15" s="3"/>
      <c r="F15" s="3" t="str">
        <f>'table-3a-raw'!E10</f>
        <v>(0.013)</v>
      </c>
      <c r="G15" s="6"/>
    </row>
    <row r="16" spans="1:7" ht="15.6" x14ac:dyDescent="0.3">
      <c r="A16" s="1" t="s">
        <v>57</v>
      </c>
      <c r="B16" s="1"/>
      <c r="C16" s="3"/>
      <c r="D16" s="3"/>
      <c r="E16" s="3"/>
      <c r="F16" s="3" t="str">
        <f>'table-3a-raw'!E11</f>
        <v>0.199***</v>
      </c>
      <c r="G16" s="6"/>
    </row>
    <row r="17" spans="1:7" ht="15.6" x14ac:dyDescent="0.3">
      <c r="A17" s="1"/>
      <c r="B17" s="1"/>
      <c r="C17" s="3"/>
      <c r="D17" s="3"/>
      <c r="E17" s="3"/>
      <c r="F17" s="3" t="str">
        <f>'table-3a-raw'!E12</f>
        <v>(0.013)</v>
      </c>
      <c r="G17" s="6"/>
    </row>
    <row r="18" spans="1:7" ht="15.6" x14ac:dyDescent="0.3">
      <c r="A18" s="1" t="s">
        <v>60</v>
      </c>
      <c r="B18" s="1"/>
      <c r="C18" s="3" t="str">
        <f>'table-3a-raw'!B17</f>
        <v>0.194***</v>
      </c>
      <c r="D18" s="3" t="str">
        <f>'table-3a-raw'!C17</f>
        <v>0.194***</v>
      </c>
      <c r="E18" s="3" t="str">
        <f>'table-3a-raw'!D17</f>
        <v>0.162***</v>
      </c>
      <c r="F18" s="3" t="str">
        <f>'table-3a-raw'!E17</f>
        <v/>
      </c>
      <c r="G18" s="6"/>
    </row>
    <row r="19" spans="1:7" ht="15.6" x14ac:dyDescent="0.3">
      <c r="A19" s="1" t="str">
        <f>'table-3a-raw'!A10</f>
        <v/>
      </c>
      <c r="B19" s="1"/>
      <c r="C19" s="3" t="str">
        <f>'table-3a-raw'!B18</f>
        <v>(0.009)</v>
      </c>
      <c r="D19" s="3" t="str">
        <f>'table-3a-raw'!C18</f>
        <v>(0.009)</v>
      </c>
      <c r="E19" s="3" t="str">
        <f>'table-3a-raw'!D18</f>
        <v>(0.009)</v>
      </c>
      <c r="F19" s="3" t="str">
        <f>'table-3a-raw'!E18</f>
        <v/>
      </c>
    </row>
    <row r="20" spans="1:7" ht="15.6" x14ac:dyDescent="0.3">
      <c r="A20" s="1" t="s">
        <v>66</v>
      </c>
      <c r="B20" s="1"/>
      <c r="C20" s="3"/>
      <c r="D20" s="3"/>
      <c r="E20" s="3"/>
      <c r="F20" s="3"/>
    </row>
    <row r="21" spans="1:7" ht="15.6" x14ac:dyDescent="0.3">
      <c r="A21" s="1"/>
      <c r="B21" s="1" t="s">
        <v>67</v>
      </c>
      <c r="C21" s="3" t="str">
        <f>'table-3a-raw'!B21</f>
        <v>0.0003</v>
      </c>
      <c r="D21" s="3" t="str">
        <f>'table-3a-raw'!C21</f>
        <v>0.0003</v>
      </c>
      <c r="E21" s="3" t="str">
        <f>'table-3a-raw'!D21</f>
        <v>0.0003</v>
      </c>
      <c r="F21" s="3" t="str">
        <f>'table-3a-raw'!E21</f>
        <v/>
      </c>
    </row>
    <row r="22" spans="1:7" ht="15.6" x14ac:dyDescent="0.3">
      <c r="A22" s="1"/>
      <c r="B22" s="1" t="s">
        <v>58</v>
      </c>
      <c r="C22" s="3" t="str">
        <f>'table-3a-raw'!B22</f>
        <v/>
      </c>
      <c r="D22" s="3" t="str">
        <f>'table-3a-raw'!C22</f>
        <v/>
      </c>
      <c r="E22" s="3" t="str">
        <f>'table-3a-raw'!D22</f>
        <v/>
      </c>
      <c r="F22" s="3" t="str">
        <f>'table-3a-raw'!E22</f>
        <v>0.0003</v>
      </c>
    </row>
    <row r="23" spans="1:7" ht="15.6" x14ac:dyDescent="0.3">
      <c r="A23" s="2"/>
      <c r="B23" s="2" t="s">
        <v>59</v>
      </c>
      <c r="C23" s="4" t="str">
        <f>'table-3a-raw'!B23</f>
        <v/>
      </c>
      <c r="D23" s="4" t="str">
        <f>'table-3a-raw'!C23</f>
        <v/>
      </c>
      <c r="E23" s="4" t="str">
        <f>'table-3a-raw'!D23</f>
        <v/>
      </c>
      <c r="F23" s="4" t="str">
        <f>'table-3a-raw'!E23</f>
        <v>0.0003</v>
      </c>
    </row>
    <row r="24" spans="1:7" ht="15.6" x14ac:dyDescent="0.3">
      <c r="A24" s="31" t="s">
        <v>36</v>
      </c>
      <c r="B24" s="31"/>
      <c r="C24" s="31"/>
      <c r="D24" s="31"/>
      <c r="E24" s="31"/>
      <c r="F24" s="1"/>
    </row>
    <row r="25" spans="1:7" ht="15.6" x14ac:dyDescent="0.3">
      <c r="A25" s="1" t="str">
        <f>'table-3b-raw'!A2</f>
        <v/>
      </c>
      <c r="B25" s="1"/>
      <c r="C25" s="10" t="str">
        <f>'table-3b-raw'!B2</f>
        <v>(1)</v>
      </c>
      <c r="D25" s="10" t="str">
        <f>'table-3b-raw'!C2</f>
        <v>(2)</v>
      </c>
      <c r="E25" s="10" t="str">
        <f>'table-3b-raw'!D2</f>
        <v>(3)</v>
      </c>
      <c r="F25" s="10" t="str">
        <f>'table-3b-raw'!E2</f>
        <v>(4)</v>
      </c>
    </row>
    <row r="26" spans="1:7" ht="15.6" x14ac:dyDescent="0.3">
      <c r="A26" s="1" t="str">
        <f>'table-3b-raw'!A3</f>
        <v>Mailed Test Strip</v>
      </c>
      <c r="B26" s="1"/>
      <c r="C26" s="10" t="str">
        <f>'table-3b-raw'!B3</f>
        <v>0.031***</v>
      </c>
      <c r="D26" s="10" t="str">
        <f>'table-3b-raw'!C3</f>
        <v>0.031***</v>
      </c>
      <c r="E26" s="10" t="str">
        <f>'table-3b-raw'!D3</f>
        <v>0.032***</v>
      </c>
      <c r="F26" s="1"/>
    </row>
    <row r="27" spans="1:7" ht="15.6" x14ac:dyDescent="0.3">
      <c r="A27" s="1" t="str">
        <f>'table-3b-raw'!A4</f>
        <v/>
      </c>
      <c r="B27" s="1"/>
      <c r="C27" s="10" t="str">
        <f>'table-3b-raw'!B4</f>
        <v>(0.009)</v>
      </c>
      <c r="D27" s="10" t="str">
        <f>'table-3b-raw'!C4</f>
        <v>(0.009)</v>
      </c>
      <c r="E27" s="10" t="str">
        <f>'table-3b-raw'!D4</f>
        <v>(0.009)</v>
      </c>
      <c r="F27" s="1"/>
    </row>
    <row r="28" spans="1:7" ht="15.6" x14ac:dyDescent="0.3">
      <c r="A28" s="1" t="s">
        <v>58</v>
      </c>
      <c r="B28" s="1"/>
      <c r="C28" s="10"/>
      <c r="D28" s="10"/>
      <c r="E28" s="10"/>
      <c r="F28" s="1" t="str">
        <f>'table-3b-raw'!E13</f>
        <v>0.043***</v>
      </c>
    </row>
    <row r="29" spans="1:7" ht="15.6" x14ac:dyDescent="0.3">
      <c r="A29" s="1"/>
      <c r="B29" s="1"/>
      <c r="C29" s="10"/>
      <c r="D29" s="10"/>
      <c r="E29" s="10"/>
      <c r="F29" s="1" t="str">
        <f>'table-3b-raw'!E14</f>
        <v>(0.013)</v>
      </c>
    </row>
    <row r="30" spans="1:7" ht="15.6" x14ac:dyDescent="0.3">
      <c r="A30" s="1" t="s">
        <v>59</v>
      </c>
      <c r="B30" s="1"/>
      <c r="C30" s="10"/>
      <c r="D30" s="10"/>
      <c r="E30" s="10"/>
      <c r="F30" s="1" t="str">
        <f>'table-3b-raw'!E15</f>
        <v>0.019</v>
      </c>
    </row>
    <row r="31" spans="1:7" ht="15.6" x14ac:dyDescent="0.3">
      <c r="A31" s="1"/>
      <c r="B31" s="1"/>
      <c r="C31" s="10"/>
      <c r="D31" s="10"/>
      <c r="E31" s="10"/>
      <c r="F31" s="1" t="str">
        <f>'table-3b-raw'!E16</f>
        <v>(0.013)</v>
      </c>
    </row>
    <row r="32" spans="1:7" ht="15.6" x14ac:dyDescent="0.3">
      <c r="A32" s="1" t="s">
        <v>62</v>
      </c>
      <c r="B32" s="1"/>
      <c r="C32" s="10"/>
      <c r="D32" s="10"/>
      <c r="E32" s="10" t="str">
        <f>'table-3b-raw'!D5</f>
        <v>0.266***</v>
      </c>
      <c r="F32" s="1"/>
    </row>
    <row r="33" spans="1:18" ht="15.6" x14ac:dyDescent="0.3">
      <c r="A33" s="1" t="str">
        <f>'table-3b-raw'!A6</f>
        <v/>
      </c>
      <c r="B33" s="1"/>
      <c r="C33" s="10"/>
      <c r="D33" s="10"/>
      <c r="E33" s="10" t="str">
        <f>'table-3b-raw'!D6</f>
        <v>(0.016)</v>
      </c>
      <c r="F33" s="1"/>
      <c r="O33" s="9"/>
      <c r="P33" s="9"/>
      <c r="Q33" s="9"/>
      <c r="R33" s="9"/>
    </row>
    <row r="34" spans="1:18" ht="15.6" x14ac:dyDescent="0.3">
      <c r="A34" s="1" t="s">
        <v>63</v>
      </c>
      <c r="B34" s="1"/>
      <c r="C34" s="10"/>
      <c r="D34" s="10"/>
      <c r="E34" s="10" t="str">
        <f>'table-3b-raw'!D7</f>
        <v>-0.074***</v>
      </c>
      <c r="F34" s="1"/>
      <c r="O34" s="9"/>
      <c r="P34" s="9"/>
      <c r="Q34" s="9"/>
      <c r="R34" s="9"/>
    </row>
    <row r="35" spans="1:18" ht="15.6" x14ac:dyDescent="0.3">
      <c r="A35" s="1" t="str">
        <f>'table-3b-raw'!A8</f>
        <v/>
      </c>
      <c r="B35" s="1"/>
      <c r="C35" s="10"/>
      <c r="D35" s="10"/>
      <c r="E35" s="10" t="str">
        <f>'table-3b-raw'!D8</f>
        <v>(0.028)</v>
      </c>
      <c r="F35" s="1"/>
      <c r="O35" s="9"/>
      <c r="P35" s="9"/>
      <c r="Q35" s="9"/>
      <c r="R35" s="9"/>
    </row>
    <row r="36" spans="1:18" ht="15.6" x14ac:dyDescent="0.3">
      <c r="A36" s="1" t="s">
        <v>56</v>
      </c>
      <c r="B36" s="1"/>
      <c r="C36" s="10"/>
      <c r="D36" s="10"/>
      <c r="E36" s="10"/>
      <c r="F36" s="1" t="str">
        <f>'table-3b-raw'!E9</f>
        <v>0.101***</v>
      </c>
      <c r="O36" s="9"/>
      <c r="P36" s="9"/>
      <c r="Q36" s="9"/>
      <c r="R36" s="9"/>
    </row>
    <row r="37" spans="1:18" ht="15.6" x14ac:dyDescent="0.3">
      <c r="A37" s="1"/>
      <c r="B37" s="1"/>
      <c r="C37" s="10"/>
      <c r="D37" s="10"/>
      <c r="E37" s="10"/>
      <c r="F37" s="1" t="str">
        <f>'table-3b-raw'!E10</f>
        <v>(0.009)</v>
      </c>
    </row>
    <row r="38" spans="1:18" ht="15.6" x14ac:dyDescent="0.3">
      <c r="A38" s="1" t="s">
        <v>57</v>
      </c>
      <c r="B38" s="1"/>
      <c r="C38" s="10"/>
      <c r="D38" s="10"/>
      <c r="E38" s="10"/>
      <c r="F38" s="1" t="str">
        <f>'table-3b-raw'!E11</f>
        <v>0.099***</v>
      </c>
    </row>
    <row r="39" spans="1:18" ht="15.6" x14ac:dyDescent="0.3">
      <c r="A39" s="1"/>
      <c r="B39" s="1"/>
      <c r="C39" s="10"/>
      <c r="D39" s="10"/>
      <c r="E39" s="10"/>
      <c r="F39" s="1" t="str">
        <f>'table-3b-raw'!E12</f>
        <v>(0.009)</v>
      </c>
    </row>
    <row r="40" spans="1:18" ht="15.6" x14ac:dyDescent="0.3">
      <c r="A40" s="1" t="s">
        <v>60</v>
      </c>
      <c r="B40" s="1"/>
      <c r="C40" s="10" t="str">
        <f>'table-3b-raw'!B17</f>
        <v>0.100***</v>
      </c>
      <c r="D40" s="10" t="str">
        <f>'table-3b-raw'!C17</f>
        <v>0.100***</v>
      </c>
      <c r="E40" s="10" t="str">
        <f>'table-3b-raw'!D17</f>
        <v>0.078***</v>
      </c>
      <c r="F40" s="1"/>
    </row>
    <row r="41" spans="1:18" ht="15.6" x14ac:dyDescent="0.3">
      <c r="A41" s="1" t="str">
        <f>'table-3b-raw'!A10</f>
        <v/>
      </c>
      <c r="B41" s="1"/>
      <c r="C41" s="10" t="str">
        <f>'table-3b-raw'!B18</f>
        <v>(0.007)</v>
      </c>
      <c r="D41" s="10" t="str">
        <f>'table-3b-raw'!C18</f>
        <v>(0.007)</v>
      </c>
      <c r="E41" s="10" t="str">
        <f>'table-3b-raw'!D18</f>
        <v>(0.007)</v>
      </c>
      <c r="F41" s="1"/>
    </row>
    <row r="42" spans="1:18" ht="15.6" x14ac:dyDescent="0.3">
      <c r="A42" s="1" t="s">
        <v>61</v>
      </c>
      <c r="B42" s="1"/>
      <c r="C42" s="10"/>
      <c r="D42" s="10"/>
      <c r="E42" s="10"/>
      <c r="F42" s="1"/>
    </row>
    <row r="43" spans="1:18" ht="15.6" x14ac:dyDescent="0.3">
      <c r="A43" s="1"/>
      <c r="B43" s="1" t="s">
        <v>67</v>
      </c>
      <c r="C43" s="10" t="str">
        <f>'table-3b-raw'!B21</f>
        <v>0.0017</v>
      </c>
      <c r="D43" s="10" t="str">
        <f>'table-3b-raw'!C21</f>
        <v>0.0013</v>
      </c>
      <c r="E43" s="10" t="str">
        <f>'table-3b-raw'!D21</f>
        <v>0.0007</v>
      </c>
      <c r="F43" s="10" t="str">
        <f>'table-3b-raw'!E21</f>
        <v/>
      </c>
    </row>
    <row r="44" spans="1:18" ht="15.6" x14ac:dyDescent="0.3">
      <c r="A44" s="1"/>
      <c r="B44" s="1" t="s">
        <v>58</v>
      </c>
      <c r="C44" s="10" t="str">
        <f>'table-3b-raw'!B22</f>
        <v/>
      </c>
      <c r="D44" s="10" t="str">
        <f>'table-3b-raw'!C22</f>
        <v/>
      </c>
      <c r="E44" s="10" t="str">
        <f>'table-3b-raw'!D22</f>
        <v/>
      </c>
      <c r="F44" s="10" t="str">
        <f>'table-3b-raw'!E22</f>
        <v>0.0020</v>
      </c>
    </row>
    <row r="45" spans="1:18" ht="15.6" x14ac:dyDescent="0.3">
      <c r="A45" s="2"/>
      <c r="B45" s="2" t="s">
        <v>59</v>
      </c>
      <c r="C45" s="11" t="str">
        <f>'table-3b-raw'!B23</f>
        <v/>
      </c>
      <c r="D45" s="11" t="str">
        <f>'table-3b-raw'!C23</f>
        <v/>
      </c>
      <c r="E45" s="11" t="str">
        <f>'table-3b-raw'!D23</f>
        <v/>
      </c>
      <c r="F45" s="11" t="str">
        <f>'table-3b-raw'!E23</f>
        <v>0.1593</v>
      </c>
    </row>
    <row r="46" spans="1:18" ht="15.6" x14ac:dyDescent="0.3">
      <c r="A46" s="1" t="s">
        <v>64</v>
      </c>
      <c r="B46" s="1"/>
      <c r="C46" s="10" t="str">
        <f>'table-3b-raw'!B19</f>
        <v>4541</v>
      </c>
      <c r="D46" s="10" t="str">
        <f>'table-3b-raw'!C19</f>
        <v>4541</v>
      </c>
      <c r="E46" s="10" t="str">
        <f>'table-3b-raw'!D19</f>
        <v>4541</v>
      </c>
      <c r="F46" s="10" t="str">
        <f>'table-3b-raw'!E19</f>
        <v>4541</v>
      </c>
    </row>
    <row r="47" spans="1:18" ht="16.2" thickBot="1" x14ac:dyDescent="0.35">
      <c r="A47" s="7" t="s">
        <v>65</v>
      </c>
      <c r="B47" s="7"/>
      <c r="C47" s="12" t="str">
        <f>'table-3b-raw'!B20</f>
        <v>No</v>
      </c>
      <c r="D47" s="12" t="str">
        <f>'table-3b-raw'!C20</f>
        <v>Yes</v>
      </c>
      <c r="E47" s="12" t="str">
        <f>'table-3b-raw'!D20</f>
        <v>Yes</v>
      </c>
      <c r="F47" s="12" t="str">
        <f>'table-3b-raw'!E20</f>
        <v>No</v>
      </c>
    </row>
    <row r="48" spans="1:18" ht="16.2" thickTop="1" x14ac:dyDescent="0.3">
      <c r="A48" s="1" t="str">
        <f>'table-3b-raw'!A12</f>
        <v/>
      </c>
      <c r="B48" s="1"/>
      <c r="C48" s="10" t="str">
        <f>'table-3b-raw'!B12</f>
        <v/>
      </c>
      <c r="D48" s="10" t="str">
        <f>'table-3b-raw'!C12</f>
        <v/>
      </c>
      <c r="E48" s="10" t="str">
        <f>'table-3b-raw'!D12</f>
        <v/>
      </c>
      <c r="F48" s="1"/>
    </row>
  </sheetData>
  <mergeCells count="2">
    <mergeCell ref="A2:E2"/>
    <mergeCell ref="A24:E2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6F4F9-FB99-429A-A547-B9734FCB12D3}">
  <dimension ref="A1:F17"/>
  <sheetViews>
    <sheetView showGridLines="0" workbookViewId="0">
      <selection activeCell="F38" sqref="F38"/>
    </sheetView>
  </sheetViews>
  <sheetFormatPr defaultRowHeight="14.4" x14ac:dyDescent="0.3"/>
  <cols>
    <col min="1" max="1" width="29" bestFit="1" customWidth="1"/>
    <col min="2" max="2" width="9.109375" bestFit="1" customWidth="1"/>
    <col min="3" max="6" width="9.88671875" bestFit="1" customWidth="1"/>
  </cols>
  <sheetData>
    <row r="1" spans="1:6" ht="6.45" customHeight="1" x14ac:dyDescent="0.3">
      <c r="A1" s="2"/>
      <c r="B1" s="2"/>
      <c r="C1" s="2"/>
      <c r="D1" s="2"/>
      <c r="E1" s="2"/>
      <c r="F1" s="2"/>
    </row>
    <row r="2" spans="1:6" ht="15.6" x14ac:dyDescent="0.3">
      <c r="A2" s="1" t="str">
        <f>'table-4-raw'!A2</f>
        <v/>
      </c>
      <c r="B2" s="3" t="str">
        <f>'table-4-raw'!B2</f>
        <v>(1)</v>
      </c>
      <c r="C2" s="3" t="str">
        <f>'table-4-raw'!C2</f>
        <v>(2)</v>
      </c>
      <c r="D2" s="3" t="str">
        <f>'table-4-raw'!D2</f>
        <v>(3)</v>
      </c>
      <c r="E2" s="3" t="str">
        <f>'table-4-raw'!E2</f>
        <v>(4)</v>
      </c>
      <c r="F2" s="3" t="str">
        <f>'table-4-raw'!F2</f>
        <v>(5)</v>
      </c>
    </row>
    <row r="3" spans="1:6" ht="15.6" x14ac:dyDescent="0.3">
      <c r="A3" s="1" t="str">
        <f>'table-4-raw'!A4</f>
        <v>Chose Strip</v>
      </c>
      <c r="B3" s="3" t="str">
        <f>'table-4-raw'!B4</f>
        <v>1.047***</v>
      </c>
      <c r="C3" s="3" t="str">
        <f>'table-4-raw'!C4</f>
        <v>1.603***</v>
      </c>
      <c r="D3" s="3" t="str">
        <f>'table-4-raw'!D4</f>
        <v>2.605***</v>
      </c>
      <c r="E3" s="3" t="str">
        <f>'table-4-raw'!E4</f>
        <v>1.560***</v>
      </c>
      <c r="F3" s="3" t="str">
        <f>'table-4-raw'!F4</f>
        <v>1.919***</v>
      </c>
    </row>
    <row r="4" spans="1:6" ht="15.6" x14ac:dyDescent="0.3">
      <c r="A4" s="1" t="str">
        <f>'table-4-raw'!A5</f>
        <v/>
      </c>
      <c r="B4" s="3" t="str">
        <f>'table-4-raw'!B5</f>
        <v>(0.097)</v>
      </c>
      <c r="C4" s="3" t="str">
        <f>'table-4-raw'!C5</f>
        <v>(0.143)</v>
      </c>
      <c r="D4" s="3" t="str">
        <f>'table-4-raw'!D5</f>
        <v>(0.427)</v>
      </c>
      <c r="E4" s="3" t="str">
        <f>'table-4-raw'!E5</f>
        <v>(0.320)</v>
      </c>
      <c r="F4" s="3" t="str">
        <f>'table-4-raw'!F5</f>
        <v>(0.300)</v>
      </c>
    </row>
    <row r="5" spans="1:6" ht="15.6" x14ac:dyDescent="0.3">
      <c r="A5" s="1" t="str">
        <f>'table-4-raw'!A9</f>
        <v>Mailed Test Strip</v>
      </c>
      <c r="B5" s="10" t="str">
        <f>'table-4-raw'!B9</f>
        <v/>
      </c>
      <c r="C5" s="10" t="str">
        <f>'table-4-raw'!C9</f>
        <v>-0.600***</v>
      </c>
      <c r="D5" s="10" t="str">
        <f>'table-4-raw'!D9</f>
        <v>-0.639***</v>
      </c>
      <c r="E5" s="10" t="str">
        <f>'table-4-raw'!E9</f>
        <v>-0.603***</v>
      </c>
      <c r="F5" s="10" t="str">
        <f>'table-4-raw'!F9</f>
        <v>-0.589***</v>
      </c>
    </row>
    <row r="6" spans="1:6" ht="15.6" x14ac:dyDescent="0.3">
      <c r="A6" s="1" t="str">
        <f>'table-4-raw'!A10</f>
        <v/>
      </c>
      <c r="B6" s="10" t="str">
        <f>'table-4-raw'!B10</f>
        <v/>
      </c>
      <c r="C6" s="10" t="str">
        <f>'table-4-raw'!C10</f>
        <v>(0.111)</v>
      </c>
      <c r="D6" s="10" t="str">
        <f>'table-4-raw'!D10</f>
        <v>(0.123)</v>
      </c>
      <c r="E6" s="10" t="str">
        <f>'table-4-raw'!E10</f>
        <v>(0.112)</v>
      </c>
      <c r="F6" s="10" t="str">
        <f>'table-4-raw'!F10</f>
        <v>(0.113)</v>
      </c>
    </row>
    <row r="7" spans="1:6" ht="15.6" x14ac:dyDescent="0.3">
      <c r="A7" s="1" t="str">
        <f>'table-4-raw'!A6</f>
        <v>Bid</v>
      </c>
      <c r="B7" s="10" t="str">
        <f>'table-4-raw'!B6</f>
        <v>0.050***</v>
      </c>
      <c r="C7" s="10" t="str">
        <f>'table-4-raw'!C6</f>
        <v>0.096***</v>
      </c>
      <c r="D7" s="10" t="str">
        <f>'table-4-raw'!D6</f>
        <v>0.105***</v>
      </c>
      <c r="E7" s="10" t="str">
        <f>'table-4-raw'!E6</f>
        <v>0.101***</v>
      </c>
      <c r="F7" s="10" t="str">
        <f>'table-4-raw'!F6</f>
        <v>0.096***</v>
      </c>
    </row>
    <row r="8" spans="1:6" ht="15.6" x14ac:dyDescent="0.3">
      <c r="A8" s="2" t="str">
        <f>'table-4-raw'!A7</f>
        <v/>
      </c>
      <c r="B8" s="11" t="str">
        <f>'table-4-raw'!B7</f>
        <v>(0.014)</v>
      </c>
      <c r="C8" s="11" t="str">
        <f>'table-4-raw'!C7</f>
        <v>(0.017)</v>
      </c>
      <c r="D8" s="11" t="str">
        <f>'table-4-raw'!D7</f>
        <v>(0.018)</v>
      </c>
      <c r="E8" s="11" t="str">
        <f>'table-4-raw'!E7</f>
        <v>(0.017)</v>
      </c>
      <c r="F8" s="11" t="str">
        <f>'table-4-raw'!F7</f>
        <v>(0.017)</v>
      </c>
    </row>
    <row r="9" spans="1:6" ht="15.6" x14ac:dyDescent="0.3">
      <c r="A9" s="1" t="str">
        <f>'table-4-raw'!A12</f>
        <v>WTP</v>
      </c>
      <c r="B9" s="3" t="str">
        <f>'table-4-raw'!B12</f>
        <v>21.10</v>
      </c>
      <c r="C9" s="3" t="str">
        <f>'table-4-raw'!C12</f>
        <v>13.76</v>
      </c>
      <c r="D9" s="3" t="str">
        <f>'table-4-raw'!D12</f>
        <v>13.37</v>
      </c>
      <c r="E9" s="3" t="str">
        <f>'table-4-raw'!E12</f>
        <v>13.40</v>
      </c>
      <c r="F9" s="3" t="str">
        <f>'table-4-raw'!F12</f>
        <v>13.97</v>
      </c>
    </row>
    <row r="10" spans="1:6" ht="15.6" x14ac:dyDescent="0.3">
      <c r="A10" s="1" t="str">
        <f>'table-4-raw'!A13</f>
        <v>WTP Control</v>
      </c>
      <c r="B10" s="3" t="str">
        <f>'table-4-raw'!B13</f>
        <v/>
      </c>
      <c r="C10" s="3" t="str">
        <f>'table-4-raw'!C13</f>
        <v>16.64</v>
      </c>
      <c r="D10" s="3" t="str">
        <f>'table-4-raw'!D13</f>
        <v>16.19</v>
      </c>
      <c r="E10" s="3" t="str">
        <f>'table-4-raw'!E13</f>
        <v>16.17</v>
      </c>
      <c r="F10" s="3" t="str">
        <f>'table-4-raw'!F13</f>
        <v>16.82</v>
      </c>
    </row>
    <row r="11" spans="1:6" ht="15.6" x14ac:dyDescent="0.3">
      <c r="A11" s="1" t="str">
        <f>'table-4-raw'!A14</f>
        <v>WTP Treated</v>
      </c>
      <c r="B11" s="3" t="str">
        <f>'table-4-raw'!B14</f>
        <v/>
      </c>
      <c r="C11" s="3" t="str">
        <f>'table-4-raw'!C14</f>
        <v>10.41</v>
      </c>
      <c r="D11" s="3" t="str">
        <f>'table-4-raw'!D14</f>
        <v>10.11</v>
      </c>
      <c r="E11" s="3" t="str">
        <f>'table-4-raw'!E14</f>
        <v>10.20</v>
      </c>
      <c r="F11" s="3" t="str">
        <f>'table-4-raw'!F14</f>
        <v>10.67</v>
      </c>
    </row>
    <row r="12" spans="1:6" ht="15.6" x14ac:dyDescent="0.3">
      <c r="A12" s="2" t="s">
        <v>68</v>
      </c>
      <c r="B12" s="11" t="str">
        <f>'table-4-raw'!B15</f>
        <v>0.00</v>
      </c>
      <c r="C12" s="11" t="str">
        <f>'table-4-raw'!C15</f>
        <v>0.00</v>
      </c>
      <c r="D12" s="11" t="str">
        <f>'table-4-raw'!D15</f>
        <v>0.00</v>
      </c>
      <c r="E12" s="11" t="str">
        <f>'table-4-raw'!E15</f>
        <v>0.00</v>
      </c>
      <c r="F12" s="11" t="str">
        <f>'table-4-raw'!F15</f>
        <v>0.00</v>
      </c>
    </row>
    <row r="13" spans="1:6" ht="15.6" x14ac:dyDescent="0.3">
      <c r="A13" s="1" t="str">
        <f>'table-4-raw'!A11</f>
        <v>Observations</v>
      </c>
      <c r="B13" s="10" t="str">
        <f>'table-4-raw'!B11</f>
        <v>4232</v>
      </c>
      <c r="C13" s="10" t="str">
        <f>'table-4-raw'!C11</f>
        <v>4232</v>
      </c>
      <c r="D13" s="10" t="str">
        <f>'table-4-raw'!D11</f>
        <v>3508</v>
      </c>
      <c r="E13" s="10" t="str">
        <f>'table-4-raw'!E11</f>
        <v>4132</v>
      </c>
      <c r="F13" s="10" t="str">
        <f>'table-4-raw'!F11</f>
        <v>4148</v>
      </c>
    </row>
    <row r="14" spans="1:6" ht="15.6" x14ac:dyDescent="0.3">
      <c r="A14" s="1" t="str">
        <f>'table-4-raw'!A16</f>
        <v>Demographic Interactions</v>
      </c>
      <c r="B14" s="10" t="str">
        <f>'table-4-raw'!B16</f>
        <v>No</v>
      </c>
      <c r="C14" s="10" t="str">
        <f>'table-4-raw'!C16</f>
        <v>No</v>
      </c>
      <c r="D14" s="10" t="str">
        <f>'table-4-raw'!D16</f>
        <v>Yes</v>
      </c>
      <c r="E14" s="10" t="str">
        <f>'table-4-raw'!E16</f>
        <v>No</v>
      </c>
      <c r="F14" s="10" t="str">
        <f>'table-4-raw'!F16</f>
        <v>No</v>
      </c>
    </row>
    <row r="15" spans="1:6" ht="15.6" x14ac:dyDescent="0.3">
      <c r="A15" s="1" t="str">
        <f>'table-4-raw'!A17</f>
        <v>Well Characteristic Interactions</v>
      </c>
      <c r="B15" s="10" t="str">
        <f>'table-4-raw'!B17</f>
        <v>No</v>
      </c>
      <c r="C15" s="10" t="str">
        <f>'table-4-raw'!C17</f>
        <v>No</v>
      </c>
      <c r="D15" s="10" t="str">
        <f>'table-4-raw'!D17</f>
        <v>No</v>
      </c>
      <c r="E15" s="10" t="str">
        <f>'table-4-raw'!E17</f>
        <v>Yes</v>
      </c>
      <c r="F15" s="10" t="str">
        <f>'table-4-raw'!F17</f>
        <v>No</v>
      </c>
    </row>
    <row r="16" spans="1:6" ht="16.2" thickBot="1" x14ac:dyDescent="0.35">
      <c r="A16" s="7" t="str">
        <f>'table-4-raw'!A18</f>
        <v>Perception Interactions</v>
      </c>
      <c r="B16" s="12" t="str">
        <f>'table-4-raw'!B18</f>
        <v>No</v>
      </c>
      <c r="C16" s="12" t="str">
        <f>'table-4-raw'!C18</f>
        <v>No</v>
      </c>
      <c r="D16" s="12" t="str">
        <f>'table-4-raw'!D18</f>
        <v>No</v>
      </c>
      <c r="E16" s="12" t="str">
        <f>'table-4-raw'!E18</f>
        <v>No</v>
      </c>
      <c r="F16" s="12" t="str">
        <f>'table-4-raw'!F18</f>
        <v>Yes</v>
      </c>
    </row>
    <row r="17" ht="5.4" customHeight="1" thickTop="1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0A222-DFFF-45C4-8CE8-146AF6D57A01}">
  <dimension ref="A1:F23"/>
  <sheetViews>
    <sheetView workbookViewId="0">
      <selection sqref="A1:F23"/>
    </sheetView>
  </sheetViews>
  <sheetFormatPr defaultRowHeight="14.4" x14ac:dyDescent="0.3"/>
  <cols>
    <col min="1" max="1" width="18.77734375" bestFit="1" customWidth="1"/>
  </cols>
  <sheetData>
    <row r="1" spans="1:6" x14ac:dyDescent="0.3">
      <c r="A1" t="str">
        <f>""</f>
        <v/>
      </c>
      <c r="B1" t="str">
        <f>"A"</f>
        <v>A</v>
      </c>
      <c r="C1" t="str">
        <f>""</f>
        <v/>
      </c>
      <c r="D1" t="str">
        <f>""</f>
        <v/>
      </c>
      <c r="E1" t="str">
        <f>""</f>
        <v/>
      </c>
      <c r="F1" t="str">
        <f>""</f>
        <v/>
      </c>
    </row>
    <row r="2" spans="1:6" x14ac:dyDescent="0.3">
      <c r="A2" t="str">
        <f>""</f>
        <v/>
      </c>
      <c r="B2" t="str">
        <f>"All"</f>
        <v>All</v>
      </c>
      <c r="C2" t="str">
        <f>"Control"</f>
        <v>Control</v>
      </c>
      <c r="D2" t="str">
        <f>"Treatment"</f>
        <v>Treatment</v>
      </c>
      <c r="E2" t="str">
        <f>"Difference"</f>
        <v>Difference</v>
      </c>
      <c r="F2" t="str">
        <f>"Census"</f>
        <v>Census</v>
      </c>
    </row>
    <row r="3" spans="1:6" x14ac:dyDescent="0.3">
      <c r="A3" t="str">
        <f>"Owns Home"</f>
        <v>Owns Home</v>
      </c>
      <c r="B3" t="str">
        <f>"0.944"</f>
        <v>0.944</v>
      </c>
      <c r="C3" t="str">
        <f>"0.939"</f>
        <v>0.939</v>
      </c>
      <c r="D3" t="str">
        <f>"0.949"</f>
        <v>0.949</v>
      </c>
      <c r="E3" t="str">
        <f>"0.055"</f>
        <v>0.055</v>
      </c>
      <c r="F3" t="str">
        <f>"999.000"</f>
        <v>999.000</v>
      </c>
    </row>
    <row r="4" spans="1:6" x14ac:dyDescent="0.3">
      <c r="A4" t="str">
        <f>"Income &lt;$25K"</f>
        <v>Income &lt;$25K</v>
      </c>
      <c r="B4" t="str">
        <f>"0.081"</f>
        <v>0.081</v>
      </c>
      <c r="C4" t="str">
        <f>"0.089"</f>
        <v>0.089</v>
      </c>
      <c r="D4" t="str">
        <f>"0.074"</f>
        <v>0.074</v>
      </c>
      <c r="E4" t="str">
        <f>"0.020"</f>
        <v>0.020</v>
      </c>
      <c r="F4" t="str">
        <f>"0.172"</f>
        <v>0.172</v>
      </c>
    </row>
    <row r="5" spans="1:6" x14ac:dyDescent="0.3">
      <c r="A5" t="str">
        <f>"Income $25K-$50K"</f>
        <v>Income $25K-$50K</v>
      </c>
      <c r="B5" t="str">
        <f>"0.260"</f>
        <v>0.260</v>
      </c>
      <c r="C5" t="str">
        <f>"0.246"</f>
        <v>0.246</v>
      </c>
      <c r="D5" t="str">
        <f>"0.275"</f>
        <v>0.275</v>
      </c>
      <c r="E5" t="str">
        <f>"0.006"</f>
        <v>0.006</v>
      </c>
      <c r="F5" t="str">
        <f>"0.227"</f>
        <v>0.227</v>
      </c>
    </row>
    <row r="6" spans="1:6" x14ac:dyDescent="0.3">
      <c r="A6" t="str">
        <f>"Income $50K-$100K"</f>
        <v>Income $50K-$100K</v>
      </c>
      <c r="B6" t="str">
        <f>"0.423"</f>
        <v>0.423</v>
      </c>
      <c r="C6" t="str">
        <f>"0.427"</f>
        <v>0.427</v>
      </c>
      <c r="D6" t="str">
        <f>"0.418"</f>
        <v>0.418</v>
      </c>
      <c r="E6" t="str">
        <f>"0.447"</f>
        <v>0.447</v>
      </c>
      <c r="F6" t="str">
        <f>"0.352"</f>
        <v>0.352</v>
      </c>
    </row>
    <row r="7" spans="1:6" x14ac:dyDescent="0.3">
      <c r="A7" t="str">
        <f>"Income $100K-$200K"</f>
        <v>Income $100K-$200K</v>
      </c>
      <c r="B7" t="str">
        <f>"0.197"</f>
        <v>0.197</v>
      </c>
      <c r="C7" t="str">
        <f>"0.196"</f>
        <v>0.196</v>
      </c>
      <c r="D7" t="str">
        <f>"0.199"</f>
        <v>0.199</v>
      </c>
      <c r="E7" t="str">
        <f>"0.793"</f>
        <v>0.793</v>
      </c>
      <c r="F7" t="str">
        <f>"0.206"</f>
        <v>0.206</v>
      </c>
    </row>
    <row r="8" spans="1:6" x14ac:dyDescent="0.3">
      <c r="A8" t="str">
        <f>"Income &gt;$200K"</f>
        <v>Income &gt;$200K</v>
      </c>
      <c r="B8" t="str">
        <f>"0.038"</f>
        <v>0.038</v>
      </c>
      <c r="C8" t="str">
        <f>"0.042"</f>
        <v>0.042</v>
      </c>
      <c r="D8" t="str">
        <f>"0.035"</f>
        <v>0.035</v>
      </c>
      <c r="E8" t="str">
        <f>"0.118"</f>
        <v>0.118</v>
      </c>
      <c r="F8" t="str">
        <f>"0.042"</f>
        <v>0.042</v>
      </c>
    </row>
    <row r="9" spans="1:6" x14ac:dyDescent="0.3">
      <c r="A9" t="str">
        <f>"High School or Lower"</f>
        <v>High School or Lower</v>
      </c>
      <c r="B9" t="str">
        <f>"0.600"</f>
        <v>0.600</v>
      </c>
      <c r="C9" t="str">
        <f>"0.600"</f>
        <v>0.600</v>
      </c>
      <c r="D9" t="str">
        <f>"0.600"</f>
        <v>0.600</v>
      </c>
      <c r="E9" t="str">
        <f>"0.996"</f>
        <v>0.996</v>
      </c>
      <c r="F9" t="str">
        <f>"0.639"</f>
        <v>0.639</v>
      </c>
    </row>
    <row r="10" spans="1:6" x14ac:dyDescent="0.3">
      <c r="A10" t="str">
        <f>"Associates or Higher"</f>
        <v>Associates or Higher</v>
      </c>
      <c r="B10" t="str">
        <f>"0.400"</f>
        <v>0.400</v>
      </c>
      <c r="C10" t="str">
        <f>"0.400"</f>
        <v>0.400</v>
      </c>
      <c r="D10" t="str">
        <f>"0.400"</f>
        <v>0.400</v>
      </c>
      <c r="E10" t="str">
        <f>"0.996"</f>
        <v>0.996</v>
      </c>
      <c r="F10" t="str">
        <f>"0.361"</f>
        <v>0.361</v>
      </c>
    </row>
    <row r="11" spans="1:6" x14ac:dyDescent="0.3">
      <c r="A11" t="str">
        <f>"HH Size"</f>
        <v>HH Size</v>
      </c>
      <c r="B11" t="str">
        <f>"2.498"</f>
        <v>2.498</v>
      </c>
      <c r="C11" t="str">
        <f>"2.504"</f>
        <v>2.504</v>
      </c>
      <c r="D11" t="str">
        <f>"2.491"</f>
        <v>2.491</v>
      </c>
      <c r="E11" t="str">
        <f>"0.708"</f>
        <v>0.708</v>
      </c>
      <c r="F11" t="str">
        <f>"2.377"</f>
        <v>2.377</v>
      </c>
    </row>
    <row r="12" spans="1:6" x14ac:dyDescent="0.3">
      <c r="A12" t="str">
        <f>"Children/Infants"</f>
        <v>Children/Infants</v>
      </c>
      <c r="B12" t="str">
        <f>"0.211"</f>
        <v>0.211</v>
      </c>
      <c r="C12" t="str">
        <f>"0.217"</f>
        <v>0.217</v>
      </c>
      <c r="D12" t="str">
        <f>"0.206"</f>
        <v>0.206</v>
      </c>
      <c r="E12" t="str">
        <f>"0.240"</f>
        <v>0.240</v>
      </c>
      <c r="F12" t="str">
        <f t="shared" ref="F12:F23" si="0">"999.000"</f>
        <v>999.000</v>
      </c>
    </row>
    <row r="13" spans="1:6" x14ac:dyDescent="0.3">
      <c r="A13" t="str">
        <f>"Retirees"</f>
        <v>Retirees</v>
      </c>
      <c r="B13" t="str">
        <f>"0.457"</f>
        <v>0.457</v>
      </c>
      <c r="C13" t="str">
        <f>"0.455"</f>
        <v>0.455</v>
      </c>
      <c r="D13" t="str">
        <f>"0.460"</f>
        <v>0.460</v>
      </c>
      <c r="E13" t="str">
        <f>"0.646"</f>
        <v>0.646</v>
      </c>
      <c r="F13" t="str">
        <f t="shared" si="0"/>
        <v>999.000</v>
      </c>
    </row>
    <row r="14" spans="1:6" x14ac:dyDescent="0.3">
      <c r="A14" t="str">
        <f>"Well Age (0-5)"</f>
        <v>Well Age (0-5)</v>
      </c>
      <c r="B14" t="str">
        <f>"0.032"</f>
        <v>0.032</v>
      </c>
      <c r="C14" t="str">
        <f>"0.031"</f>
        <v>0.031</v>
      </c>
      <c r="D14" t="str">
        <f>"0.034"</f>
        <v>0.034</v>
      </c>
      <c r="E14" t="str">
        <f>"0.383"</f>
        <v>0.383</v>
      </c>
      <c r="F14" t="str">
        <f t="shared" si="0"/>
        <v>999.000</v>
      </c>
    </row>
    <row r="15" spans="1:6" x14ac:dyDescent="0.3">
      <c r="A15" t="str">
        <f>"Well Age (6-10)"</f>
        <v>Well Age (6-10)</v>
      </c>
      <c r="B15" t="str">
        <f>"0.045"</f>
        <v>0.045</v>
      </c>
      <c r="C15" t="str">
        <f>"0.047"</f>
        <v>0.047</v>
      </c>
      <c r="D15" t="str">
        <f>"0.043"</f>
        <v>0.043</v>
      </c>
      <c r="E15" t="str">
        <f>"0.378"</f>
        <v>0.378</v>
      </c>
      <c r="F15" t="str">
        <f t="shared" si="0"/>
        <v>999.000</v>
      </c>
    </row>
    <row r="16" spans="1:6" x14ac:dyDescent="0.3">
      <c r="A16" t="str">
        <f>"Well Age (11-20)"</f>
        <v>Well Age (11-20)</v>
      </c>
      <c r="B16" t="str">
        <f>"0.144"</f>
        <v>0.144</v>
      </c>
      <c r="C16" t="str">
        <f>"0.143"</f>
        <v>0.143</v>
      </c>
      <c r="D16" t="str">
        <f>"0.145"</f>
        <v>0.145</v>
      </c>
      <c r="E16" t="str">
        <f>"0.794"</f>
        <v>0.794</v>
      </c>
      <c r="F16" t="str">
        <f t="shared" si="0"/>
        <v>999.000</v>
      </c>
    </row>
    <row r="17" spans="1:6" x14ac:dyDescent="0.3">
      <c r="A17" t="str">
        <f>"Well Age (ov20)"</f>
        <v>Well Age (ov20)</v>
      </c>
      <c r="B17" t="str">
        <f>"0.675"</f>
        <v>0.675</v>
      </c>
      <c r="C17" t="str">
        <f>"0.677"</f>
        <v>0.677</v>
      </c>
      <c r="D17" t="str">
        <f>"0.673"</f>
        <v>0.673</v>
      </c>
      <c r="E17" t="str">
        <f>"0.712"</f>
        <v>0.712</v>
      </c>
      <c r="F17" t="str">
        <f t="shared" si="0"/>
        <v>999.000</v>
      </c>
    </row>
    <row r="18" spans="1:6" x14ac:dyDescent="0.3">
      <c r="A18" t="str">
        <f>"Wall Age - Unsure"</f>
        <v>Wall Age - Unsure</v>
      </c>
      <c r="B18" t="str">
        <f>"0.103"</f>
        <v>0.103</v>
      </c>
      <c r="C18" t="str">
        <f>"0.102"</f>
        <v>0.102</v>
      </c>
      <c r="D18" t="str">
        <f>"0.105"</f>
        <v>0.105</v>
      </c>
      <c r="E18" t="str">
        <f>"0.717"</f>
        <v>0.717</v>
      </c>
      <c r="F18" t="str">
        <f t="shared" si="0"/>
        <v>999.000</v>
      </c>
    </row>
    <row r="19" spans="1:6" x14ac:dyDescent="0.3">
      <c r="A19" t="str">
        <f>"Well Dep (0-50)"</f>
        <v>Well Dep (0-50)</v>
      </c>
      <c r="B19" t="str">
        <f>"0.091"</f>
        <v>0.091</v>
      </c>
      <c r="C19" t="str">
        <f>"0.088"</f>
        <v>0.088</v>
      </c>
      <c r="D19" t="str">
        <f>"0.094"</f>
        <v>0.094</v>
      </c>
      <c r="E19" t="str">
        <f>"0.413"</f>
        <v>0.413</v>
      </c>
      <c r="F19" t="str">
        <f t="shared" si="0"/>
        <v>999.000</v>
      </c>
    </row>
    <row r="20" spans="1:6" x14ac:dyDescent="0.3">
      <c r="A20" t="str">
        <f>"Well Dep (51-150)"</f>
        <v>Well Dep (51-150)</v>
      </c>
      <c r="B20" t="str">
        <f>"0.319"</f>
        <v>0.319</v>
      </c>
      <c r="C20" t="str">
        <f>"0.321"</f>
        <v>0.321</v>
      </c>
      <c r="D20" t="str">
        <f>"0.318"</f>
        <v>0.318</v>
      </c>
      <c r="E20" t="str">
        <f>"0.785"</f>
        <v>0.785</v>
      </c>
      <c r="F20" t="str">
        <f t="shared" si="0"/>
        <v>999.000</v>
      </c>
    </row>
    <row r="21" spans="1:6" x14ac:dyDescent="0.3">
      <c r="A21" t="str">
        <f>"Well Dep (ov150)"</f>
        <v>Well Dep (ov150)</v>
      </c>
      <c r="B21" t="str">
        <f>"0.404"</f>
        <v>0.404</v>
      </c>
      <c r="C21" t="str">
        <f>"0.403"</f>
        <v>0.403</v>
      </c>
      <c r="D21" t="str">
        <f>"0.406"</f>
        <v>0.406</v>
      </c>
      <c r="E21" t="str">
        <f>"0.794"</f>
        <v>0.794</v>
      </c>
      <c r="F21" t="str">
        <f t="shared" si="0"/>
        <v>999.000</v>
      </c>
    </row>
    <row r="22" spans="1:6" x14ac:dyDescent="0.3">
      <c r="A22" t="str">
        <f>"Well Dep Unsure"</f>
        <v>Well Dep Unsure</v>
      </c>
      <c r="B22" t="str">
        <f>"0.185"</f>
        <v>0.185</v>
      </c>
      <c r="C22" t="str">
        <f>"0.188"</f>
        <v>0.188</v>
      </c>
      <c r="D22" t="str">
        <f>"0.183"</f>
        <v>0.183</v>
      </c>
      <c r="E22" t="str">
        <f>"0.542"</f>
        <v>0.542</v>
      </c>
      <c r="F22" t="str">
        <f t="shared" si="0"/>
        <v>999.000</v>
      </c>
    </row>
    <row r="23" spans="1:6" x14ac:dyDescent="0.3">
      <c r="A23" t="str">
        <f>"F-Test"</f>
        <v>F-Test</v>
      </c>
      <c r="B23" t="str">
        <f>"1.031"</f>
        <v>1.031</v>
      </c>
      <c r="C23" t="str">
        <f>"999.000"</f>
        <v>999.000</v>
      </c>
      <c r="D23" t="str">
        <f>"999.000"</f>
        <v>999.000</v>
      </c>
      <c r="E23" t="str">
        <f>"999.000"</f>
        <v>999.000</v>
      </c>
      <c r="F23" t="str">
        <f t="shared" si="0"/>
        <v>999.000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A81DD-9B31-48A5-AAAE-D5A9F61E1FA9}">
  <dimension ref="A1:E16"/>
  <sheetViews>
    <sheetView workbookViewId="0">
      <selection activeCell="B10" sqref="B10"/>
    </sheetView>
  </sheetViews>
  <sheetFormatPr defaultRowHeight="14.4" x14ac:dyDescent="0.3"/>
  <cols>
    <col min="1" max="1" width="28.6640625" bestFit="1" customWidth="1"/>
  </cols>
  <sheetData>
    <row r="1" spans="1:5" x14ac:dyDescent="0.3">
      <c r="A1" t="str">
        <f>""</f>
        <v/>
      </c>
      <c r="B1" t="str">
        <f>"A"</f>
        <v>A</v>
      </c>
      <c r="C1" t="str">
        <f>""</f>
        <v/>
      </c>
      <c r="D1" t="str">
        <f>""</f>
        <v/>
      </c>
      <c r="E1" t="str">
        <f>""</f>
        <v/>
      </c>
    </row>
    <row r="2" spans="1:5" x14ac:dyDescent="0.3">
      <c r="A2" t="str">
        <f>""</f>
        <v/>
      </c>
      <c r="B2" t="str">
        <f>"All"</f>
        <v>All</v>
      </c>
      <c r="C2" t="str">
        <f>"Control"</f>
        <v>Control</v>
      </c>
      <c r="D2" t="str">
        <f>"Treatment"</f>
        <v>Treatment</v>
      </c>
      <c r="E2" t="str">
        <f>"Difference"</f>
        <v>Difference</v>
      </c>
    </row>
    <row r="3" spans="1:5" x14ac:dyDescent="0.3">
      <c r="A3" t="str">
        <f>"Use Well for Drinking"</f>
        <v>Use Well for Drinking</v>
      </c>
      <c r="B3" t="str">
        <f>"0.898"</f>
        <v>0.898</v>
      </c>
      <c r="C3" t="str">
        <f>"0.900"</f>
        <v>0.900</v>
      </c>
      <c r="D3" t="str">
        <f>"0.897"</f>
        <v>0.897</v>
      </c>
      <c r="E3" t="str">
        <f>"0.638"</f>
        <v>0.638</v>
      </c>
    </row>
    <row r="4" spans="1:5" x14ac:dyDescent="0.3">
      <c r="A4" t="str">
        <f>"Ever Tested Well"</f>
        <v>Ever Tested Well</v>
      </c>
      <c r="B4" t="str">
        <f>"0.776"</f>
        <v>0.776</v>
      </c>
      <c r="C4" t="str">
        <f>"0.773"</f>
        <v>0.773</v>
      </c>
      <c r="D4" t="str">
        <f>"0.779"</f>
        <v>0.779</v>
      </c>
      <c r="E4" t="str">
        <f>"0.499"</f>
        <v>0.499</v>
      </c>
    </row>
    <row r="5" spans="1:5" x14ac:dyDescent="0.3">
      <c r="A5" t="str">
        <f>"Tested Using GTC (Ever)"</f>
        <v>Tested Using GTC (Ever)</v>
      </c>
      <c r="B5" t="str">
        <f>"0.502"</f>
        <v>0.502</v>
      </c>
      <c r="C5" t="str">
        <f>"0.505"</f>
        <v>0.505</v>
      </c>
      <c r="D5" t="str">
        <f>"0.499"</f>
        <v>0.499</v>
      </c>
      <c r="E5" t="str">
        <f>"0.690"</f>
        <v>0.690</v>
      </c>
    </row>
    <row r="6" spans="1:5" x14ac:dyDescent="0.3">
      <c r="A6" t="str">
        <f>"Tested in Last Year"</f>
        <v>Tested in Last Year</v>
      </c>
      <c r="B6" t="str">
        <f>"0.089"</f>
        <v>0.089</v>
      </c>
      <c r="C6" t="str">
        <f>"0.090"</f>
        <v>0.090</v>
      </c>
      <c r="D6" t="str">
        <f>"0.087"</f>
        <v>0.087</v>
      </c>
      <c r="E6" t="str">
        <f>"0.656"</f>
        <v>0.656</v>
      </c>
    </row>
    <row r="7" spans="1:5" x14ac:dyDescent="0.3">
      <c r="A7" t="str">
        <f>"Uses Bottled Water"</f>
        <v>Uses Bottled Water</v>
      </c>
      <c r="B7" t="str">
        <f>"0.513"</f>
        <v>0.513</v>
      </c>
      <c r="C7" t="str">
        <f>"0.505"</f>
        <v>0.505</v>
      </c>
      <c r="D7" t="str">
        <f>"0.521"</f>
        <v>0.521</v>
      </c>
      <c r="E7" t="str">
        <f>"0.160"</f>
        <v>0.160</v>
      </c>
    </row>
    <row r="8" spans="1:5" x14ac:dyDescent="0.3">
      <c r="A8" t="str">
        <f>"Uses Water Cooler"</f>
        <v>Uses Water Cooler</v>
      </c>
      <c r="B8" t="str">
        <f>"0.061"</f>
        <v>0.061</v>
      </c>
      <c r="C8" t="str">
        <f>"0.061"</f>
        <v>0.061</v>
      </c>
      <c r="D8" t="str">
        <f>"0.060"</f>
        <v>0.060</v>
      </c>
      <c r="E8" t="str">
        <f>"0.906"</f>
        <v>0.906</v>
      </c>
    </row>
    <row r="9" spans="1:5" x14ac:dyDescent="0.3">
      <c r="A9" t="str">
        <f>"Filters Water (Any)"</f>
        <v>Filters Water (Any)</v>
      </c>
      <c r="B9" t="str">
        <f>"0.155"</f>
        <v>0.155</v>
      </c>
      <c r="C9" t="str">
        <f>"0.158"</f>
        <v>0.158</v>
      </c>
      <c r="D9" t="str">
        <f>"0.153"</f>
        <v>0.153</v>
      </c>
      <c r="E9" t="str">
        <f>"0.533"</f>
        <v>0.533</v>
      </c>
    </row>
    <row r="10" spans="1:5" x14ac:dyDescent="0.3">
      <c r="A10" t="str">
        <f>"Reverse Osmosis Filter"</f>
        <v>Reverse Osmosis Filter</v>
      </c>
      <c r="B10" t="str">
        <f>"0.095"</f>
        <v>0.095</v>
      </c>
      <c r="C10" t="str">
        <f>"0.101"</f>
        <v>0.101</v>
      </c>
      <c r="D10" t="str">
        <f>"0.090"</f>
        <v>0.090</v>
      </c>
      <c r="E10" t="str">
        <f>"0.072"</f>
        <v>0.072</v>
      </c>
    </row>
    <row r="11" spans="1:5" x14ac:dyDescent="0.3">
      <c r="A11" t="str">
        <f>"Any Averting (Any Filter)"</f>
        <v>Any Averting (Any Filter)</v>
      </c>
      <c r="B11" t="str">
        <f>"0.603"</f>
        <v>0.603</v>
      </c>
      <c r="C11" t="str">
        <f>"0.596"</f>
        <v>0.596</v>
      </c>
      <c r="D11" t="str">
        <f>"0.609"</f>
        <v>0.609</v>
      </c>
      <c r="E11" t="str">
        <f>"0.260"</f>
        <v>0.260</v>
      </c>
    </row>
    <row r="12" spans="1:5" x14ac:dyDescent="0.3">
      <c r="A12" t="str">
        <f>"Any Averting (RO Filter)"</f>
        <v>Any Averting (RO Filter)</v>
      </c>
      <c r="B12" t="str">
        <f>"0.586"</f>
        <v>0.586</v>
      </c>
      <c r="C12" t="str">
        <f>"0.581"</f>
        <v>0.581</v>
      </c>
      <c r="D12" t="str">
        <f>"0.590"</f>
        <v>0.590</v>
      </c>
      <c r="E12" t="str">
        <f>"0.434"</f>
        <v>0.434</v>
      </c>
    </row>
    <row r="13" spans="1:5" x14ac:dyDescent="0.3">
      <c r="A13" t="str">
        <f>"Rates Water Quality Good-Great"</f>
        <v>Rates Water Quality Good-Great</v>
      </c>
      <c r="B13" t="str">
        <f>"0.773"</f>
        <v>0.773</v>
      </c>
      <c r="C13" t="str">
        <f>"0.775"</f>
        <v>0.775</v>
      </c>
      <c r="D13" t="str">
        <f>"0.772"</f>
        <v>0.772</v>
      </c>
      <c r="E13" t="str">
        <f>"0.806"</f>
        <v>0.806</v>
      </c>
    </row>
    <row r="14" spans="1:5" x14ac:dyDescent="0.3">
      <c r="A14" t="str">
        <f>"Rates Water Quality Poor"</f>
        <v>Rates Water Quality Poor</v>
      </c>
      <c r="B14" t="str">
        <f>"0.073"</f>
        <v>0.073</v>
      </c>
      <c r="C14" t="str">
        <f>"0.075"</f>
        <v>0.075</v>
      </c>
      <c r="D14" t="str">
        <f>"0.071"</f>
        <v>0.071</v>
      </c>
      <c r="E14" t="str">
        <f>"0.547"</f>
        <v>0.547</v>
      </c>
    </row>
    <row r="15" spans="1:5" x14ac:dyDescent="0.3">
      <c r="A15" t="str">
        <f>"Perceives Local Nitrate Problem"</f>
        <v>Perceives Local Nitrate Problem</v>
      </c>
      <c r="B15" t="str">
        <f>"0.249"</f>
        <v>0.249</v>
      </c>
      <c r="C15" t="str">
        <f>"0.249"</f>
        <v>0.249</v>
      </c>
      <c r="D15" t="str">
        <f>"0.250"</f>
        <v>0.250</v>
      </c>
      <c r="E15" t="str">
        <f>"0.914"</f>
        <v>0.914</v>
      </c>
    </row>
    <row r="16" spans="1:5" x14ac:dyDescent="0.3">
      <c r="A16" t="str">
        <f>"Perceives State Nitrate Problem"</f>
        <v>Perceives State Nitrate Problem</v>
      </c>
      <c r="B16" t="str">
        <f>"0.340"</f>
        <v>0.340</v>
      </c>
      <c r="C16" t="str">
        <f>"0.339"</f>
        <v>0.339</v>
      </c>
      <c r="D16" t="str">
        <f>"0.342"</f>
        <v>0.342</v>
      </c>
      <c r="E16" t="str">
        <f>"0.754"</f>
        <v>0.754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FAC5F-4A81-4C09-92CA-B5C514F2D1F8}">
  <dimension ref="A1:E23"/>
  <sheetViews>
    <sheetView workbookViewId="0">
      <selection activeCell="C10" sqref="C10"/>
    </sheetView>
  </sheetViews>
  <sheetFormatPr defaultRowHeight="14.4" x14ac:dyDescent="0.3"/>
  <sheetData>
    <row r="1" spans="1:5" x14ac:dyDescent="0.3">
      <c r="A1" t="str">
        <f>"Testing Intent to Treat Effects - 1 Year"</f>
        <v>Testing Intent to Treat Effects - 1 Year</v>
      </c>
    </row>
    <row r="2" spans="1:5" x14ac:dyDescent="0.3">
      <c r="A2" t="str">
        <f>""</f>
        <v/>
      </c>
      <c r="B2" t="str">
        <f>"(1)"</f>
        <v>(1)</v>
      </c>
      <c r="C2" t="str">
        <f>"(2)"</f>
        <v>(2)</v>
      </c>
      <c r="D2" t="str">
        <f>"(3)"</f>
        <v>(3)</v>
      </c>
      <c r="E2" t="str">
        <f>"(4)"</f>
        <v>(4)</v>
      </c>
    </row>
    <row r="3" spans="1:5" x14ac:dyDescent="0.3">
      <c r="A3" t="str">
        <f>"Mailed Test Strip"</f>
        <v>Mailed Test Strip</v>
      </c>
      <c r="B3" t="str">
        <f>"0.240***"</f>
        <v>0.240***</v>
      </c>
      <c r="C3" t="str">
        <f>"0.240***"</f>
        <v>0.240***</v>
      </c>
      <c r="D3" t="str">
        <f>"0.242***"</f>
        <v>0.242***</v>
      </c>
      <c r="E3" t="str">
        <f>""</f>
        <v/>
      </c>
    </row>
    <row r="4" spans="1:5" x14ac:dyDescent="0.3">
      <c r="A4" t="str">
        <f>""</f>
        <v/>
      </c>
      <c r="B4" t="str">
        <f>"(0.013)"</f>
        <v>(0.013)</v>
      </c>
      <c r="C4" t="str">
        <f>"(0.013)"</f>
        <v>(0.013)</v>
      </c>
      <c r="D4" t="str">
        <f>"(0.013)"</f>
        <v>(0.013)</v>
      </c>
      <c r="E4" t="str">
        <f>""</f>
        <v/>
      </c>
    </row>
    <row r="5" spans="1:5" x14ac:dyDescent="0.3">
      <c r="A5" t="str">
        <f>"Baseline Testing"</f>
        <v>Baseline Testing</v>
      </c>
      <c r="B5" t="str">
        <f>""</f>
        <v/>
      </c>
      <c r="C5" t="str">
        <f>""</f>
        <v/>
      </c>
      <c r="D5" t="str">
        <f>"0.375***"</f>
        <v>0.375***</v>
      </c>
      <c r="E5" t="str">
        <f>""</f>
        <v/>
      </c>
    </row>
    <row r="6" spans="1:5" x14ac:dyDescent="0.3">
      <c r="A6" t="str">
        <f>""</f>
        <v/>
      </c>
      <c r="B6" t="str">
        <f>""</f>
        <v/>
      </c>
      <c r="C6" t="str">
        <f>""</f>
        <v/>
      </c>
      <c r="D6" t="str">
        <f>"(0.023)"</f>
        <v>(0.023)</v>
      </c>
      <c r="E6" t="str">
        <f>""</f>
        <v/>
      </c>
    </row>
    <row r="7" spans="1:5" x14ac:dyDescent="0.3">
      <c r="A7" t="str">
        <f>"Missing Baseline Testing"</f>
        <v>Missing Baseline Testing</v>
      </c>
      <c r="B7" t="str">
        <f>""</f>
        <v/>
      </c>
      <c r="C7" t="str">
        <f>""</f>
        <v/>
      </c>
      <c r="D7" t="str">
        <f>"-0.092**"</f>
        <v>-0.092**</v>
      </c>
      <c r="E7" t="str">
        <f>""</f>
        <v/>
      </c>
    </row>
    <row r="8" spans="1:5" x14ac:dyDescent="0.3">
      <c r="A8" t="str">
        <f>""</f>
        <v/>
      </c>
      <c r="B8" t="str">
        <f>""</f>
        <v/>
      </c>
      <c r="C8" t="str">
        <f>""</f>
        <v/>
      </c>
      <c r="D8" t="str">
        <f>"(0.039)"</f>
        <v>(0.039)</v>
      </c>
      <c r="E8" t="str">
        <f>""</f>
        <v/>
      </c>
    </row>
    <row r="9" spans="1:5" x14ac:dyDescent="0.3">
      <c r="A9" t="str">
        <f>"Round 1"</f>
        <v>Round 1</v>
      </c>
      <c r="B9" t="str">
        <f>""</f>
        <v/>
      </c>
      <c r="C9" t="str">
        <f>""</f>
        <v/>
      </c>
      <c r="D9" t="str">
        <f>""</f>
        <v/>
      </c>
      <c r="E9" t="str">
        <f>"0.188***"</f>
        <v>0.188***</v>
      </c>
    </row>
    <row r="10" spans="1:5" x14ac:dyDescent="0.3">
      <c r="A10" t="str">
        <f>""</f>
        <v/>
      </c>
      <c r="B10" t="str">
        <f>""</f>
        <v/>
      </c>
      <c r="C10" t="str">
        <f>""</f>
        <v/>
      </c>
      <c r="D10" t="str">
        <f>""</f>
        <v/>
      </c>
      <c r="E10" t="str">
        <f>"(0.013)"</f>
        <v>(0.013)</v>
      </c>
    </row>
    <row r="11" spans="1:5" x14ac:dyDescent="0.3">
      <c r="A11" t="str">
        <f>"Round 2"</f>
        <v>Round 2</v>
      </c>
      <c r="B11" t="str">
        <f>""</f>
        <v/>
      </c>
      <c r="C11" t="str">
        <f>""</f>
        <v/>
      </c>
      <c r="D11" t="str">
        <f>""</f>
        <v/>
      </c>
      <c r="E11" t="str">
        <f>"0.199***"</f>
        <v>0.199***</v>
      </c>
    </row>
    <row r="12" spans="1:5" x14ac:dyDescent="0.3">
      <c r="A12" t="str">
        <f>""</f>
        <v/>
      </c>
      <c r="B12" t="str">
        <f>""</f>
        <v/>
      </c>
      <c r="C12" t="str">
        <f>""</f>
        <v/>
      </c>
      <c r="D12" t="str">
        <f>""</f>
        <v/>
      </c>
      <c r="E12" t="str">
        <f>"(0.013)"</f>
        <v>(0.013)</v>
      </c>
    </row>
    <row r="13" spans="1:5" x14ac:dyDescent="0.3">
      <c r="A13" t="str">
        <f>"Mailed Test Strip (Round 1)"</f>
        <v>Mailed Test Strip (Round 1)</v>
      </c>
      <c r="B13" t="str">
        <f>""</f>
        <v/>
      </c>
      <c r="C13" t="str">
        <f>""</f>
        <v/>
      </c>
      <c r="D13" t="str">
        <f>""</f>
        <v/>
      </c>
      <c r="E13" t="str">
        <f>"0.239***"</f>
        <v>0.239***</v>
      </c>
    </row>
    <row r="14" spans="1:5" x14ac:dyDescent="0.3">
      <c r="A14" t="str">
        <f>""</f>
        <v/>
      </c>
      <c r="B14" t="str">
        <f>""</f>
        <v/>
      </c>
      <c r="C14" t="str">
        <f>""</f>
        <v/>
      </c>
      <c r="D14" t="str">
        <f>""</f>
        <v/>
      </c>
      <c r="E14" t="str">
        <f>"(0.019)"</f>
        <v>(0.019)</v>
      </c>
    </row>
    <row r="15" spans="1:5" x14ac:dyDescent="0.3">
      <c r="A15" t="str">
        <f>"Mailed Test Strip (Round 2)"</f>
        <v>Mailed Test Strip (Round 2)</v>
      </c>
      <c r="B15" t="str">
        <f>""</f>
        <v/>
      </c>
      <c r="C15" t="str">
        <f>""</f>
        <v/>
      </c>
      <c r="D15" t="str">
        <f>""</f>
        <v/>
      </c>
      <c r="E15" t="str">
        <f>"0.241***"</f>
        <v>0.241***</v>
      </c>
    </row>
    <row r="16" spans="1:5" x14ac:dyDescent="0.3">
      <c r="A16" t="str">
        <f>""</f>
        <v/>
      </c>
      <c r="B16" t="str">
        <f>""</f>
        <v/>
      </c>
      <c r="C16" t="str">
        <f>""</f>
        <v/>
      </c>
      <c r="D16" t="str">
        <f>""</f>
        <v/>
      </c>
      <c r="E16" t="str">
        <f>"(0.019)"</f>
        <v>(0.019)</v>
      </c>
    </row>
    <row r="17" spans="1:5" x14ac:dyDescent="0.3">
      <c r="A17" t="str">
        <f>"Constant"</f>
        <v>Constant</v>
      </c>
      <c r="B17" t="str">
        <f>"0.194***"</f>
        <v>0.194***</v>
      </c>
      <c r="C17" t="str">
        <f>"0.194***"</f>
        <v>0.194***</v>
      </c>
      <c r="D17" t="str">
        <f>"0.162***"</f>
        <v>0.162***</v>
      </c>
      <c r="E17" t="str">
        <f>""</f>
        <v/>
      </c>
    </row>
    <row r="18" spans="1:5" x14ac:dyDescent="0.3">
      <c r="A18" t="str">
        <f>""</f>
        <v/>
      </c>
      <c r="B18" t="str">
        <f>"(0.009)"</f>
        <v>(0.009)</v>
      </c>
      <c r="C18" t="str">
        <f>"(0.009)"</f>
        <v>(0.009)</v>
      </c>
      <c r="D18" t="str">
        <f>"(0.009)"</f>
        <v>(0.009)</v>
      </c>
      <c r="E18" t="str">
        <f>""</f>
        <v/>
      </c>
    </row>
    <row r="19" spans="1:5" x14ac:dyDescent="0.3">
      <c r="A19" t="str">
        <f>"Observations"</f>
        <v>Observations</v>
      </c>
      <c r="B19" t="str">
        <f>"4541"</f>
        <v>4541</v>
      </c>
      <c r="C19" t="str">
        <f>"4541"</f>
        <v>4541</v>
      </c>
      <c r="D19" t="str">
        <f>"4541"</f>
        <v>4541</v>
      </c>
      <c r="E19" t="str">
        <f>"4541"</f>
        <v>4541</v>
      </c>
    </row>
    <row r="20" spans="1:5" x14ac:dyDescent="0.3">
      <c r="A20" t="str">
        <f>"County FE"</f>
        <v>County FE</v>
      </c>
      <c r="B20" t="str">
        <f>"No"</f>
        <v>No</v>
      </c>
      <c r="C20" t="str">
        <f>"Yes"</f>
        <v>Yes</v>
      </c>
      <c r="D20" t="str">
        <f>"Yes"</f>
        <v>Yes</v>
      </c>
      <c r="E20" t="str">
        <f>"No"</f>
        <v>No</v>
      </c>
    </row>
    <row r="21" spans="1:5" x14ac:dyDescent="0.3">
      <c r="A21" t="str">
        <f>"MHT Corrected p-value"</f>
        <v>MHT Corrected p-value</v>
      </c>
      <c r="B21" t="str">
        <f>"0.0003"</f>
        <v>0.0003</v>
      </c>
      <c r="C21" t="str">
        <f>"0.0003"</f>
        <v>0.0003</v>
      </c>
      <c r="D21" t="str">
        <f>"0.0003"</f>
        <v>0.0003</v>
      </c>
      <c r="E21" t="str">
        <f>""</f>
        <v/>
      </c>
    </row>
    <row r="22" spans="1:5" x14ac:dyDescent="0.3">
      <c r="A22" t="str">
        <f>"MHT Round 1"</f>
        <v>MHT Round 1</v>
      </c>
      <c r="B22" t="str">
        <f>""</f>
        <v/>
      </c>
      <c r="C22" t="str">
        <f>""</f>
        <v/>
      </c>
      <c r="D22" t="str">
        <f>""</f>
        <v/>
      </c>
      <c r="E22" t="str">
        <f>"0.0003"</f>
        <v>0.0003</v>
      </c>
    </row>
    <row r="23" spans="1:5" x14ac:dyDescent="0.3">
      <c r="A23" t="str">
        <f>"MHT Round 2"</f>
        <v>MHT Round 2</v>
      </c>
      <c r="B23" t="str">
        <f>""</f>
        <v/>
      </c>
      <c r="C23" t="str">
        <f>""</f>
        <v/>
      </c>
      <c r="D23" t="str">
        <f>""</f>
        <v/>
      </c>
      <c r="E23" t="str">
        <f>"0.0003"</f>
        <v>0.0003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92500-0A16-4B8B-9204-1ACEDD6F6BBC}">
  <dimension ref="A1:E23"/>
  <sheetViews>
    <sheetView workbookViewId="0">
      <selection activeCell="C9" sqref="C9"/>
    </sheetView>
  </sheetViews>
  <sheetFormatPr defaultRowHeight="14.4" x14ac:dyDescent="0.3"/>
  <sheetData>
    <row r="1" spans="1:5" x14ac:dyDescent="0.3">
      <c r="A1" t="str">
        <f>"Testing Intent to Treat Effects - G2C"</f>
        <v>Testing Intent to Treat Effects - G2C</v>
      </c>
    </row>
    <row r="2" spans="1:5" x14ac:dyDescent="0.3">
      <c r="A2" t="str">
        <f>""</f>
        <v/>
      </c>
      <c r="B2" t="str">
        <f>"(1)"</f>
        <v>(1)</v>
      </c>
      <c r="C2" t="str">
        <f>"(2)"</f>
        <v>(2)</v>
      </c>
      <c r="D2" t="str">
        <f>"(3)"</f>
        <v>(3)</v>
      </c>
      <c r="E2" t="str">
        <f>"(4)"</f>
        <v>(4)</v>
      </c>
    </row>
    <row r="3" spans="1:5" x14ac:dyDescent="0.3">
      <c r="A3" t="str">
        <f>"Mailed Test Strip"</f>
        <v>Mailed Test Strip</v>
      </c>
      <c r="B3" t="str">
        <f>"0.031***"</f>
        <v>0.031***</v>
      </c>
      <c r="C3" t="str">
        <f>"0.031***"</f>
        <v>0.031***</v>
      </c>
      <c r="D3" t="str">
        <f>"0.032***"</f>
        <v>0.032***</v>
      </c>
      <c r="E3" t="str">
        <f>""</f>
        <v/>
      </c>
    </row>
    <row r="4" spans="1:5" x14ac:dyDescent="0.3">
      <c r="A4" t="str">
        <f>""</f>
        <v/>
      </c>
      <c r="B4" t="str">
        <f>"(0.009)"</f>
        <v>(0.009)</v>
      </c>
      <c r="C4" t="str">
        <f>"(0.009)"</f>
        <v>(0.009)</v>
      </c>
      <c r="D4" t="str">
        <f>"(0.009)"</f>
        <v>(0.009)</v>
      </c>
      <c r="E4" t="str">
        <f>""</f>
        <v/>
      </c>
    </row>
    <row r="5" spans="1:5" x14ac:dyDescent="0.3">
      <c r="A5" t="str">
        <f>"Last Water Test in Last Year"</f>
        <v>Last Water Test in Last Year</v>
      </c>
      <c r="B5" t="str">
        <f>""</f>
        <v/>
      </c>
      <c r="C5" t="str">
        <f>""</f>
        <v/>
      </c>
      <c r="D5" t="str">
        <f>"0.266***"</f>
        <v>0.266***</v>
      </c>
      <c r="E5" t="str">
        <f>""</f>
        <v/>
      </c>
    </row>
    <row r="6" spans="1:5" x14ac:dyDescent="0.3">
      <c r="A6" t="str">
        <f>""</f>
        <v/>
      </c>
      <c r="B6" t="str">
        <f>""</f>
        <v/>
      </c>
      <c r="C6" t="str">
        <f>""</f>
        <v/>
      </c>
      <c r="D6" t="str">
        <f>"(0.016)"</f>
        <v>(0.016)</v>
      </c>
      <c r="E6" t="str">
        <f>""</f>
        <v/>
      </c>
    </row>
    <row r="7" spans="1:5" x14ac:dyDescent="0.3">
      <c r="A7" t="str">
        <f>"missing_test_1year0"</f>
        <v>missing_test_1year0</v>
      </c>
      <c r="B7" t="str">
        <f>""</f>
        <v/>
      </c>
      <c r="C7" t="str">
        <f>""</f>
        <v/>
      </c>
      <c r="D7" t="str">
        <f>"-0.074***"</f>
        <v>-0.074***</v>
      </c>
      <c r="E7" t="str">
        <f>""</f>
        <v/>
      </c>
    </row>
    <row r="8" spans="1:5" x14ac:dyDescent="0.3">
      <c r="A8" t="str">
        <f>""</f>
        <v/>
      </c>
      <c r="B8" t="str">
        <f>""</f>
        <v/>
      </c>
      <c r="C8" t="str">
        <f>""</f>
        <v/>
      </c>
      <c r="D8" t="str">
        <f>"(0.028)"</f>
        <v>(0.028)</v>
      </c>
      <c r="E8" t="str">
        <f>""</f>
        <v/>
      </c>
    </row>
    <row r="9" spans="1:5" x14ac:dyDescent="0.3">
      <c r="A9" t="str">
        <f>"round1"</f>
        <v>round1</v>
      </c>
      <c r="B9" t="str">
        <f>""</f>
        <v/>
      </c>
      <c r="C9" t="str">
        <f>""</f>
        <v/>
      </c>
      <c r="D9" t="str">
        <f>""</f>
        <v/>
      </c>
      <c r="E9" t="str">
        <f>"0.101***"</f>
        <v>0.101***</v>
      </c>
    </row>
    <row r="10" spans="1:5" x14ac:dyDescent="0.3">
      <c r="A10" t="str">
        <f>""</f>
        <v/>
      </c>
      <c r="B10" t="str">
        <f>""</f>
        <v/>
      </c>
      <c r="C10" t="str">
        <f>""</f>
        <v/>
      </c>
      <c r="D10" t="str">
        <f>""</f>
        <v/>
      </c>
      <c r="E10" t="str">
        <f>"(0.009)"</f>
        <v>(0.009)</v>
      </c>
    </row>
    <row r="11" spans="1:5" x14ac:dyDescent="0.3">
      <c r="A11" t="str">
        <f>"round2"</f>
        <v>round2</v>
      </c>
      <c r="B11" t="str">
        <f>""</f>
        <v/>
      </c>
      <c r="C11" t="str">
        <f>""</f>
        <v/>
      </c>
      <c r="D11" t="str">
        <f>""</f>
        <v/>
      </c>
      <c r="E11" t="str">
        <f>"0.099***"</f>
        <v>0.099***</v>
      </c>
    </row>
    <row r="12" spans="1:5" x14ac:dyDescent="0.3">
      <c r="A12" t="str">
        <f>""</f>
        <v/>
      </c>
      <c r="B12" t="str">
        <f>""</f>
        <v/>
      </c>
      <c r="C12" t="str">
        <f>""</f>
        <v/>
      </c>
      <c r="D12" t="str">
        <f>""</f>
        <v/>
      </c>
      <c r="E12" t="str">
        <f>"(0.009)"</f>
        <v>(0.009)</v>
      </c>
    </row>
    <row r="13" spans="1:5" x14ac:dyDescent="0.3">
      <c r="A13" t="str">
        <f>"treatr1"</f>
        <v>treatr1</v>
      </c>
      <c r="B13" t="str">
        <f>""</f>
        <v/>
      </c>
      <c r="C13" t="str">
        <f>""</f>
        <v/>
      </c>
      <c r="D13" t="str">
        <f>""</f>
        <v/>
      </c>
      <c r="E13" t="str">
        <f>"0.043***"</f>
        <v>0.043***</v>
      </c>
    </row>
    <row r="14" spans="1:5" x14ac:dyDescent="0.3">
      <c r="A14" t="str">
        <f>""</f>
        <v/>
      </c>
      <c r="B14" t="str">
        <f>""</f>
        <v/>
      </c>
      <c r="C14" t="str">
        <f>""</f>
        <v/>
      </c>
      <c r="D14" t="str">
        <f>""</f>
        <v/>
      </c>
      <c r="E14" t="str">
        <f>"(0.013)"</f>
        <v>(0.013)</v>
      </c>
    </row>
    <row r="15" spans="1:5" x14ac:dyDescent="0.3">
      <c r="A15" t="str">
        <f>"treatr2"</f>
        <v>treatr2</v>
      </c>
      <c r="B15" t="str">
        <f>""</f>
        <v/>
      </c>
      <c r="C15" t="str">
        <f>""</f>
        <v/>
      </c>
      <c r="D15" t="str">
        <f>""</f>
        <v/>
      </c>
      <c r="E15" t="str">
        <f>"0.019"</f>
        <v>0.019</v>
      </c>
    </row>
    <row r="16" spans="1:5" x14ac:dyDescent="0.3">
      <c r="A16" t="str">
        <f>""</f>
        <v/>
      </c>
      <c r="B16" t="str">
        <f>""</f>
        <v/>
      </c>
      <c r="C16" t="str">
        <f>""</f>
        <v/>
      </c>
      <c r="D16" t="str">
        <f>""</f>
        <v/>
      </c>
      <c r="E16" t="str">
        <f>"(0.013)"</f>
        <v>(0.013)</v>
      </c>
    </row>
    <row r="17" spans="1:5" x14ac:dyDescent="0.3">
      <c r="A17" t="str">
        <f>"Constant"</f>
        <v>Constant</v>
      </c>
      <c r="B17" t="str">
        <f>"0.100***"</f>
        <v>0.100***</v>
      </c>
      <c r="C17" t="str">
        <f>"0.100***"</f>
        <v>0.100***</v>
      </c>
      <c r="D17" t="str">
        <f>"0.078***"</f>
        <v>0.078***</v>
      </c>
      <c r="E17" t="str">
        <f>""</f>
        <v/>
      </c>
    </row>
    <row r="18" spans="1:5" x14ac:dyDescent="0.3">
      <c r="A18" t="str">
        <f>""</f>
        <v/>
      </c>
      <c r="B18" t="str">
        <f>"(0.007)"</f>
        <v>(0.007)</v>
      </c>
      <c r="C18" t="str">
        <f>"(0.007)"</f>
        <v>(0.007)</v>
      </c>
      <c r="D18" t="str">
        <f>"(0.007)"</f>
        <v>(0.007)</v>
      </c>
      <c r="E18" t="str">
        <f>""</f>
        <v/>
      </c>
    </row>
    <row r="19" spans="1:5" x14ac:dyDescent="0.3">
      <c r="A19" t="str">
        <f>"Observations"</f>
        <v>Observations</v>
      </c>
      <c r="B19" t="str">
        <f>"4541"</f>
        <v>4541</v>
      </c>
      <c r="C19" t="str">
        <f>"4541"</f>
        <v>4541</v>
      </c>
      <c r="D19" t="str">
        <f>"4541"</f>
        <v>4541</v>
      </c>
      <c r="E19" t="str">
        <f>"4541"</f>
        <v>4541</v>
      </c>
    </row>
    <row r="20" spans="1:5" x14ac:dyDescent="0.3">
      <c r="A20" t="str">
        <f>"County FE"</f>
        <v>County FE</v>
      </c>
      <c r="B20" t="str">
        <f>"No"</f>
        <v>No</v>
      </c>
      <c r="C20" t="str">
        <f>"Yes"</f>
        <v>Yes</v>
      </c>
      <c r="D20" t="str">
        <f>"Yes"</f>
        <v>Yes</v>
      </c>
      <c r="E20" t="str">
        <f>"No"</f>
        <v>No</v>
      </c>
    </row>
    <row r="21" spans="1:5" x14ac:dyDescent="0.3">
      <c r="A21" t="str">
        <f>"MHT Corrected p-value"</f>
        <v>MHT Corrected p-value</v>
      </c>
      <c r="B21" t="str">
        <f>"0.0017"</f>
        <v>0.0017</v>
      </c>
      <c r="C21" t="str">
        <f>"0.0013"</f>
        <v>0.0013</v>
      </c>
      <c r="D21" t="str">
        <f>"0.0007"</f>
        <v>0.0007</v>
      </c>
      <c r="E21" t="str">
        <f>""</f>
        <v/>
      </c>
    </row>
    <row r="22" spans="1:5" x14ac:dyDescent="0.3">
      <c r="A22" t="str">
        <f>"MHT Round 1"</f>
        <v>MHT Round 1</v>
      </c>
      <c r="B22" t="str">
        <f>""</f>
        <v/>
      </c>
      <c r="C22" t="str">
        <f>""</f>
        <v/>
      </c>
      <c r="D22" t="str">
        <f>""</f>
        <v/>
      </c>
      <c r="E22" t="str">
        <f>"0.0020"</f>
        <v>0.0020</v>
      </c>
    </row>
    <row r="23" spans="1:5" x14ac:dyDescent="0.3">
      <c r="A23" t="str">
        <f>"MHT Round 2"</f>
        <v>MHT Round 2</v>
      </c>
      <c r="B23" t="str">
        <f>""</f>
        <v/>
      </c>
      <c r="C23" t="str">
        <f>""</f>
        <v/>
      </c>
      <c r="D23" t="str">
        <f>""</f>
        <v/>
      </c>
      <c r="E23" t="str">
        <f>"0.1593"</f>
        <v>0.1593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7C3DC-B240-453C-819D-CF832BFE6DCE}">
  <dimension ref="A1:F18"/>
  <sheetViews>
    <sheetView workbookViewId="0">
      <selection sqref="A1:F18"/>
    </sheetView>
  </sheetViews>
  <sheetFormatPr defaultRowHeight="14.4" x14ac:dyDescent="0.3"/>
  <sheetData>
    <row r="1" spans="1:6" x14ac:dyDescent="0.3">
      <c r="A1" t="str">
        <f>"Willingness to Pay"</f>
        <v>Willingness to Pay</v>
      </c>
    </row>
    <row r="2" spans="1:6" x14ac:dyDescent="0.3">
      <c r="A2" t="str">
        <f>""</f>
        <v/>
      </c>
      <c r="B2" t="str">
        <f>"(1)"</f>
        <v>(1)</v>
      </c>
      <c r="C2" t="str">
        <f>"(2)"</f>
        <v>(2)</v>
      </c>
      <c r="D2" t="str">
        <f>"(3)"</f>
        <v>(3)</v>
      </c>
      <c r="E2" t="str">
        <f>"(4)"</f>
        <v>(4)</v>
      </c>
      <c r="F2" t="str">
        <f>"(5)"</f>
        <v>(5)</v>
      </c>
    </row>
    <row r="3" spans="1:6" x14ac:dyDescent="0.3">
      <c r="A3" t="str">
        <f>"descr"</f>
        <v>descr</v>
      </c>
      <c r="B3" t="str">
        <f>""</f>
        <v/>
      </c>
      <c r="C3" t="str">
        <f>""</f>
        <v/>
      </c>
      <c r="D3" t="str">
        <f>""</f>
        <v/>
      </c>
      <c r="E3" t="str">
        <f>""</f>
        <v/>
      </c>
      <c r="F3" t="str">
        <f>""</f>
        <v/>
      </c>
    </row>
    <row r="4" spans="1:6" x14ac:dyDescent="0.3">
      <c r="A4" t="str">
        <f>"Chose Strip"</f>
        <v>Chose Strip</v>
      </c>
      <c r="B4" t="str">
        <f>"1.047***"</f>
        <v>1.047***</v>
      </c>
      <c r="C4" t="str">
        <f>"1.603***"</f>
        <v>1.603***</v>
      </c>
      <c r="D4" t="str">
        <f>"2.605***"</f>
        <v>2.605***</v>
      </c>
      <c r="E4" t="str">
        <f>"1.560***"</f>
        <v>1.560***</v>
      </c>
      <c r="F4" t="str">
        <f>"1.919***"</f>
        <v>1.919***</v>
      </c>
    </row>
    <row r="5" spans="1:6" x14ac:dyDescent="0.3">
      <c r="A5" t="str">
        <f>""</f>
        <v/>
      </c>
      <c r="B5" t="str">
        <f>"(0.097)"</f>
        <v>(0.097)</v>
      </c>
      <c r="C5" t="str">
        <f>"(0.143)"</f>
        <v>(0.143)</v>
      </c>
      <c r="D5" t="str">
        <f>"(0.427)"</f>
        <v>(0.427)</v>
      </c>
      <c r="E5" t="str">
        <f>"(0.320)"</f>
        <v>(0.320)</v>
      </c>
      <c r="F5" t="str">
        <f>"(0.300)"</f>
        <v>(0.300)</v>
      </c>
    </row>
    <row r="6" spans="1:6" x14ac:dyDescent="0.3">
      <c r="A6" t="str">
        <f>"Bid"</f>
        <v>Bid</v>
      </c>
      <c r="B6" t="str">
        <f>"0.050***"</f>
        <v>0.050***</v>
      </c>
      <c r="C6" t="str">
        <f>"0.096***"</f>
        <v>0.096***</v>
      </c>
      <c r="D6" t="str">
        <f>"0.105***"</f>
        <v>0.105***</v>
      </c>
      <c r="E6" t="str">
        <f>"0.101***"</f>
        <v>0.101***</v>
      </c>
      <c r="F6" t="str">
        <f>"0.096***"</f>
        <v>0.096***</v>
      </c>
    </row>
    <row r="7" spans="1:6" x14ac:dyDescent="0.3">
      <c r="A7" t="str">
        <f>""</f>
        <v/>
      </c>
      <c r="B7" t="str">
        <f>"(0.014)"</f>
        <v>(0.014)</v>
      </c>
      <c r="C7" t="str">
        <f>"(0.017)"</f>
        <v>(0.017)</v>
      </c>
      <c r="D7" t="str">
        <f>"(0.018)"</f>
        <v>(0.018)</v>
      </c>
      <c r="E7" t="str">
        <f>"(0.017)"</f>
        <v>(0.017)</v>
      </c>
      <c r="F7" t="str">
        <f>"(0.017)"</f>
        <v>(0.017)</v>
      </c>
    </row>
    <row r="8" spans="1:6" x14ac:dyDescent="0.3">
      <c r="A8" t="str">
        <f>"strip"</f>
        <v>strip</v>
      </c>
      <c r="B8" t="str">
        <f>""</f>
        <v/>
      </c>
      <c r="C8" t="str">
        <f>""</f>
        <v/>
      </c>
      <c r="D8" t="str">
        <f>""</f>
        <v/>
      </c>
      <c r="E8" t="str">
        <f>""</f>
        <v/>
      </c>
      <c r="F8" t="str">
        <f>""</f>
        <v/>
      </c>
    </row>
    <row r="9" spans="1:6" x14ac:dyDescent="0.3">
      <c r="A9" t="str">
        <f>"Mailed Test Strip"</f>
        <v>Mailed Test Strip</v>
      </c>
      <c r="B9" t="str">
        <f>""</f>
        <v/>
      </c>
      <c r="C9" t="str">
        <f>"-0.600***"</f>
        <v>-0.600***</v>
      </c>
      <c r="D9" t="str">
        <f>"-0.639***"</f>
        <v>-0.639***</v>
      </c>
      <c r="E9" t="str">
        <f>"-0.603***"</f>
        <v>-0.603***</v>
      </c>
      <c r="F9" t="str">
        <f>"-0.589***"</f>
        <v>-0.589***</v>
      </c>
    </row>
    <row r="10" spans="1:6" x14ac:dyDescent="0.3">
      <c r="A10" t="str">
        <f>""</f>
        <v/>
      </c>
      <c r="B10" t="str">
        <f>""</f>
        <v/>
      </c>
      <c r="C10" t="str">
        <f>"(0.111)"</f>
        <v>(0.111)</v>
      </c>
      <c r="D10" t="str">
        <f>"(0.123)"</f>
        <v>(0.123)</v>
      </c>
      <c r="E10" t="str">
        <f>"(0.112)"</f>
        <v>(0.112)</v>
      </c>
      <c r="F10" t="str">
        <f>"(0.113)"</f>
        <v>(0.113)</v>
      </c>
    </row>
    <row r="11" spans="1:6" x14ac:dyDescent="0.3">
      <c r="A11" t="str">
        <f>"Observations"</f>
        <v>Observations</v>
      </c>
      <c r="B11" t="str">
        <f>"4232"</f>
        <v>4232</v>
      </c>
      <c r="C11" t="str">
        <f>"4232"</f>
        <v>4232</v>
      </c>
      <c r="D11" t="str">
        <f>"3508"</f>
        <v>3508</v>
      </c>
      <c r="E11" t="str">
        <f>"4132"</f>
        <v>4132</v>
      </c>
      <c r="F11" t="str">
        <f>"4148"</f>
        <v>4148</v>
      </c>
    </row>
    <row r="12" spans="1:6" x14ac:dyDescent="0.3">
      <c r="A12" t="str">
        <f>"WTP"</f>
        <v>WTP</v>
      </c>
      <c r="B12" t="str">
        <f>"21.10"</f>
        <v>21.10</v>
      </c>
      <c r="C12" t="str">
        <f>"13.76"</f>
        <v>13.76</v>
      </c>
      <c r="D12" t="str">
        <f>"13.37"</f>
        <v>13.37</v>
      </c>
      <c r="E12" t="str">
        <f>"13.40"</f>
        <v>13.40</v>
      </c>
      <c r="F12" t="str">
        <f>"13.97"</f>
        <v>13.97</v>
      </c>
    </row>
    <row r="13" spans="1:6" x14ac:dyDescent="0.3">
      <c r="A13" t="str">
        <f>"WTP Control"</f>
        <v>WTP Control</v>
      </c>
      <c r="B13" t="str">
        <f>""</f>
        <v/>
      </c>
      <c r="C13" t="str">
        <f>"16.64"</f>
        <v>16.64</v>
      </c>
      <c r="D13" t="str">
        <f>"16.19"</f>
        <v>16.19</v>
      </c>
      <c r="E13" t="str">
        <f>"16.17"</f>
        <v>16.17</v>
      </c>
      <c r="F13" t="str">
        <f>"16.82"</f>
        <v>16.82</v>
      </c>
    </row>
    <row r="14" spans="1:6" x14ac:dyDescent="0.3">
      <c r="A14" t="str">
        <f>"WTP Treated"</f>
        <v>WTP Treated</v>
      </c>
      <c r="B14" t="str">
        <f>""</f>
        <v/>
      </c>
      <c r="C14" t="str">
        <f>"10.41"</f>
        <v>10.41</v>
      </c>
      <c r="D14" t="str">
        <f>"10.11"</f>
        <v>10.11</v>
      </c>
      <c r="E14" t="str">
        <f>"10.20"</f>
        <v>10.20</v>
      </c>
      <c r="F14" t="str">
        <f>"10.67"</f>
        <v>10.67</v>
      </c>
    </row>
    <row r="15" spans="1:6" x14ac:dyDescent="0.3">
      <c r="A15" t="str">
        <f>"H0: WTP=5"</f>
        <v>H0: WTP=5</v>
      </c>
      <c r="B15" t="str">
        <f>"0.00"</f>
        <v>0.00</v>
      </c>
      <c r="C15" t="str">
        <f>"0.00"</f>
        <v>0.00</v>
      </c>
      <c r="D15" t="str">
        <f>"0.00"</f>
        <v>0.00</v>
      </c>
      <c r="E15" t="str">
        <f>"0.00"</f>
        <v>0.00</v>
      </c>
      <c r="F15" t="str">
        <f>"0.00"</f>
        <v>0.00</v>
      </c>
    </row>
    <row r="16" spans="1:6" x14ac:dyDescent="0.3">
      <c r="A16" t="str">
        <f>"Demographic Interactions"</f>
        <v>Demographic Interactions</v>
      </c>
      <c r="B16" t="str">
        <f t="shared" ref="B16:C18" si="0">"No"</f>
        <v>No</v>
      </c>
      <c r="C16" t="str">
        <f t="shared" si="0"/>
        <v>No</v>
      </c>
      <c r="D16" t="str">
        <f>"Yes"</f>
        <v>Yes</v>
      </c>
      <c r="E16" t="str">
        <f>"No"</f>
        <v>No</v>
      </c>
      <c r="F16" t="str">
        <f>"No"</f>
        <v>No</v>
      </c>
    </row>
    <row r="17" spans="1:6" x14ac:dyDescent="0.3">
      <c r="A17" t="str">
        <f>"Well Characteristic Interactions"</f>
        <v>Well Characteristic Interactions</v>
      </c>
      <c r="B17" t="str">
        <f t="shared" si="0"/>
        <v>No</v>
      </c>
      <c r="C17" t="str">
        <f t="shared" si="0"/>
        <v>No</v>
      </c>
      <c r="D17" t="str">
        <f>"No"</f>
        <v>No</v>
      </c>
      <c r="E17" t="str">
        <f>"Yes"</f>
        <v>Yes</v>
      </c>
      <c r="F17" t="str">
        <f>"No"</f>
        <v>No</v>
      </c>
    </row>
    <row r="18" spans="1:6" x14ac:dyDescent="0.3">
      <c r="A18" t="str">
        <f>"Perception Interactions"</f>
        <v>Perception Interactions</v>
      </c>
      <c r="B18" t="str">
        <f t="shared" si="0"/>
        <v>No</v>
      </c>
      <c r="C18" t="str">
        <f t="shared" si="0"/>
        <v>No</v>
      </c>
      <c r="D18" t="str">
        <f>"No"</f>
        <v>No</v>
      </c>
      <c r="E18" t="str">
        <f>"No"</f>
        <v>No</v>
      </c>
      <c r="F18" t="str">
        <f>"Yes"</f>
        <v>Yes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table-1-clean</vt:lpstr>
      <vt:lpstr>table-2-clean</vt:lpstr>
      <vt:lpstr>table-3-clean</vt:lpstr>
      <vt:lpstr>table-4-clean</vt:lpstr>
      <vt:lpstr>table-1-raw</vt:lpstr>
      <vt:lpstr>table-2-raw</vt:lpstr>
      <vt:lpstr>table-3a-raw</vt:lpstr>
      <vt:lpstr>table-3b-raw</vt:lpstr>
      <vt:lpstr>table-4-raw</vt:lpstr>
      <vt:lpstr>table-s1-clean</vt:lpstr>
      <vt:lpstr>table-s2-clean</vt:lpstr>
      <vt:lpstr>table-s3-clean</vt:lpstr>
      <vt:lpstr>table-s4-clean</vt:lpstr>
      <vt:lpstr>table-s5-clean</vt:lpstr>
      <vt:lpstr>table-s6-clean</vt:lpstr>
      <vt:lpstr>table-s7-clean</vt:lpstr>
      <vt:lpstr>table-s8-clean</vt:lpstr>
      <vt:lpstr>table-s1-raw</vt:lpstr>
      <vt:lpstr>table-s2-raw</vt:lpstr>
      <vt:lpstr>table-s3-raw</vt:lpstr>
      <vt:lpstr>table-s4a-raw</vt:lpstr>
      <vt:lpstr>table-s4b-raw</vt:lpstr>
      <vt:lpstr>table-s5a-raw</vt:lpstr>
      <vt:lpstr>table-s5b-raw</vt:lpstr>
      <vt:lpstr>table-s6a-raw</vt:lpstr>
      <vt:lpstr>table-s6b-raw</vt:lpstr>
      <vt:lpstr>table-s7-raw</vt:lpstr>
      <vt:lpstr>table-s8-raw</vt:lpstr>
    </vt:vector>
  </TitlesOfParts>
  <Company>Macalester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Lade</dc:creator>
  <cp:lastModifiedBy>Gabriel Lade</cp:lastModifiedBy>
  <dcterms:created xsi:type="dcterms:W3CDTF">2023-05-19T15:25:02Z</dcterms:created>
  <dcterms:modified xsi:type="dcterms:W3CDTF">2024-05-25T15:40:14Z</dcterms:modified>
</cp:coreProperties>
</file>