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5.xml" ContentType="application/vnd.openxmlformats-officedocument.spreadsheetml.pivot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Vyral\Downloads\CaptivateIQ Homework\"/>
    </mc:Choice>
  </mc:AlternateContent>
  <xr:revisionPtr revIDLastSave="0" documentId="13_ncr:1_{FDAC0611-AA3D-4E06-BAAE-69CA4930986F}" xr6:coauthVersionLast="47" xr6:coauthVersionMax="47" xr10:uidLastSave="{00000000-0000-0000-0000-000000000000}"/>
  <bookViews>
    <workbookView xWindow="-120" yWindow="-120" windowWidth="38640" windowHeight="21240" xr2:uid="{00000000-000D-0000-FFFF-FFFF00000000}"/>
  </bookViews>
  <sheets>
    <sheet name="Summary Data(Exercise)" sheetId="4" r:id="rId1"/>
    <sheet name="Q1 Commission Detail " sheetId="7" r:id="rId2"/>
    <sheet name="Q2 Commission Detail" sheetId="8" r:id="rId3"/>
    <sheet name="Pivot Data" sheetId="3" r:id="rId4"/>
    <sheet name="Deal Data" sheetId="1" r:id="rId5"/>
    <sheet name="Reference Data" sheetId="2" r:id="rId6"/>
  </sheets>
  <definedNames>
    <definedName name="_xlnm._FilterDatabase" localSheetId="4" hidden="1">'Deal Data'!$A$1:$I$117</definedName>
    <definedName name="_xlcn.WorksheetConnection_CaptivateIQExerciseData202201.xlsxDeal_Data1" hidden="1">Deal_Data[]</definedName>
    <definedName name="_xlcn.WorksheetConnection_CaptivateIQExerciseData202201Solved.xlsxQ1_Comm_Detail1" hidden="1">Q1_Comm_Detail[]</definedName>
    <definedName name="_xlcn.WorksheetConnection_CaptivateIQExerciseData202201Solved.xlsxQ2_Comm_Detail1" hidden="1">Q2_Comm_Detail[]</definedName>
    <definedName name="ExternalData_1" localSheetId="1" hidden="1">'Q1 Commission Detail '!$A$3:$M$77</definedName>
    <definedName name="ExternalData_1" localSheetId="2" hidden="1">'Q2 Commission Detail'!$A$3:$M$45</definedName>
    <definedName name="Slicer_Attainment_Quarter">#N/A</definedName>
    <definedName name="Slicer_Owner_Name">#N/A</definedName>
    <definedName name="Slicer_Payment_Quarter">#N/A</definedName>
  </definedNames>
  <calcPr calcId="191029"/>
  <pivotCaches>
    <pivotCache cacheId="40" r:id="rId7"/>
    <pivotCache cacheId="116" r:id="rId8"/>
    <pivotCache cacheId="117" r:id="rId9"/>
    <pivotCache cacheId="132" r:id="rId10"/>
    <pivotCache cacheId="13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eal_Data" name="Deal_Data" connection="WorksheetConnection_CaptivateIQ - Exercise Data (2022-01).xlsx!Deal_Data"/>
          <x15:modelTable id="Q1_Comm_Detail" name="Q1_Comm_Detail" connection="WorksheetConnection_CaptivateIQ - Exercise Data (2022-01) Solved.xlsx!Q1_Comm_Detail"/>
          <x15:modelTable id="Q2_Comm_Detail" name="Q2_Comm_Detail" connection="WorksheetConnection_CaptivateIQ - Exercise Data (2022-01) Solved.xlsx!Q2_Comm_Detail"/>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4" i="8" l="1"/>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M5" i="8"/>
  <c r="N5" i="8" s="1"/>
  <c r="M6" i="8"/>
  <c r="N6" i="8" s="1"/>
  <c r="M7" i="8"/>
  <c r="N7" i="8" s="1"/>
  <c r="M8" i="8"/>
  <c r="N8" i="8" s="1"/>
  <c r="M9" i="8"/>
  <c r="N9" i="8" s="1"/>
  <c r="M10" i="8"/>
  <c r="N10" i="8" s="1"/>
  <c r="M11" i="8"/>
  <c r="N11" i="8" s="1"/>
  <c r="M12" i="8"/>
  <c r="N12" i="8" s="1"/>
  <c r="M13" i="8"/>
  <c r="N13" i="8" s="1"/>
  <c r="M14" i="8"/>
  <c r="N14" i="8" s="1"/>
  <c r="M15" i="8"/>
  <c r="N15" i="8" s="1"/>
  <c r="M16" i="8"/>
  <c r="N16" i="8" s="1"/>
  <c r="M17" i="8"/>
  <c r="N17" i="8" s="1"/>
  <c r="M18" i="8"/>
  <c r="N18" i="8" s="1"/>
  <c r="M19" i="8"/>
  <c r="N19" i="8" s="1"/>
  <c r="M20" i="8"/>
  <c r="N20" i="8" s="1"/>
  <c r="M21" i="8"/>
  <c r="N21" i="8" s="1"/>
  <c r="M22" i="8"/>
  <c r="N22" i="8" s="1"/>
  <c r="M23" i="8"/>
  <c r="N23" i="8" s="1"/>
  <c r="M24" i="8"/>
  <c r="N24" i="8" s="1"/>
  <c r="M25" i="8"/>
  <c r="N25" i="8" s="1"/>
  <c r="M26" i="8"/>
  <c r="N26" i="8" s="1"/>
  <c r="M27" i="8"/>
  <c r="N27" i="8" s="1"/>
  <c r="M28" i="8"/>
  <c r="N28" i="8" s="1"/>
  <c r="M29" i="8"/>
  <c r="N29" i="8" s="1"/>
  <c r="M30" i="8"/>
  <c r="N30" i="8" s="1"/>
  <c r="M31" i="8"/>
  <c r="N31" i="8" s="1"/>
  <c r="M32" i="8"/>
  <c r="N32" i="8" s="1"/>
  <c r="M33" i="8"/>
  <c r="N33" i="8" s="1"/>
  <c r="M34" i="8"/>
  <c r="N34" i="8" s="1"/>
  <c r="M35" i="8"/>
  <c r="N35" i="8" s="1"/>
  <c r="M36" i="8"/>
  <c r="N36" i="8" s="1"/>
  <c r="M37" i="8"/>
  <c r="N37" i="8" s="1"/>
  <c r="M38" i="8"/>
  <c r="N38" i="8" s="1"/>
  <c r="M39" i="8"/>
  <c r="N39" i="8" s="1"/>
  <c r="M40" i="8"/>
  <c r="N40" i="8" s="1"/>
  <c r="M41" i="8"/>
  <c r="N41" i="8" s="1"/>
  <c r="M42" i="8"/>
  <c r="N42" i="8" s="1"/>
  <c r="M43" i="8"/>
  <c r="N43" i="8" s="1"/>
  <c r="M44" i="8"/>
  <c r="N44" i="8" s="1"/>
  <c r="M45" i="8"/>
  <c r="N45" i="8" s="1"/>
  <c r="M4" i="8"/>
  <c r="N4" i="8" s="1"/>
  <c r="N19" i="7"/>
  <c r="N35" i="7"/>
  <c r="N51" i="7"/>
  <c r="N67" i="7"/>
  <c r="M18" i="7"/>
  <c r="N18" i="7" s="1"/>
  <c r="M19" i="7"/>
  <c r="M20" i="7"/>
  <c r="N20" i="7" s="1"/>
  <c r="M21" i="7"/>
  <c r="N21" i="7" s="1"/>
  <c r="M22" i="7"/>
  <c r="N22" i="7" s="1"/>
  <c r="M23" i="7"/>
  <c r="N23" i="7" s="1"/>
  <c r="M24" i="7"/>
  <c r="N24" i="7" s="1"/>
  <c r="M25" i="7"/>
  <c r="N25" i="7" s="1"/>
  <c r="M26" i="7"/>
  <c r="N26" i="7" s="1"/>
  <c r="M27" i="7"/>
  <c r="N27" i="7" s="1"/>
  <c r="M28" i="7"/>
  <c r="N28" i="7" s="1"/>
  <c r="M29" i="7"/>
  <c r="N29" i="7" s="1"/>
  <c r="M30" i="7"/>
  <c r="N30" i="7" s="1"/>
  <c r="M31" i="7"/>
  <c r="N31" i="7" s="1"/>
  <c r="M32" i="7"/>
  <c r="N32" i="7" s="1"/>
  <c r="M33" i="7"/>
  <c r="N33" i="7" s="1"/>
  <c r="M34" i="7"/>
  <c r="N34" i="7" s="1"/>
  <c r="M35" i="7"/>
  <c r="M36" i="7"/>
  <c r="N36" i="7" s="1"/>
  <c r="M37" i="7"/>
  <c r="N37" i="7" s="1"/>
  <c r="M38" i="7"/>
  <c r="N38" i="7" s="1"/>
  <c r="M39" i="7"/>
  <c r="N39" i="7" s="1"/>
  <c r="M40" i="7"/>
  <c r="N40" i="7" s="1"/>
  <c r="M41" i="7"/>
  <c r="N41" i="7" s="1"/>
  <c r="M42" i="7"/>
  <c r="N42" i="7" s="1"/>
  <c r="M43" i="7"/>
  <c r="N43" i="7" s="1"/>
  <c r="M44" i="7"/>
  <c r="N44" i="7" s="1"/>
  <c r="M45" i="7"/>
  <c r="N45" i="7" s="1"/>
  <c r="M46" i="7"/>
  <c r="N46" i="7" s="1"/>
  <c r="M47" i="7"/>
  <c r="N47" i="7" s="1"/>
  <c r="M48" i="7"/>
  <c r="N48" i="7" s="1"/>
  <c r="M49" i="7"/>
  <c r="N49" i="7" s="1"/>
  <c r="M50" i="7"/>
  <c r="N50" i="7" s="1"/>
  <c r="M51" i="7"/>
  <c r="M52" i="7"/>
  <c r="N52" i="7" s="1"/>
  <c r="M53" i="7"/>
  <c r="N53" i="7" s="1"/>
  <c r="M54" i="7"/>
  <c r="N54" i="7" s="1"/>
  <c r="M55" i="7"/>
  <c r="N55" i="7" s="1"/>
  <c r="M56" i="7"/>
  <c r="N56" i="7" s="1"/>
  <c r="M57" i="7"/>
  <c r="N57" i="7" s="1"/>
  <c r="M58" i="7"/>
  <c r="N58" i="7" s="1"/>
  <c r="M59" i="7"/>
  <c r="N59" i="7" s="1"/>
  <c r="M60" i="7"/>
  <c r="N60" i="7" s="1"/>
  <c r="M61" i="7"/>
  <c r="N61" i="7" s="1"/>
  <c r="M62" i="7"/>
  <c r="N62" i="7" s="1"/>
  <c r="M63" i="7"/>
  <c r="N63" i="7" s="1"/>
  <c r="M64" i="7"/>
  <c r="N64" i="7" s="1"/>
  <c r="M65" i="7"/>
  <c r="N65" i="7" s="1"/>
  <c r="M66" i="7"/>
  <c r="N66" i="7" s="1"/>
  <c r="M67" i="7"/>
  <c r="M68" i="7"/>
  <c r="N68" i="7" s="1"/>
  <c r="M69" i="7"/>
  <c r="N69" i="7" s="1"/>
  <c r="M70" i="7"/>
  <c r="N70" i="7" s="1"/>
  <c r="M71" i="7"/>
  <c r="N71" i="7" s="1"/>
  <c r="M72" i="7"/>
  <c r="N72" i="7" s="1"/>
  <c r="M73" i="7"/>
  <c r="N73" i="7" s="1"/>
  <c r="M74" i="7"/>
  <c r="N74" i="7" s="1"/>
  <c r="M75" i="7"/>
  <c r="N75" i="7" s="1"/>
  <c r="M76" i="7"/>
  <c r="N76" i="7" s="1"/>
  <c r="M77" i="7"/>
  <c r="N77" i="7" s="1"/>
  <c r="M5" i="7"/>
  <c r="N5" i="7" s="1"/>
  <c r="M6" i="7"/>
  <c r="N6" i="7" s="1"/>
  <c r="M7" i="7"/>
  <c r="N7" i="7" s="1"/>
  <c r="M8" i="7"/>
  <c r="N8" i="7" s="1"/>
  <c r="M9" i="7"/>
  <c r="N9" i="7" s="1"/>
  <c r="M10" i="7"/>
  <c r="N10" i="7" s="1"/>
  <c r="M11" i="7"/>
  <c r="N11" i="7" s="1"/>
  <c r="M12" i="7"/>
  <c r="N12" i="7" s="1"/>
  <c r="M13" i="7"/>
  <c r="N13" i="7" s="1"/>
  <c r="M14" i="7"/>
  <c r="N14" i="7" s="1"/>
  <c r="M15" i="7"/>
  <c r="N15" i="7" s="1"/>
  <c r="M16" i="7"/>
  <c r="N16" i="7" s="1"/>
  <c r="M17" i="7"/>
  <c r="N17" i="7" s="1"/>
  <c r="M4" i="7"/>
  <c r="N4" i="7" s="1"/>
  <c r="B55" i="2"/>
  <c r="E50" i="2"/>
  <c r="D50" i="2"/>
  <c r="C50" i="2"/>
  <c r="B50" i="2"/>
  <c r="E49" i="2"/>
  <c r="D49" i="2"/>
  <c r="C49" i="2"/>
  <c r="B49" i="2"/>
  <c r="E48" i="2"/>
  <c r="D48" i="2"/>
  <c r="C48" i="2"/>
  <c r="B48" i="2"/>
  <c r="E47" i="2"/>
  <c r="D47" i="2"/>
  <c r="C47" i="2"/>
  <c r="B47" i="2"/>
  <c r="B23" i="2"/>
  <c r="B32" i="2" s="1"/>
  <c r="C23" i="2"/>
  <c r="C32" i="2" s="1"/>
  <c r="D23" i="2"/>
  <c r="D32" i="2" s="1"/>
  <c r="E23" i="2"/>
  <c r="E32" i="2" s="1"/>
  <c r="B24" i="2"/>
  <c r="C24" i="2"/>
  <c r="C33" i="2" s="1"/>
  <c r="D24" i="2"/>
  <c r="D33" i="2" s="1"/>
  <c r="E24" i="2"/>
  <c r="E33" i="2" s="1"/>
  <c r="B25" i="2"/>
  <c r="B34" i="2" s="1"/>
  <c r="C25" i="2"/>
  <c r="C34" i="2" s="1"/>
  <c r="D25" i="2"/>
  <c r="D34" i="2" s="1"/>
  <c r="E25" i="2"/>
  <c r="E34" i="2" s="1"/>
  <c r="C22" i="2"/>
  <c r="C31" i="2" s="1"/>
  <c r="D22" i="2"/>
  <c r="D31" i="2" s="1"/>
  <c r="E22" i="2"/>
  <c r="E31" i="2" s="1"/>
  <c r="B22" i="2"/>
  <c r="B31" i="2" s="1"/>
  <c r="B33" i="2" l="1"/>
  <c r="A4" i="4" l="1"/>
  <c r="B4" i="4" s="1"/>
  <c r="C4" i="4" s="1"/>
  <c r="A5" i="4"/>
  <c r="B5" i="4" s="1"/>
  <c r="C5" i="4" s="1"/>
  <c r="A6" i="4"/>
  <c r="B6" i="4" s="1"/>
  <c r="C6" i="4" s="1"/>
  <c r="A3" i="4"/>
  <c r="B3" i="4" s="1"/>
  <c r="C3" i="4" s="1"/>
  <c r="K35" i="1"/>
  <c r="K79" i="1"/>
  <c r="K36" i="1"/>
  <c r="K80" i="1"/>
  <c r="K3" i="1"/>
  <c r="K4" i="1"/>
  <c r="K56" i="1"/>
  <c r="K5" i="1"/>
  <c r="K37" i="1"/>
  <c r="K81" i="1"/>
  <c r="K6" i="1"/>
  <c r="K38" i="1"/>
  <c r="K57" i="1"/>
  <c r="K82" i="1"/>
  <c r="K7" i="1"/>
  <c r="K83" i="1"/>
  <c r="K58" i="1"/>
  <c r="K84" i="1"/>
  <c r="K85" i="1"/>
  <c r="K86" i="1"/>
  <c r="K87" i="1"/>
  <c r="K8" i="1"/>
  <c r="K9" i="1"/>
  <c r="K88" i="1"/>
  <c r="K10" i="1"/>
  <c r="K89" i="1"/>
  <c r="K11" i="1"/>
  <c r="K90" i="1"/>
  <c r="K39" i="1"/>
  <c r="K91" i="1"/>
  <c r="K12" i="1"/>
  <c r="K92" i="1"/>
  <c r="K40" i="1"/>
  <c r="K13" i="1"/>
  <c r="K14" i="1"/>
  <c r="K93" i="1"/>
  <c r="K15" i="1"/>
  <c r="K94" i="1"/>
  <c r="K59" i="1"/>
  <c r="K95" i="1"/>
  <c r="K41" i="1"/>
  <c r="K16" i="1"/>
  <c r="K42" i="1"/>
  <c r="K60" i="1"/>
  <c r="K96" i="1"/>
  <c r="K43" i="1"/>
  <c r="K61" i="1"/>
  <c r="K97" i="1"/>
  <c r="K98" i="1"/>
  <c r="K17" i="1"/>
  <c r="K62" i="1"/>
  <c r="K63" i="1"/>
  <c r="K99" i="1"/>
  <c r="K100" i="1"/>
  <c r="K101" i="1"/>
  <c r="K64" i="1"/>
  <c r="K65" i="1"/>
  <c r="K102" i="1"/>
  <c r="K18" i="1"/>
  <c r="K66" i="1"/>
  <c r="K19" i="1"/>
  <c r="K103" i="1"/>
  <c r="K20" i="1"/>
  <c r="K21" i="1"/>
  <c r="K44" i="1"/>
  <c r="K104" i="1"/>
  <c r="K22" i="1"/>
  <c r="K67" i="1"/>
  <c r="K105" i="1"/>
  <c r="K23" i="1"/>
  <c r="K45" i="1"/>
  <c r="K106" i="1"/>
  <c r="K68" i="1"/>
  <c r="K24" i="1"/>
  <c r="K107" i="1"/>
  <c r="K25" i="1"/>
  <c r="K69" i="1"/>
  <c r="K46" i="1"/>
  <c r="K47" i="1"/>
  <c r="K70" i="1"/>
  <c r="K26" i="1"/>
  <c r="K71" i="1"/>
  <c r="K48" i="1"/>
  <c r="K27" i="1"/>
  <c r="K108" i="1"/>
  <c r="K28" i="1"/>
  <c r="K72" i="1"/>
  <c r="K109" i="1"/>
  <c r="K110" i="1"/>
  <c r="K73" i="1"/>
  <c r="K29" i="1"/>
  <c r="K49" i="1"/>
  <c r="K50" i="1"/>
  <c r="K111" i="1"/>
  <c r="K51" i="1"/>
  <c r="K112" i="1"/>
  <c r="K74" i="1"/>
  <c r="K75" i="1"/>
  <c r="K30" i="1"/>
  <c r="K113" i="1"/>
  <c r="K31" i="1"/>
  <c r="K52" i="1"/>
  <c r="K114" i="1"/>
  <c r="K32" i="1"/>
  <c r="K33" i="1"/>
  <c r="K34" i="1"/>
  <c r="K53" i="1"/>
  <c r="K54" i="1"/>
  <c r="K115" i="1"/>
  <c r="K116" i="1"/>
  <c r="K76" i="1"/>
  <c r="K77" i="1"/>
  <c r="K117" i="1"/>
  <c r="K55" i="1"/>
  <c r="K78" i="1"/>
  <c r="K2" i="1"/>
  <c r="J36" i="1"/>
  <c r="D6" i="4" l="1"/>
  <c r="E6" i="4" s="1"/>
  <c r="D5" i="4"/>
  <c r="E5" i="4" s="1"/>
  <c r="D3" i="4"/>
  <c r="E3" i="4" s="1"/>
  <c r="D4" i="4"/>
  <c r="E4" i="4" s="1"/>
  <c r="I35" i="1"/>
  <c r="J35" i="1" s="1"/>
  <c r="I79" i="1"/>
  <c r="J79" i="1" s="1"/>
  <c r="I80" i="1"/>
  <c r="J80" i="1" s="1"/>
  <c r="I3" i="1"/>
  <c r="J3" i="1" s="1"/>
  <c r="I4" i="1"/>
  <c r="J4" i="1" s="1"/>
  <c r="I56" i="1"/>
  <c r="J56" i="1" s="1"/>
  <c r="I5" i="1"/>
  <c r="J5" i="1" s="1"/>
  <c r="I37" i="1"/>
  <c r="J37" i="1" s="1"/>
  <c r="I81" i="1"/>
  <c r="J81" i="1" s="1"/>
  <c r="I6" i="1"/>
  <c r="J6" i="1" s="1"/>
  <c r="I38" i="1"/>
  <c r="J38" i="1" s="1"/>
  <c r="I57" i="1"/>
  <c r="J57" i="1" s="1"/>
  <c r="I82" i="1"/>
  <c r="J82" i="1" s="1"/>
  <c r="I7" i="1"/>
  <c r="J7" i="1" s="1"/>
  <c r="I83" i="1"/>
  <c r="J83" i="1" s="1"/>
  <c r="I58" i="1"/>
  <c r="J58" i="1" s="1"/>
  <c r="I84" i="1"/>
  <c r="J84" i="1" s="1"/>
  <c r="I85" i="1"/>
  <c r="J85" i="1" s="1"/>
  <c r="I86" i="1"/>
  <c r="J86" i="1" s="1"/>
  <c r="I87" i="1"/>
  <c r="J87" i="1" s="1"/>
  <c r="I8" i="1"/>
  <c r="J8" i="1" s="1"/>
  <c r="I9" i="1"/>
  <c r="J9" i="1" s="1"/>
  <c r="I88" i="1"/>
  <c r="J88" i="1" s="1"/>
  <c r="I10" i="1"/>
  <c r="J10" i="1" s="1"/>
  <c r="I89" i="1"/>
  <c r="J89" i="1" s="1"/>
  <c r="I11" i="1"/>
  <c r="J11" i="1" s="1"/>
  <c r="I90" i="1"/>
  <c r="J90" i="1" s="1"/>
  <c r="I39" i="1"/>
  <c r="J39" i="1" s="1"/>
  <c r="I91" i="1"/>
  <c r="J91" i="1" s="1"/>
  <c r="I12" i="1"/>
  <c r="J12" i="1" s="1"/>
  <c r="I92" i="1"/>
  <c r="J92" i="1" s="1"/>
  <c r="I40" i="1"/>
  <c r="J40" i="1" s="1"/>
  <c r="I13" i="1"/>
  <c r="J13" i="1" s="1"/>
  <c r="I14" i="1"/>
  <c r="J14" i="1" s="1"/>
  <c r="I93" i="1"/>
  <c r="J93" i="1" s="1"/>
  <c r="I15" i="1"/>
  <c r="J15" i="1" s="1"/>
  <c r="I94" i="1"/>
  <c r="J94" i="1" s="1"/>
  <c r="I59" i="1"/>
  <c r="J59" i="1" s="1"/>
  <c r="I95" i="1"/>
  <c r="J95" i="1" s="1"/>
  <c r="I41" i="1"/>
  <c r="J41" i="1" s="1"/>
  <c r="I16" i="1"/>
  <c r="J16" i="1" s="1"/>
  <c r="I42" i="1"/>
  <c r="J42" i="1" s="1"/>
  <c r="I60" i="1"/>
  <c r="J60" i="1" s="1"/>
  <c r="I96" i="1"/>
  <c r="J96" i="1" s="1"/>
  <c r="I43" i="1"/>
  <c r="J43" i="1" s="1"/>
  <c r="I61" i="1"/>
  <c r="J61" i="1" s="1"/>
  <c r="I97" i="1"/>
  <c r="J97" i="1" s="1"/>
  <c r="I98" i="1"/>
  <c r="J98" i="1" s="1"/>
  <c r="I17" i="1"/>
  <c r="J17" i="1" s="1"/>
  <c r="I62" i="1"/>
  <c r="J62" i="1" s="1"/>
  <c r="I63" i="1"/>
  <c r="J63" i="1" s="1"/>
  <c r="I99" i="1"/>
  <c r="J99" i="1" s="1"/>
  <c r="I100" i="1"/>
  <c r="J100" i="1" s="1"/>
  <c r="I101" i="1"/>
  <c r="J101" i="1" s="1"/>
  <c r="I64" i="1"/>
  <c r="J64" i="1" s="1"/>
  <c r="I65" i="1"/>
  <c r="J65" i="1" s="1"/>
  <c r="I102" i="1"/>
  <c r="J102" i="1" s="1"/>
  <c r="I18" i="1"/>
  <c r="J18" i="1" s="1"/>
  <c r="I66" i="1"/>
  <c r="J66" i="1" s="1"/>
  <c r="I19" i="1"/>
  <c r="J19" i="1" s="1"/>
  <c r="I103" i="1"/>
  <c r="J103" i="1" s="1"/>
  <c r="I20" i="1"/>
  <c r="J20" i="1" s="1"/>
  <c r="I21" i="1"/>
  <c r="J21" i="1" s="1"/>
  <c r="I44" i="1"/>
  <c r="J44" i="1" s="1"/>
  <c r="I104" i="1"/>
  <c r="J104" i="1" s="1"/>
  <c r="I22" i="1"/>
  <c r="J22" i="1" s="1"/>
  <c r="I67" i="1"/>
  <c r="J67" i="1" s="1"/>
  <c r="I105" i="1"/>
  <c r="J105" i="1" s="1"/>
  <c r="I23" i="1"/>
  <c r="J23" i="1" s="1"/>
  <c r="I45" i="1"/>
  <c r="J45" i="1" s="1"/>
  <c r="I106" i="1"/>
  <c r="J106" i="1" s="1"/>
  <c r="I68" i="1"/>
  <c r="J68" i="1" s="1"/>
  <c r="I24" i="1"/>
  <c r="J24" i="1" s="1"/>
  <c r="I107" i="1"/>
  <c r="J107" i="1" s="1"/>
  <c r="I25" i="1"/>
  <c r="J25" i="1" s="1"/>
  <c r="I69" i="1"/>
  <c r="J69" i="1" s="1"/>
  <c r="I46" i="1"/>
  <c r="J46" i="1" s="1"/>
  <c r="I47" i="1"/>
  <c r="J47" i="1" s="1"/>
  <c r="I70" i="1"/>
  <c r="J70" i="1" s="1"/>
  <c r="I26" i="1"/>
  <c r="J26" i="1" s="1"/>
  <c r="I71" i="1"/>
  <c r="J71" i="1" s="1"/>
  <c r="I48" i="1"/>
  <c r="J48" i="1" s="1"/>
  <c r="I27" i="1"/>
  <c r="J27" i="1" s="1"/>
  <c r="I108" i="1"/>
  <c r="J108" i="1" s="1"/>
  <c r="I28" i="1"/>
  <c r="J28" i="1" s="1"/>
  <c r="I72" i="1"/>
  <c r="J72" i="1" s="1"/>
  <c r="I109" i="1"/>
  <c r="J109" i="1" s="1"/>
  <c r="I110" i="1"/>
  <c r="J110" i="1" s="1"/>
  <c r="I73" i="1"/>
  <c r="J73" i="1" s="1"/>
  <c r="I29" i="1"/>
  <c r="J29" i="1" s="1"/>
  <c r="I49" i="1"/>
  <c r="J49" i="1" s="1"/>
  <c r="I50" i="1"/>
  <c r="J50" i="1" s="1"/>
  <c r="I111" i="1"/>
  <c r="J111" i="1" s="1"/>
  <c r="I51" i="1"/>
  <c r="J51" i="1" s="1"/>
  <c r="I112" i="1"/>
  <c r="J112" i="1" s="1"/>
  <c r="I74" i="1"/>
  <c r="J74" i="1" s="1"/>
  <c r="I75" i="1"/>
  <c r="J75" i="1" s="1"/>
  <c r="I30" i="1"/>
  <c r="J30" i="1" s="1"/>
  <c r="I113" i="1"/>
  <c r="J113" i="1" s="1"/>
  <c r="I31" i="1"/>
  <c r="J31" i="1" s="1"/>
  <c r="I52" i="1"/>
  <c r="J52" i="1" s="1"/>
  <c r="I114" i="1"/>
  <c r="J114" i="1" s="1"/>
  <c r="I32" i="1"/>
  <c r="J32" i="1" s="1"/>
  <c r="I33" i="1"/>
  <c r="J33" i="1" s="1"/>
  <c r="I34" i="1"/>
  <c r="J34" i="1" s="1"/>
  <c r="I53" i="1"/>
  <c r="J53" i="1" s="1"/>
  <c r="I54" i="1"/>
  <c r="J54" i="1" s="1"/>
  <c r="I115" i="1"/>
  <c r="J115" i="1" s="1"/>
  <c r="I116" i="1"/>
  <c r="J116" i="1" s="1"/>
  <c r="I76" i="1"/>
  <c r="J76" i="1" s="1"/>
  <c r="I77" i="1"/>
  <c r="J77" i="1" s="1"/>
  <c r="I117" i="1"/>
  <c r="J117" i="1" s="1"/>
  <c r="I55" i="1"/>
  <c r="J55" i="1" s="1"/>
  <c r="I78" i="1"/>
  <c r="J78" i="1" s="1"/>
  <c r="I2" i="1"/>
  <c r="J2" i="1" s="1"/>
  <c r="H35" i="1"/>
  <c r="H79" i="1"/>
  <c r="H36" i="1"/>
  <c r="H80" i="1"/>
  <c r="H3" i="1"/>
  <c r="H4" i="1"/>
  <c r="H56" i="1"/>
  <c r="H5" i="1"/>
  <c r="H37" i="1"/>
  <c r="H81" i="1"/>
  <c r="H6" i="1"/>
  <c r="H38" i="1"/>
  <c r="H57" i="1"/>
  <c r="H82" i="1"/>
  <c r="H7" i="1"/>
  <c r="H83" i="1"/>
  <c r="H58" i="1"/>
  <c r="H84" i="1"/>
  <c r="H85" i="1"/>
  <c r="H86" i="1"/>
  <c r="H87" i="1"/>
  <c r="H8" i="1"/>
  <c r="H9" i="1"/>
  <c r="H88" i="1"/>
  <c r="H10" i="1"/>
  <c r="H89" i="1"/>
  <c r="H11" i="1"/>
  <c r="H90" i="1"/>
  <c r="H39" i="1"/>
  <c r="H91" i="1"/>
  <c r="H12" i="1"/>
  <c r="H92" i="1"/>
  <c r="H40" i="1"/>
  <c r="H13" i="1"/>
  <c r="H14" i="1"/>
  <c r="H93" i="1"/>
  <c r="H15" i="1"/>
  <c r="H94" i="1"/>
  <c r="H59" i="1"/>
  <c r="H95" i="1"/>
  <c r="H41" i="1"/>
  <c r="H16" i="1"/>
  <c r="H42" i="1"/>
  <c r="H60" i="1"/>
  <c r="H96" i="1"/>
  <c r="H43" i="1"/>
  <c r="H61" i="1"/>
  <c r="H97" i="1"/>
  <c r="H98" i="1"/>
  <c r="H17" i="1"/>
  <c r="H62" i="1"/>
  <c r="H63" i="1"/>
  <c r="H99" i="1"/>
  <c r="H100" i="1"/>
  <c r="H101" i="1"/>
  <c r="H64" i="1"/>
  <c r="H65" i="1"/>
  <c r="H102" i="1"/>
  <c r="H18" i="1"/>
  <c r="H66" i="1"/>
  <c r="H19" i="1"/>
  <c r="H103" i="1"/>
  <c r="H20" i="1"/>
  <c r="H21" i="1"/>
  <c r="H44" i="1"/>
  <c r="H104" i="1"/>
  <c r="H22" i="1"/>
  <c r="H67" i="1"/>
  <c r="H105" i="1"/>
  <c r="H23" i="1"/>
  <c r="H45" i="1"/>
  <c r="H106" i="1"/>
  <c r="H68" i="1"/>
  <c r="H24" i="1"/>
  <c r="H107" i="1"/>
  <c r="H25" i="1"/>
  <c r="H69" i="1"/>
  <c r="H46" i="1"/>
  <c r="H47" i="1"/>
  <c r="H70" i="1"/>
  <c r="H26" i="1"/>
  <c r="H71" i="1"/>
  <c r="H48" i="1"/>
  <c r="H27" i="1"/>
  <c r="H108" i="1"/>
  <c r="H28" i="1"/>
  <c r="H72" i="1"/>
  <c r="H109" i="1"/>
  <c r="H110" i="1"/>
  <c r="H73" i="1"/>
  <c r="H29" i="1"/>
  <c r="H49" i="1"/>
  <c r="H50" i="1"/>
  <c r="H111" i="1"/>
  <c r="H51" i="1"/>
  <c r="H112" i="1"/>
  <c r="H74" i="1"/>
  <c r="H75" i="1"/>
  <c r="H30" i="1"/>
  <c r="H113" i="1"/>
  <c r="H31" i="1"/>
  <c r="H52" i="1"/>
  <c r="H114" i="1"/>
  <c r="H32" i="1"/>
  <c r="H33" i="1"/>
  <c r="H34" i="1"/>
  <c r="H53" i="1"/>
  <c r="H54" i="1"/>
  <c r="H115" i="1"/>
  <c r="H116" i="1"/>
  <c r="H76" i="1"/>
  <c r="H77" i="1"/>
  <c r="H117" i="1"/>
  <c r="H55" i="1"/>
  <c r="H78" i="1"/>
  <c r="H2" i="1"/>
  <c r="G78" i="1"/>
  <c r="G55" i="1"/>
  <c r="G117" i="1"/>
  <c r="G77" i="1"/>
  <c r="G76" i="1"/>
  <c r="G116" i="1"/>
  <c r="G115" i="1"/>
  <c r="G54" i="1"/>
  <c r="G53" i="1"/>
  <c r="G34" i="1"/>
  <c r="G33" i="1"/>
  <c r="G32" i="1"/>
  <c r="G114" i="1"/>
  <c r="G52" i="1"/>
  <c r="G31" i="1"/>
  <c r="G113" i="1"/>
  <c r="G30" i="1"/>
  <c r="G75" i="1"/>
  <c r="G74" i="1"/>
  <c r="G112" i="1"/>
  <c r="G51" i="1"/>
  <c r="G111" i="1"/>
  <c r="G50" i="1"/>
  <c r="G49" i="1"/>
  <c r="G29" i="1"/>
  <c r="G73" i="1"/>
  <c r="G110" i="1"/>
  <c r="G109" i="1"/>
  <c r="G72" i="1"/>
  <c r="G28" i="1"/>
  <c r="G108" i="1"/>
  <c r="G27" i="1"/>
  <c r="G48" i="1"/>
  <c r="G71" i="1"/>
  <c r="G26" i="1"/>
  <c r="G70" i="1"/>
  <c r="G47" i="1"/>
  <c r="G46" i="1"/>
  <c r="G69" i="1"/>
  <c r="G25" i="1"/>
  <c r="G107" i="1"/>
  <c r="G24" i="1"/>
  <c r="G68" i="1"/>
  <c r="G106" i="1"/>
  <c r="G45" i="1"/>
  <c r="G23" i="1"/>
  <c r="G105" i="1"/>
  <c r="G67" i="1"/>
  <c r="G22" i="1"/>
  <c r="G104" i="1"/>
  <c r="G44" i="1"/>
  <c r="G21" i="1"/>
  <c r="G20" i="1"/>
  <c r="G103" i="1"/>
  <c r="G19" i="1"/>
  <c r="G66" i="1"/>
  <c r="G18" i="1"/>
  <c r="G102" i="1"/>
  <c r="G65" i="1"/>
  <c r="G64" i="1"/>
  <c r="G101" i="1"/>
  <c r="G100" i="1"/>
  <c r="G99" i="1"/>
  <c r="G63" i="1"/>
  <c r="G62" i="1"/>
  <c r="G17" i="1"/>
  <c r="G98" i="1"/>
  <c r="G97" i="1"/>
  <c r="G61" i="1"/>
  <c r="G43" i="1"/>
  <c r="G96" i="1"/>
  <c r="G60" i="1"/>
  <c r="G42" i="1"/>
  <c r="G16" i="1"/>
  <c r="G41" i="1"/>
  <c r="G95" i="1"/>
  <c r="G59" i="1"/>
  <c r="G94" i="1"/>
  <c r="G15" i="1"/>
  <c r="G93" i="1"/>
  <c r="G14" i="1"/>
  <c r="G13" i="1"/>
  <c r="G40" i="1"/>
  <c r="G92" i="1"/>
  <c r="G12" i="1"/>
  <c r="G91" i="1"/>
  <c r="G39" i="1"/>
  <c r="G90" i="1"/>
  <c r="G11" i="1"/>
  <c r="G89" i="1"/>
  <c r="G10" i="1"/>
  <c r="G88" i="1"/>
  <c r="G9" i="1"/>
  <c r="G8" i="1"/>
  <c r="G87" i="1"/>
  <c r="G86" i="1"/>
  <c r="G85" i="1"/>
  <c r="G84" i="1"/>
  <c r="G58" i="1"/>
  <c r="G83" i="1"/>
  <c r="G7" i="1"/>
  <c r="G82" i="1"/>
  <c r="G57" i="1"/>
  <c r="G38" i="1"/>
  <c r="G6" i="1"/>
  <c r="G81" i="1"/>
  <c r="G37" i="1"/>
  <c r="G5" i="1"/>
  <c r="G56" i="1"/>
  <c r="G4" i="1"/>
  <c r="G3" i="1"/>
  <c r="G80" i="1"/>
  <c r="G36" i="1"/>
  <c r="G79" i="1"/>
  <c r="L79" i="1" s="1"/>
  <c r="G35" i="1"/>
  <c r="G2" i="1"/>
  <c r="L2" i="1" s="1"/>
  <c r="L56" i="1" l="1"/>
  <c r="L6" i="1"/>
  <c r="L107" i="1"/>
  <c r="L53" i="1"/>
  <c r="L18" i="1"/>
  <c r="L29" i="1"/>
  <c r="L90" i="1"/>
  <c r="L82" i="1"/>
  <c r="L38" i="1"/>
  <c r="L11" i="1"/>
  <c r="L42" i="1"/>
  <c r="L46" i="1"/>
  <c r="L35" i="1"/>
  <c r="L60" i="1"/>
  <c r="L4" i="1"/>
  <c r="L59" i="1"/>
  <c r="L88" i="1"/>
  <c r="L37" i="1"/>
  <c r="L80" i="1"/>
  <c r="L54" i="1"/>
  <c r="L57" i="1"/>
  <c r="L39" i="1"/>
  <c r="L96" i="1"/>
  <c r="L19" i="1"/>
  <c r="L69" i="1"/>
  <c r="L50" i="1"/>
  <c r="L115" i="1"/>
  <c r="L66" i="1"/>
  <c r="L116" i="1"/>
  <c r="L20" i="1"/>
  <c r="L51" i="1"/>
  <c r="L76" i="1"/>
  <c r="L103" i="1"/>
  <c r="L7" i="1"/>
  <c r="L92" i="1"/>
  <c r="L77" i="1"/>
  <c r="L91" i="1"/>
  <c r="L12" i="1"/>
  <c r="L83" i="1"/>
  <c r="L21" i="1"/>
  <c r="L112" i="1"/>
  <c r="L58" i="1"/>
  <c r="L98" i="1"/>
  <c r="L26" i="1"/>
  <c r="L117" i="1"/>
  <c r="L49" i="1"/>
  <c r="L74" i="1"/>
  <c r="L84" i="1"/>
  <c r="L13" i="1"/>
  <c r="L17" i="1"/>
  <c r="L104" i="1"/>
  <c r="L71" i="1"/>
  <c r="L75" i="1"/>
  <c r="L55" i="1"/>
  <c r="L47" i="1"/>
  <c r="L97" i="1"/>
  <c r="L70" i="1"/>
  <c r="L40" i="1"/>
  <c r="L44" i="1"/>
  <c r="L36" i="1"/>
  <c r="L85" i="1"/>
  <c r="L14" i="1"/>
  <c r="L62" i="1"/>
  <c r="L22" i="1"/>
  <c r="L48" i="1"/>
  <c r="L30" i="1"/>
  <c r="L78" i="1"/>
  <c r="L25" i="1"/>
  <c r="L111" i="1"/>
  <c r="L63" i="1"/>
  <c r="L67" i="1"/>
  <c r="L27" i="1"/>
  <c r="L113" i="1"/>
  <c r="L43" i="1"/>
  <c r="L61" i="1"/>
  <c r="L86" i="1"/>
  <c r="L93" i="1"/>
  <c r="L3" i="1"/>
  <c r="L87" i="1"/>
  <c r="L15" i="1"/>
  <c r="L99" i="1"/>
  <c r="L105" i="1"/>
  <c r="L108" i="1"/>
  <c r="L31" i="1"/>
  <c r="L8" i="1"/>
  <c r="L94" i="1"/>
  <c r="L100" i="1"/>
  <c r="L23" i="1"/>
  <c r="L28" i="1"/>
  <c r="L52" i="1"/>
  <c r="L101" i="1"/>
  <c r="L45" i="1"/>
  <c r="L72" i="1"/>
  <c r="L114" i="1"/>
  <c r="L9" i="1"/>
  <c r="L95" i="1"/>
  <c r="L106" i="1"/>
  <c r="L109" i="1"/>
  <c r="L32" i="1"/>
  <c r="L5" i="1"/>
  <c r="L64" i="1"/>
  <c r="L41" i="1"/>
  <c r="L65" i="1"/>
  <c r="L110" i="1"/>
  <c r="L33" i="1"/>
  <c r="L10" i="1"/>
  <c r="L68" i="1"/>
  <c r="L81" i="1"/>
  <c r="L89" i="1"/>
  <c r="L16" i="1"/>
  <c r="L102" i="1"/>
  <c r="L24" i="1"/>
  <c r="L73" i="1"/>
  <c r="L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Gabe</author>
  </authors>
  <commentList>
    <comment ref="I36" authorId="0" shapeId="0" xr:uid="{1EAF7E3C-BA76-422B-AFE4-6789C8F892D8}">
      <text>
        <r>
          <rPr>
            <b/>
            <sz val="9"/>
            <color indexed="81"/>
            <rFont val="Tahoma"/>
            <charset val="1"/>
          </rPr>
          <t>Gabe:</t>
        </r>
        <r>
          <rPr>
            <sz val="9"/>
            <color indexed="81"/>
            <rFont val="Tahoma"/>
            <charset val="1"/>
          </rPr>
          <t xml:space="preserve">
Payment was made before deal was closed.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43C991-EA58-46E2-A8C7-7DB8B0F15D3F}" keepAlive="1" name="ModelConnection_ExternalData_1" description="Data Model" type="5" refreshedVersion="7" minRefreshableVersion="5" saveData="1">
    <dbPr connection="Data Model Connection" command="DRILLTHROUGH MAXROWS 1000 SELECT FROM [Model] WHERE (([Measures].[Sum of Commissionable AAR],[Deal_Data].[Attainment Quarter].&amp;[Q1])) RETURN [$Deal_Data].[Opportunity ID],[$Deal_Data].[Closed Won Date],[$Deal_Data].[Owner User ID],[$Deal_Data].[Contract Length (Months)],[$Deal_Data].[Total Contract Value],[$Deal_Data].[First Payment Date],[$Deal_Data].[Attainment Quarter],[$Deal_Data].[Commissionable AAR],[$Deal_Data].[Payment Quarter],[$Deal_Data].[Payment Date],[$Deal_Data].[Owner Name],[$Deal_Data].[Accumulative ARR],[$Deal_Data].[Calculated commission]" commandType="4"/>
    <extLst>
      <ext xmlns:x15="http://schemas.microsoft.com/office/spreadsheetml/2010/11/main" uri="{DE250136-89BD-433C-8126-D09CA5730AF9}">
        <x15:connection id="" model="1"/>
      </ext>
    </extLst>
  </connection>
  <connection id="2" xr16:uid="{EDE2F98D-9CEB-4339-8C6E-1D1F1D7C42D2}" keepAlive="1" name="ModelConnection_ExternalData_11" description="Data Model" type="5" refreshedVersion="7" minRefreshableVersion="5" saveData="1">
    <dbPr connection="Data Model Connection" command="DRILLTHROUGH MAXROWS 1000 SELECT FROM [Model] WHERE (([Measures].[Sum of Commissionable AAR],[Deal_Data].[Attainment Quarter].&amp;[Q2])) RETURN [$Deal_Data].[Opportunity ID],[$Deal_Data].[Closed Won Date],[$Deal_Data].[Owner User ID],[$Deal_Data].[Contract Length (Months)],[$Deal_Data].[Total Contract Value],[$Deal_Data].[First Payment Date],[$Deal_Data].[Attainment Quarter],[$Deal_Data].[Commissionable AAR],[$Deal_Data].[Payment Quarter],[$Deal_Data].[Payment Date],[$Deal_Data].[Owner Name],[$Deal_Data].[Accumulative ARR],[$Deal_Data].[Calculated commission]" commandType="4"/>
    <extLst>
      <ext xmlns:x15="http://schemas.microsoft.com/office/spreadsheetml/2010/11/main" uri="{DE250136-89BD-433C-8126-D09CA5730AF9}">
        <x15:connection id="" model="1"/>
      </ext>
    </extLst>
  </connection>
  <connection id="3" xr16:uid="{B4367560-9F88-4CB3-9AC2-C7ACFAA4C1F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58E47FA-6D4B-465B-BC43-D08C56260511}" name="WorksheetConnection_CaptivateIQ - Exercise Data (2022-01) Solved.xlsx!Q1_Comm_Detail" type="102" refreshedVersion="7" minRefreshableVersion="5">
    <extLst>
      <ext xmlns:x15="http://schemas.microsoft.com/office/spreadsheetml/2010/11/main" uri="{DE250136-89BD-433C-8126-D09CA5730AF9}">
        <x15:connection id="Q1_Comm_Detail">
          <x15:rangePr sourceName="_xlcn.WorksheetConnection_CaptivateIQExerciseData202201Solved.xlsxQ1_Comm_Detail1"/>
        </x15:connection>
      </ext>
    </extLst>
  </connection>
  <connection id="5" xr16:uid="{122CA744-0F33-4555-91BD-D1ADCF44F1DE}" name="WorksheetConnection_CaptivateIQ - Exercise Data (2022-01) Solved.xlsx!Q2_Comm_Detail" type="102" refreshedVersion="7" minRefreshableVersion="5">
    <extLst>
      <ext xmlns:x15="http://schemas.microsoft.com/office/spreadsheetml/2010/11/main" uri="{DE250136-89BD-433C-8126-D09CA5730AF9}">
        <x15:connection id="Q2_Comm_Detail">
          <x15:rangePr sourceName="_xlcn.WorksheetConnection_CaptivateIQExerciseData202201Solved.xlsxQ2_Comm_Detail1"/>
        </x15:connection>
      </ext>
    </extLst>
  </connection>
  <connection id="6" xr16:uid="{DA7FBC0D-AC7E-49A4-9C6C-03AE659DA0F2}" name="WorksheetConnection_CaptivateIQ - Exercise Data (2022-01).xlsx!Deal_Data" type="102" refreshedVersion="7" minRefreshableVersion="5">
    <extLst>
      <ext xmlns:x15="http://schemas.microsoft.com/office/spreadsheetml/2010/11/main" uri="{DE250136-89BD-433C-8126-D09CA5730AF9}">
        <x15:connection id="Deal_Data" autoDelete="1">
          <x15:rangePr sourceName="_xlcn.WorksheetConnection_CaptivateIQExerciseData202201.xlsxDeal_Data1"/>
        </x15:connection>
      </ext>
    </extLst>
  </connection>
</connections>
</file>

<file path=xl/sharedStrings.xml><?xml version="1.0" encoding="utf-8"?>
<sst xmlns="http://schemas.openxmlformats.org/spreadsheetml/2006/main" count="1014" uniqueCount="149">
  <si>
    <t>Opportunity ID</t>
  </si>
  <si>
    <t>Closed Won Date</t>
  </si>
  <si>
    <t>Owner User ID</t>
  </si>
  <si>
    <t>Contract Length (Months)</t>
  </si>
  <si>
    <t>Total Contract Value</t>
  </si>
  <si>
    <t>First Payment Date</t>
  </si>
  <si>
    <t>A</t>
  </si>
  <si>
    <t>B</t>
  </si>
  <si>
    <t>D</t>
  </si>
  <si>
    <t>C</t>
  </si>
  <si>
    <t/>
  </si>
  <si>
    <t>Attainment Quarter</t>
  </si>
  <si>
    <t>Payment Quarter</t>
  </si>
  <si>
    <t>ID</t>
  </si>
  <si>
    <t>Bob</t>
  </si>
  <si>
    <t>Jane</t>
  </si>
  <si>
    <t>Joe</t>
  </si>
  <si>
    <t>Lin</t>
  </si>
  <si>
    <t>Emloyee Information</t>
  </si>
  <si>
    <t>Quarter</t>
  </si>
  <si>
    <t>Q1</t>
  </si>
  <si>
    <t>Q2</t>
  </si>
  <si>
    <t>Q3</t>
  </si>
  <si>
    <t>Q4</t>
  </si>
  <si>
    <t>Base Commission Rate</t>
  </si>
  <si>
    <t>Attainment Tiers and Multipliers</t>
  </si>
  <si>
    <t>Multiplier</t>
  </si>
  <si>
    <t>Attainment Range (% of Quota)</t>
  </si>
  <si>
    <t>Tier 1: 0&lt;= 100</t>
  </si>
  <si>
    <t>Tier 2: 100 &lt;= 150</t>
  </si>
  <si>
    <t>Tier 3: 150&lt;</t>
  </si>
  <si>
    <t>Payment Date</t>
  </si>
  <si>
    <t>1st Payment
Quarter</t>
  </si>
  <si>
    <t>Owner Name</t>
  </si>
  <si>
    <t>Name</t>
  </si>
  <si>
    <t>Row Labels</t>
  </si>
  <si>
    <t>Grand Total</t>
  </si>
  <si>
    <t>Sum of Commissionable AAR</t>
  </si>
  <si>
    <t>Column Labels</t>
  </si>
  <si>
    <t>Employees</t>
  </si>
  <si>
    <t>Q1 Multiplier</t>
  </si>
  <si>
    <t>Q2 Multiplier</t>
  </si>
  <si>
    <t>Q1 ARR</t>
  </si>
  <si>
    <t>Q2 ARR</t>
  </si>
  <si>
    <t>Accumulative ARR</t>
  </si>
  <si>
    <t>Quarterly Quotas Tier 1</t>
  </si>
  <si>
    <t>Quarterly Quotas Tier 2</t>
  </si>
  <si>
    <t>Quarterly Quotas Tier 3</t>
  </si>
  <si>
    <t>Tier 2</t>
  </si>
  <si>
    <t>Tier 1</t>
  </si>
  <si>
    <t>Tier</t>
  </si>
  <si>
    <t xml:space="preserve">Tier </t>
  </si>
  <si>
    <t>Tier 3</t>
  </si>
  <si>
    <t>Deal_Data[Opportunity ID]</t>
  </si>
  <si>
    <t>Deal_Data[Closed Won Date]</t>
  </si>
  <si>
    <t>Deal_Data[Owner User ID]</t>
  </si>
  <si>
    <t>Deal_Data[Contract Length (Months)]</t>
  </si>
  <si>
    <t>Deal_Data[Total Contract Value]</t>
  </si>
  <si>
    <t>Deal_Data[First Payment Date]</t>
  </si>
  <si>
    <t>Deal_Data[Attainment Quarter]</t>
  </si>
  <si>
    <t>Deal_Data[Commissionable AAR]</t>
  </si>
  <si>
    <t>Deal_Data[Payment Quarter]</t>
  </si>
  <si>
    <t>Deal_Data[Payment Date]</t>
  </si>
  <si>
    <t>Deal_Data[Owner Name]</t>
  </si>
  <si>
    <t>1/20/2022</t>
  </si>
  <si>
    <t>3/31/2022</t>
  </si>
  <si>
    <t>2/23/2022</t>
  </si>
  <si>
    <t>2/1/2022</t>
  </si>
  <si>
    <t>2/10/2022</t>
  </si>
  <si>
    <t>2/14/2022</t>
  </si>
  <si>
    <t>First Payment Pending</t>
  </si>
  <si>
    <t>5/3/2022</t>
  </si>
  <si>
    <t>6/30/2022</t>
  </si>
  <si>
    <t>5/4/2022</t>
  </si>
  <si>
    <t>6/12/2022</t>
  </si>
  <si>
    <t>5/2/2022</t>
  </si>
  <si>
    <t>3/24/2022</t>
  </si>
  <si>
    <t>3/22/2022</t>
  </si>
  <si>
    <t>4/27/2022</t>
  </si>
  <si>
    <t>6/8/2022</t>
  </si>
  <si>
    <t>4/23/2022</t>
  </si>
  <si>
    <t>6/7/2022</t>
  </si>
  <si>
    <t>4/13/2022</t>
  </si>
  <si>
    <t>6/9/2022</t>
  </si>
  <si>
    <t>12/9/2021</t>
  </si>
  <si>
    <t>2/22/2022</t>
  </si>
  <si>
    <t>2/28/2022</t>
  </si>
  <si>
    <t>4/6/2022</t>
  </si>
  <si>
    <t>5/27/2022</t>
  </si>
  <si>
    <t>4/11/2022</t>
  </si>
  <si>
    <t>4/24/2022</t>
  </si>
  <si>
    <t>4/7/2022</t>
  </si>
  <si>
    <t>5/7/2022</t>
  </si>
  <si>
    <t>6/1/2022</t>
  </si>
  <si>
    <t>3/5/2022</t>
  </si>
  <si>
    <t>4/5/2022</t>
  </si>
  <si>
    <t>3/4/2022</t>
  </si>
  <si>
    <t>5/30/2022</t>
  </si>
  <si>
    <t>4/30/2022</t>
  </si>
  <si>
    <t>3/26/2022</t>
  </si>
  <si>
    <t>4/16/2022</t>
  </si>
  <si>
    <t>5/10/2022</t>
  </si>
  <si>
    <t>5/11/2022</t>
  </si>
  <si>
    <t>5/9/2022</t>
  </si>
  <si>
    <t>3/29/2022</t>
  </si>
  <si>
    <t>3/21/2022</t>
  </si>
  <si>
    <t>3/8/2022</t>
  </si>
  <si>
    <t>3/11/2022</t>
  </si>
  <si>
    <t>4/10/2022</t>
  </si>
  <si>
    <t>3/27/2022</t>
  </si>
  <si>
    <t>3/25/2022</t>
  </si>
  <si>
    <t>5/1/2022</t>
  </si>
  <si>
    <t>3/14/2022</t>
  </si>
  <si>
    <t>5/14/2022</t>
  </si>
  <si>
    <t>4/19/2022</t>
  </si>
  <si>
    <t>5/29/2022</t>
  </si>
  <si>
    <t>4/2/2022</t>
  </si>
  <si>
    <t>6/6/2022</t>
  </si>
  <si>
    <t>4/21/2022</t>
  </si>
  <si>
    <t>Data returned for Sum of Commissionable AAR, Q1 (First 1000 rows).</t>
  </si>
  <si>
    <t>Deal_Data[Accumulative ARR]</t>
  </si>
  <si>
    <t>Commission Tier</t>
  </si>
  <si>
    <t>Deal_Data[Commission Tier]</t>
  </si>
  <si>
    <t xml:space="preserve">Commission Calculation </t>
  </si>
  <si>
    <t>Tier 2 Commission Rate</t>
  </si>
  <si>
    <t>Tier 3 Commission Rate</t>
  </si>
  <si>
    <t>Deal_Data[Commissionable ARR]</t>
  </si>
  <si>
    <t xml:space="preserve"> Commissionable ARR</t>
  </si>
  <si>
    <t>5/24/2022</t>
  </si>
  <si>
    <t>6/28/2022</t>
  </si>
  <si>
    <t>6/20/2022</t>
  </si>
  <si>
    <t>6/27/2022</t>
  </si>
  <si>
    <t>5/15/2022</t>
  </si>
  <si>
    <t>5/12/2022</t>
  </si>
  <si>
    <t>5/31/2022</t>
  </si>
  <si>
    <t>5/25/2022</t>
  </si>
  <si>
    <t>6/3/2022</t>
  </si>
  <si>
    <t>6/11/2022</t>
  </si>
  <si>
    <t>5/20/2022</t>
  </si>
  <si>
    <t>5/23/2022</t>
  </si>
  <si>
    <t>6/22/2022</t>
  </si>
  <si>
    <t>Data returned for Sum of Commissionable AAR, Q2 (First 1000 rows).</t>
  </si>
  <si>
    <t>Sum of  Commissionable ARR</t>
  </si>
  <si>
    <t>Quota Attained per Quarter</t>
  </si>
  <si>
    <t>Paid</t>
  </si>
  <si>
    <t>Commissions Released</t>
  </si>
  <si>
    <t>Commissions Earned</t>
  </si>
  <si>
    <t>Q1 Commission Detail</t>
  </si>
  <si>
    <t>Q2 Commssion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</si>
</sst>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
    <numFmt numFmtId="166" formatCode="_(* #,##0_);_(* \(#,##0\);_(* &quot;-&quot;??_);_(@_)"/>
    <numFmt numFmtId="172" formatCode="&quot;$&quot;#,##0.00"/>
  </numFmts>
  <fonts count="9" x14ac:knownFonts="1">
    <font>
      <sz val="10"/>
      <color rgb="FF000000"/>
      <name val="Arial"/>
    </font>
    <font>
      <b/>
      <sz val="10"/>
      <color theme="1"/>
      <name val="Arial"/>
    </font>
    <font>
      <sz val="10"/>
      <color theme="1"/>
      <name val="Arial"/>
    </font>
    <font>
      <sz val="10"/>
      <color rgb="FF000000"/>
      <name val="Arial"/>
    </font>
    <font>
      <sz val="9"/>
      <color indexed="81"/>
      <name val="Tahoma"/>
      <charset val="1"/>
    </font>
    <font>
      <b/>
      <sz val="9"/>
      <color indexed="81"/>
      <name val="Tahoma"/>
      <charset val="1"/>
    </font>
    <font>
      <b/>
      <sz val="10"/>
      <color rgb="FF000000"/>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89">
    <xf numFmtId="0" fontId="0" fillId="0" borderId="0" xfId="0" applyFont="1" applyAlignment="1"/>
    <xf numFmtId="0" fontId="2" fillId="0" borderId="0" xfId="0" applyFont="1" applyAlignment="1">
      <alignment horizontal="left" wrapText="1"/>
    </xf>
    <xf numFmtId="14" fontId="2" fillId="0" borderId="0" xfId="0" applyNumberFormat="1" applyFont="1"/>
    <xf numFmtId="164" fontId="2" fillId="0" borderId="0" xfId="0" applyNumberFormat="1" applyFont="1" applyAlignment="1">
      <alignment horizontal="left" wrapText="1"/>
    </xf>
    <xf numFmtId="14" fontId="2" fillId="0" borderId="0" xfId="0" applyNumberFormat="1" applyFont="1" applyAlignment="1">
      <alignment horizontal="left" wrapText="1"/>
    </xf>
    <xf numFmtId="0" fontId="2" fillId="0" borderId="0" xfId="0" applyFont="1" applyAlignment="1">
      <alignment horizontal="left" wrapText="1"/>
    </xf>
    <xf numFmtId="14" fontId="2" fillId="0" borderId="0" xfId="0" applyNumberFormat="1" applyFont="1" applyAlignment="1"/>
    <xf numFmtId="14" fontId="0" fillId="0" borderId="0" xfId="0" applyNumberFormat="1" applyFont="1" applyAlignment="1"/>
    <xf numFmtId="0" fontId="0" fillId="0" borderId="0" xfId="0" applyNumberFormat="1" applyFont="1" applyAlignment="1"/>
    <xf numFmtId="43" fontId="0" fillId="0" borderId="0" xfId="1" applyFont="1" applyAlignment="1"/>
    <xf numFmtId="0" fontId="0" fillId="2" borderId="0" xfId="0" applyNumberFormat="1" applyFont="1" applyFill="1" applyAlignment="1"/>
    <xf numFmtId="0" fontId="0" fillId="0" borderId="1" xfId="0" applyFont="1" applyBorder="1" applyAlignment="1"/>
    <xf numFmtId="0" fontId="0" fillId="0" borderId="5" xfId="0" applyFont="1" applyBorder="1" applyAlignment="1"/>
    <xf numFmtId="0" fontId="0" fillId="0" borderId="7" xfId="0" applyFont="1" applyBorder="1" applyAlignment="1"/>
    <xf numFmtId="0" fontId="0" fillId="0" borderId="9" xfId="0" applyFont="1" applyBorder="1" applyAlignment="1"/>
    <xf numFmtId="0" fontId="6" fillId="0" borderId="0" xfId="0" applyFont="1" applyAlignment="1"/>
    <xf numFmtId="0" fontId="7" fillId="0" borderId="0" xfId="0" applyFont="1" applyAlignment="1"/>
    <xf numFmtId="0" fontId="0" fillId="0" borderId="9" xfId="0" applyFont="1" applyBorder="1" applyAlignment="1">
      <alignment horizontal="center"/>
    </xf>
    <xf numFmtId="0" fontId="0" fillId="0" borderId="5" xfId="0" applyFont="1" applyBorder="1" applyAlignment="1">
      <alignment horizontal="center"/>
    </xf>
    <xf numFmtId="0" fontId="0" fillId="0" borderId="7" xfId="0" applyFont="1" applyBorder="1" applyAlignment="1">
      <alignment horizontal="center"/>
    </xf>
    <xf numFmtId="166" fontId="0" fillId="0" borderId="1" xfId="1" applyNumberFormat="1"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166" fontId="0" fillId="0" borderId="5" xfId="1" applyNumberFormat="1" applyFont="1" applyBorder="1" applyAlignment="1">
      <alignment horizontal="center"/>
    </xf>
    <xf numFmtId="0" fontId="7" fillId="0" borderId="6" xfId="0" applyFont="1" applyBorder="1" applyAlignment="1">
      <alignment horizontal="center"/>
    </xf>
    <xf numFmtId="166" fontId="0" fillId="0" borderId="13" xfId="1" applyNumberFormat="1" applyFont="1" applyBorder="1" applyAlignment="1">
      <alignment horizontal="center"/>
    </xf>
    <xf numFmtId="166" fontId="0" fillId="0" borderId="7" xfId="1" applyNumberFormat="1" applyFont="1" applyBorder="1" applyAlignment="1">
      <alignment horizontal="center"/>
    </xf>
    <xf numFmtId="0" fontId="7" fillId="0" borderId="8" xfId="0" applyFont="1" applyBorder="1" applyAlignment="1">
      <alignment horizontal="center"/>
    </xf>
    <xf numFmtId="166" fontId="0" fillId="0" borderId="14" xfId="1" applyNumberFormat="1" applyFont="1" applyBorder="1" applyAlignment="1">
      <alignment horizontal="center"/>
    </xf>
    <xf numFmtId="166" fontId="0" fillId="0" borderId="9" xfId="1" applyNumberFormat="1" applyFont="1" applyBorder="1" applyAlignment="1">
      <alignment horizontal="center"/>
    </xf>
    <xf numFmtId="0" fontId="7" fillId="0" borderId="10" xfId="0" applyFont="1" applyBorder="1" applyAlignment="1">
      <alignment horizontal="center"/>
    </xf>
    <xf numFmtId="0" fontId="7" fillId="0" borderId="15" xfId="0" applyFont="1" applyBorder="1" applyAlignment="1">
      <alignment horizontal="center"/>
    </xf>
    <xf numFmtId="0" fontId="7" fillId="0" borderId="11" xfId="0" applyFont="1" applyBorder="1" applyAlignment="1">
      <alignment horizontal="center"/>
    </xf>
    <xf numFmtId="0" fontId="7" fillId="0" borderId="16" xfId="0" applyFont="1" applyBorder="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9" fontId="0" fillId="0" borderId="1" xfId="3" applyFont="1" applyBorder="1" applyAlignment="1"/>
    <xf numFmtId="9" fontId="0" fillId="0" borderId="12" xfId="3" applyFont="1" applyBorder="1" applyAlignment="1"/>
    <xf numFmtId="9" fontId="0" fillId="0" borderId="3" xfId="3" applyFont="1" applyBorder="1" applyAlignment="1"/>
    <xf numFmtId="9" fontId="0" fillId="0" borderId="5" xfId="3" applyFont="1" applyBorder="1" applyAlignment="1"/>
    <xf numFmtId="9" fontId="0" fillId="0" borderId="13" xfId="3" applyFont="1" applyBorder="1" applyAlignment="1"/>
    <xf numFmtId="9" fontId="0" fillId="0" borderId="7" xfId="3" applyFont="1" applyBorder="1" applyAlignment="1"/>
    <xf numFmtId="0" fontId="7" fillId="0" borderId="4" xfId="0" applyFont="1" applyBorder="1" applyAlignment="1"/>
    <xf numFmtId="0" fontId="7" fillId="0" borderId="6" xfId="0" applyFont="1" applyBorder="1" applyAlignment="1"/>
    <xf numFmtId="0" fontId="7" fillId="0" borderId="8" xfId="0" applyFont="1" applyBorder="1" applyAlignment="1"/>
    <xf numFmtId="0" fontId="7" fillId="0" borderId="10" xfId="0" applyFont="1" applyBorder="1" applyAlignment="1">
      <alignment horizontal="center" wrapText="1"/>
    </xf>
    <xf numFmtId="0" fontId="7" fillId="0" borderId="11" xfId="0" applyFont="1" applyBorder="1" applyAlignment="1">
      <alignment horizontal="center" wrapText="1"/>
    </xf>
    <xf numFmtId="0" fontId="1" fillId="0" borderId="0" xfId="0" applyFont="1" applyAlignment="1">
      <alignment horizontal="center" wrapText="1"/>
    </xf>
    <xf numFmtId="14" fontId="0" fillId="0" borderId="5" xfId="0" applyNumberFormat="1" applyFont="1" applyBorder="1" applyAlignment="1"/>
    <xf numFmtId="14" fontId="0" fillId="0" borderId="7" xfId="0" applyNumberFormat="1" applyFont="1" applyBorder="1" applyAlignment="1"/>
    <xf numFmtId="14" fontId="0" fillId="0" borderId="9" xfId="0" applyNumberFormat="1" applyFont="1" applyBorder="1" applyAlignment="1"/>
    <xf numFmtId="0" fontId="7" fillId="0" borderId="11" xfId="0" applyFont="1" applyBorder="1" applyAlignment="1"/>
    <xf numFmtId="0" fontId="8" fillId="0" borderId="0" xfId="0" applyFont="1" applyAlignment="1">
      <alignment horizontal="center" wrapText="1"/>
    </xf>
    <xf numFmtId="43" fontId="8" fillId="0" borderId="0" xfId="1" applyFont="1" applyAlignment="1">
      <alignment horizontal="center" wrapText="1"/>
    </xf>
    <xf numFmtId="43" fontId="7" fillId="0" borderId="0" xfId="1" applyFont="1" applyAlignment="1"/>
    <xf numFmtId="0" fontId="0" fillId="0" borderId="0" xfId="0" pivotButton="1" applyFont="1" applyAlignment="1"/>
    <xf numFmtId="0" fontId="0" fillId="0" borderId="0" xfId="0" applyFont="1" applyAlignment="1">
      <alignment horizontal="left"/>
    </xf>
    <xf numFmtId="43" fontId="0" fillId="0" borderId="0" xfId="0" applyNumberFormat="1" applyFont="1" applyAlignment="1"/>
    <xf numFmtId="0" fontId="6" fillId="0" borderId="2" xfId="0" applyFont="1" applyBorder="1" applyAlignment="1">
      <alignment horizontal="center"/>
    </xf>
    <xf numFmtId="0" fontId="6" fillId="0" borderId="1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left"/>
    </xf>
    <xf numFmtId="0" fontId="6" fillId="0" borderId="6" xfId="0" applyFont="1" applyBorder="1" applyAlignment="1">
      <alignment horizontal="left"/>
    </xf>
    <xf numFmtId="0" fontId="0" fillId="0" borderId="13" xfId="0" applyFont="1" applyBorder="1" applyAlignment="1"/>
    <xf numFmtId="166" fontId="0" fillId="0" borderId="12" xfId="1" applyNumberFormat="1" applyFont="1" applyBorder="1" applyAlignment="1">
      <alignment horizontal="center"/>
    </xf>
    <xf numFmtId="166" fontId="0" fillId="0" borderId="3" xfId="1" applyNumberFormat="1" applyFont="1" applyBorder="1" applyAlignment="1">
      <alignment horizontal="center"/>
    </xf>
    <xf numFmtId="166" fontId="0" fillId="0" borderId="19" xfId="1" applyNumberFormat="1" applyFont="1" applyBorder="1" applyAlignment="1">
      <alignment horizontal="center"/>
    </xf>
    <xf numFmtId="166" fontId="0" fillId="0" borderId="20" xfId="1" applyNumberFormat="1"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166" fontId="0" fillId="0" borderId="2" xfId="1" applyNumberFormat="1" applyFont="1" applyBorder="1" applyAlignment="1">
      <alignment horizontal="center"/>
    </xf>
    <xf numFmtId="166" fontId="0" fillId="0" borderId="8" xfId="1" applyNumberFormat="1" applyFont="1" applyBorder="1" applyAlignment="1">
      <alignment horizontal="center"/>
    </xf>
    <xf numFmtId="166" fontId="0" fillId="0" borderId="24" xfId="1" applyNumberFormat="1" applyFont="1" applyBorder="1" applyAlignment="1">
      <alignment horizontal="center"/>
    </xf>
    <xf numFmtId="0" fontId="7" fillId="0" borderId="0" xfId="0" applyFont="1" applyFill="1" applyBorder="1" applyAlignment="1">
      <alignment horizontal="center"/>
    </xf>
    <xf numFmtId="10" fontId="0" fillId="0" borderId="1" xfId="3" applyNumberFormat="1" applyFont="1" applyBorder="1" applyAlignment="1"/>
    <xf numFmtId="10" fontId="0" fillId="0" borderId="12" xfId="3" applyNumberFormat="1" applyFont="1" applyBorder="1" applyAlignment="1"/>
    <xf numFmtId="10" fontId="0" fillId="0" borderId="13" xfId="3" applyNumberFormat="1" applyFont="1" applyBorder="1" applyAlignment="1"/>
    <xf numFmtId="10" fontId="0" fillId="0" borderId="3" xfId="3" applyNumberFormat="1" applyFont="1" applyBorder="1" applyAlignment="1"/>
    <xf numFmtId="10" fontId="0" fillId="0" borderId="5" xfId="3" applyNumberFormat="1" applyFont="1" applyBorder="1" applyAlignment="1"/>
    <xf numFmtId="10" fontId="0" fillId="0" borderId="7" xfId="3" applyNumberFormat="1" applyFont="1" applyBorder="1" applyAlignment="1"/>
    <xf numFmtId="44" fontId="0" fillId="0" borderId="0" xfId="2" applyFont="1" applyAlignment="1"/>
    <xf numFmtId="44" fontId="7" fillId="0" borderId="0" xfId="2" applyFont="1" applyAlignment="1"/>
    <xf numFmtId="44" fontId="0" fillId="0" borderId="0" xfId="0" applyNumberFormat="1" applyFont="1" applyAlignment="1"/>
    <xf numFmtId="172" fontId="0" fillId="0" borderId="0" xfId="0" applyNumberFormat="1" applyFont="1" applyAlignment="1"/>
    <xf numFmtId="0" fontId="6" fillId="0" borderId="0" xfId="0" applyFont="1" applyBorder="1" applyAlignment="1">
      <alignment horizontal="center"/>
    </xf>
    <xf numFmtId="0" fontId="0" fillId="0" borderId="0" xfId="0" applyFont="1" applyBorder="1" applyAlignment="1"/>
    <xf numFmtId="44" fontId="0" fillId="0" borderId="1" xfId="2" applyFont="1" applyBorder="1" applyAlignment="1"/>
    <xf numFmtId="44" fontId="0" fillId="0" borderId="13" xfId="2" applyFont="1" applyBorder="1" applyAlignment="1"/>
  </cellXfs>
  <cellStyles count="4">
    <cellStyle name="Comma" xfId="1" builtinId="3"/>
    <cellStyle name="Currency" xfId="2" builtinId="4"/>
    <cellStyle name="Normal" xfId="0" builtinId="0"/>
    <cellStyle name="Percent" xfId="3" builtinId="5"/>
  </cellStyles>
  <dxfs count="55">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0"/>
        <color rgb="FF000000"/>
        <name val="Arial"/>
        <scheme val="none"/>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35" formatCode="_(* #,##0.00_);_(* \(#,##0.00\);_(* &quot;-&quot;??_);_(@_)"/>
      <alignment horizontal="general" vertical="bottom" textRotation="0" wrapText="0" indent="0" justifyLastLine="0" shrinkToFit="0" readingOrder="0"/>
    </dxf>
    <dxf>
      <numFmt numFmtId="35" formatCode="_(* #,##0.00_);_(* \(#,##0.00\);_(* &quot;-&quot;??_);_(@_)"/>
    </dxf>
    <dxf>
      <font>
        <b/>
        <i val="0"/>
        <strike val="0"/>
        <condense val="0"/>
        <extend val="0"/>
        <outline val="0"/>
        <shadow val="0"/>
        <u val="none"/>
        <vertAlign val="baseline"/>
        <sz val="10"/>
        <color theme="1"/>
        <name val="Arial"/>
        <scheme val="none"/>
      </font>
      <alignment horizontal="center"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quot;$&quot;#,##0"/>
      <alignment horizontal="left"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164" formatCode="&quot;$&quot;#,##0"/>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19" formatCode="m/d/yyyy"/>
    </dxf>
    <dxf>
      <font>
        <b val="0"/>
        <i val="0"/>
        <strike val="0"/>
        <condense val="0"/>
        <extend val="0"/>
        <outline val="0"/>
        <shadow val="0"/>
        <u val="none"/>
        <vertAlign val="baseline"/>
        <sz val="10"/>
        <color theme="1"/>
        <name val="Arial"/>
        <scheme val="none"/>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oneCell">
    <xdr:from>
      <xdr:col>16</xdr:col>
      <xdr:colOff>152400</xdr:colOff>
      <xdr:row>1</xdr:row>
      <xdr:rowOff>104775</xdr:rowOff>
    </xdr:from>
    <xdr:to>
      <xdr:col>19</xdr:col>
      <xdr:colOff>152400</xdr:colOff>
      <xdr:row>16</xdr:row>
      <xdr:rowOff>47625</xdr:rowOff>
    </xdr:to>
    <mc:AlternateContent xmlns:mc="http://schemas.openxmlformats.org/markup-compatibility/2006">
      <mc:Choice xmlns:a14="http://schemas.microsoft.com/office/drawing/2010/main" Requires="a14">
        <xdr:graphicFrame macro="">
          <xdr:nvGraphicFramePr>
            <xdr:cNvPr id="3" name="Attainment Quarter">
              <a:extLst>
                <a:ext uri="{FF2B5EF4-FFF2-40B4-BE49-F238E27FC236}">
                  <a16:creationId xmlns:a16="http://schemas.microsoft.com/office/drawing/2014/main" id="{C8110011-8330-41DA-86E8-6EB6B90949DB}"/>
                </a:ext>
              </a:extLst>
            </xdr:cNvPr>
            <xdr:cNvGraphicFramePr/>
          </xdr:nvGraphicFramePr>
          <xdr:xfrm>
            <a:off x="0" y="0"/>
            <a:ext cx="0" cy="0"/>
          </xdr:xfrm>
          <a:graphic>
            <a:graphicData uri="http://schemas.microsoft.com/office/drawing/2010/slicer">
              <sle:slicer xmlns:sle="http://schemas.microsoft.com/office/drawing/2010/slicer" name="Attainment Quarter"/>
            </a:graphicData>
          </a:graphic>
        </xdr:graphicFrame>
      </mc:Choice>
      <mc:Fallback>
        <xdr:sp macro="" textlink="">
          <xdr:nvSpPr>
            <xdr:cNvPr id="0" name=""/>
            <xdr:cNvSpPr>
              <a:spLocks noTextEdit="1"/>
            </xdr:cNvSpPr>
          </xdr:nvSpPr>
          <xdr:spPr>
            <a:xfrm>
              <a:off x="17049750" y="2762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1</xdr:row>
      <xdr:rowOff>95250</xdr:rowOff>
    </xdr:from>
    <xdr:to>
      <xdr:col>15</xdr:col>
      <xdr:colOff>180975</xdr:colOff>
      <xdr:row>16</xdr:row>
      <xdr:rowOff>38100</xdr:rowOff>
    </xdr:to>
    <mc:AlternateContent xmlns:mc="http://schemas.openxmlformats.org/markup-compatibility/2006">
      <mc:Choice xmlns:a14="http://schemas.microsoft.com/office/drawing/2010/main" Requires="a14">
        <xdr:graphicFrame macro="">
          <xdr:nvGraphicFramePr>
            <xdr:cNvPr id="4" name="Payment Quarter">
              <a:extLst>
                <a:ext uri="{FF2B5EF4-FFF2-40B4-BE49-F238E27FC236}">
                  <a16:creationId xmlns:a16="http://schemas.microsoft.com/office/drawing/2014/main" id="{169445BB-3B5A-4023-9211-EA88620CD7FB}"/>
                </a:ext>
              </a:extLst>
            </xdr:cNvPr>
            <xdr:cNvGraphicFramePr/>
          </xdr:nvGraphicFramePr>
          <xdr:xfrm>
            <a:off x="0" y="0"/>
            <a:ext cx="0" cy="0"/>
          </xdr:xfrm>
          <a:graphic>
            <a:graphicData uri="http://schemas.microsoft.com/office/drawing/2010/slicer">
              <sle:slicer xmlns:sle="http://schemas.microsoft.com/office/drawing/2010/slicer" name="Payment Quarter"/>
            </a:graphicData>
          </a:graphic>
        </xdr:graphicFrame>
      </mc:Choice>
      <mc:Fallback>
        <xdr:sp macro="" textlink="">
          <xdr:nvSpPr>
            <xdr:cNvPr id="0" name=""/>
            <xdr:cNvSpPr>
              <a:spLocks noTextEdit="1"/>
            </xdr:cNvSpPr>
          </xdr:nvSpPr>
          <xdr:spPr>
            <a:xfrm>
              <a:off x="14639925" y="2667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18</xdr:row>
      <xdr:rowOff>28575</xdr:rowOff>
    </xdr:from>
    <xdr:to>
      <xdr:col>15</xdr:col>
      <xdr:colOff>228600</xdr:colOff>
      <xdr:row>32</xdr:row>
      <xdr:rowOff>142875</xdr:rowOff>
    </xdr:to>
    <mc:AlternateContent xmlns:mc="http://schemas.openxmlformats.org/markup-compatibility/2006">
      <mc:Choice xmlns:a14="http://schemas.microsoft.com/office/drawing/2010/main" Requires="a14">
        <xdr:graphicFrame macro="">
          <xdr:nvGraphicFramePr>
            <xdr:cNvPr id="5" name="Owner Name">
              <a:extLst>
                <a:ext uri="{FF2B5EF4-FFF2-40B4-BE49-F238E27FC236}">
                  <a16:creationId xmlns:a16="http://schemas.microsoft.com/office/drawing/2014/main" id="{8B7A84D6-8EC7-45FF-B2A2-F34DB5CD3978}"/>
                </a:ext>
              </a:extLst>
            </xdr:cNvPr>
            <xdr:cNvGraphicFramePr/>
          </xdr:nvGraphicFramePr>
          <xdr:xfrm>
            <a:off x="0" y="0"/>
            <a:ext cx="0" cy="0"/>
          </xdr:xfrm>
          <a:graphic>
            <a:graphicData uri="http://schemas.microsoft.com/office/drawing/2010/slicer">
              <sle:slicer xmlns:sle="http://schemas.microsoft.com/office/drawing/2010/slicer" name="Owner Name"/>
            </a:graphicData>
          </a:graphic>
        </xdr:graphicFrame>
      </mc:Choice>
      <mc:Fallback>
        <xdr:sp macro="" textlink="">
          <xdr:nvSpPr>
            <xdr:cNvPr id="0" name=""/>
            <xdr:cNvSpPr>
              <a:spLocks noTextEdit="1"/>
            </xdr:cNvSpPr>
          </xdr:nvSpPr>
          <xdr:spPr>
            <a:xfrm>
              <a:off x="14687550" y="29622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e" refreshedDate="44611.891710763892" createdVersion="7" refreshedVersion="7" minRefreshableVersion="3" recordCount="116" xr:uid="{0E3F7D70-BC9C-4C84-81F1-C4BFCFCB3876}">
  <cacheSource type="worksheet">
    <worksheetSource name="Deal_Data"/>
  </cacheSource>
  <cacheFields count="12">
    <cacheField name="Opportunity ID" numFmtId="0">
      <sharedItems containsSemiMixedTypes="0" containsString="0" containsNumber="1" containsInteger="1" minValue="10001" maxValue="10318" count="116">
        <n v="10286"/>
        <n v="10281"/>
        <n v="10276"/>
        <n v="10271"/>
        <n v="10266"/>
        <n v="10131"/>
        <n v="10151"/>
        <n v="10156"/>
        <n v="10291"/>
        <n v="10141"/>
        <n v="10001"/>
        <n v="10046"/>
        <n v="10051"/>
        <n v="10246"/>
        <n v="10241"/>
        <n v="10036"/>
        <n v="10206"/>
        <n v="10216"/>
        <n v="10226"/>
        <n v="10221"/>
        <n v="10186"/>
        <n v="10191"/>
        <n v="10196"/>
        <n v="10181"/>
        <n v="10011"/>
        <n v="10016"/>
        <n v="10296"/>
        <n v="10006"/>
        <n v="10301"/>
        <n v="10236"/>
        <n v="10316"/>
        <n v="10306"/>
        <n v="10311"/>
        <n v="10272"/>
        <n v="10237"/>
        <n v="10282"/>
        <n v="10277"/>
        <n v="10287"/>
        <n v="10052"/>
        <n v="10042"/>
        <n v="10027"/>
        <n v="10232"/>
        <n v="10222"/>
        <n v="10192"/>
        <n v="10012"/>
        <n v="10207"/>
        <n v="10017"/>
        <n v="10007"/>
        <n v="10002"/>
        <n v="10297"/>
        <n v="10302"/>
        <n v="10312"/>
        <n v="10307"/>
        <n v="10317"/>
        <n v="10133"/>
        <n v="10128"/>
        <n v="10288"/>
        <n v="10058"/>
        <n v="10028"/>
        <n v="10233"/>
        <n v="10023"/>
        <n v="10033"/>
        <n v="10213"/>
        <n v="10183"/>
        <n v="10208"/>
        <n v="10188"/>
        <n v="10198"/>
        <n v="10193"/>
        <n v="10013"/>
        <n v="10008"/>
        <n v="10003"/>
        <n v="10303"/>
        <n v="10293"/>
        <n v="10298"/>
        <n v="10308"/>
        <n v="10313"/>
        <n v="10318"/>
        <n v="10230"/>
        <n v="10110"/>
        <n v="10265"/>
        <n v="10270"/>
        <n v="10150"/>
        <n v="10260"/>
        <n v="10160"/>
        <n v="10165"/>
        <n v="10145"/>
        <n v="10155"/>
        <n v="10140"/>
        <n v="10285"/>
        <n v="10290"/>
        <n v="10280"/>
        <n v="10215"/>
        <n v="10045"/>
        <n v="10025"/>
        <n v="10245"/>
        <n v="10020"/>
        <n v="10035"/>
        <n v="10240"/>
        <n v="10030"/>
        <n v="10210"/>
        <n v="10205"/>
        <n v="10225"/>
        <n v="10185"/>
        <n v="10190"/>
        <n v="10195"/>
        <n v="10180"/>
        <n v="10295"/>
        <n v="10010"/>
        <n v="10015"/>
        <n v="10005"/>
        <n v="10300"/>
        <n v="10235"/>
        <n v="10200"/>
        <n v="10310"/>
        <n v="10305"/>
        <n v="10315"/>
      </sharedItems>
    </cacheField>
    <cacheField name="Closed Won Date" numFmtId="14">
      <sharedItems containsSemiMixedTypes="0" containsNonDate="0" containsDate="1" containsString="0" minDate="2022-01-01T00:00:00" maxDate="2022-07-01T00:00:00"/>
    </cacheField>
    <cacheField name="Owner User ID" numFmtId="0">
      <sharedItems/>
    </cacheField>
    <cacheField name="Contract Length (Months)" numFmtId="0">
      <sharedItems containsSemiMixedTypes="0" containsString="0" containsNumber="1" containsInteger="1" minValue="12" maxValue="36"/>
    </cacheField>
    <cacheField name="Total Contract Value" numFmtId="164">
      <sharedItems containsSemiMixedTypes="0" containsString="0" containsNumber="1" minValue="360" maxValue="215000"/>
    </cacheField>
    <cacheField name="First Payment Date" numFmtId="0">
      <sharedItems containsDate="1" containsMixedTypes="1" minDate="2021-12-09T00:00:00" maxDate="2022-07-01T00:00:00"/>
    </cacheField>
    <cacheField name="Attainment Quarter" numFmtId="0">
      <sharedItems count="2">
        <s v="Q1"/>
        <s v="Q2"/>
      </sharedItems>
    </cacheField>
    <cacheField name=" Commissionable ARR" numFmtId="164">
      <sharedItems containsSemiMixedTypes="0" containsString="0" containsNumber="1" minValue="360" maxValue="215000"/>
    </cacheField>
    <cacheField name="Payment Quarter" numFmtId="0">
      <sharedItems containsBlank="1" count="4">
        <s v="Q1"/>
        <s v="First Payment Pending"/>
        <s v="Q2"/>
        <m/>
      </sharedItems>
    </cacheField>
    <cacheField name="Payment Date" numFmtId="14">
      <sharedItems containsDate="1" containsMixedTypes="1" minDate="2022-03-31T00:00:00" maxDate="2022-07-01T00:00:00"/>
    </cacheField>
    <cacheField name="Owner Name" numFmtId="0">
      <sharedItems count="4">
        <s v="Bob"/>
        <s v="Jane"/>
        <s v="Joe"/>
        <s v="Lin"/>
      </sharedItems>
    </cacheField>
    <cacheField name="Accumulative ARR" numFmtId="43">
      <sharedItems containsSemiMixedTypes="0" containsString="0" containsNumber="1" minValue="600" maxValue="496872"/>
    </cacheField>
  </cacheFields>
  <extLst>
    <ext xmlns:x14="http://schemas.microsoft.com/office/spreadsheetml/2009/9/main" uri="{725AE2AE-9491-48be-B2B4-4EB974FC3084}">
      <x14:pivotCacheDefinition pivotCacheId="13835171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e" refreshedDate="44611.911722106481" backgroundQuery="1" createdVersion="7" refreshedVersion="7" minRefreshableVersion="3" recordCount="0" supportSubquery="1" supportAdvancedDrill="1" xr:uid="{B7E8AE11-F243-47FB-9FA3-D9A9184C9D90}">
  <cacheSource type="external" connectionId="3"/>
  <cacheFields count="3">
    <cacheField name="[Deal_Data].[Owner Name].[Owner Name]" caption="Owner Name" numFmtId="0" hierarchy="10" level="1">
      <sharedItems count="4">
        <s v="Bob"/>
        <s v="Jane"/>
        <s v="Joe"/>
        <s v="Lin"/>
      </sharedItems>
    </cacheField>
    <cacheField name="[Deal_Data].[Attainment Quarter].[Attainment Quarter]" caption="Attainment Quarter" numFmtId="0" hierarchy="6" level="1">
      <sharedItems count="2">
        <s v="Q1"/>
        <s v="Q2"/>
      </sharedItems>
    </cacheField>
    <cacheField name="[Measures].[Sum of Commissionable AAR]" caption="Sum of Commissionable AAR" numFmtId="0" hierarchy="46" level="32767"/>
  </cacheFields>
  <cacheHierarchies count="49">
    <cacheHierarchy uniqueName="[Deal_Data].[Opportunity ID]" caption="Opportunity ID" attribute="1" defaultMemberUniqueName="[Deal_Data].[Opportunity ID].[All]" allUniqueName="[Deal_Data].[Opportunity ID].[All]" dimensionUniqueName="[Deal_Data]" displayFolder="" count="0" memberValueDatatype="20" unbalanced="0"/>
    <cacheHierarchy uniqueName="[Deal_Data].[Closed Won Date]" caption="Closed Won Date" attribute="1" time="1" defaultMemberUniqueName="[Deal_Data].[Closed Won Date].[All]" allUniqueName="[Deal_Data].[Closed Won Date].[All]" dimensionUniqueName="[Deal_Data]" displayFolder="" count="0" memberValueDatatype="7" unbalanced="0"/>
    <cacheHierarchy uniqueName="[Deal_Data].[Owner User ID]" caption="Owner User ID" attribute="1" defaultMemberUniqueName="[Deal_Data].[Owner User ID].[All]" allUniqueName="[Deal_Data].[Owner User ID].[All]" dimensionUniqueName="[Deal_Data]" displayFolder="" count="0" memberValueDatatype="130" unbalanced="0"/>
    <cacheHierarchy uniqueName="[Deal_Data].[Contract Length (Months)]" caption="Contract Length (Months)" attribute="1" defaultMemberUniqueName="[Deal_Data].[Contract Length (Months)].[All]" allUniqueName="[Deal_Data].[Contract Length (Months)].[All]" dimensionUniqueName="[Deal_Data]" displayFolder="" count="0" memberValueDatatype="20" unbalanced="0"/>
    <cacheHierarchy uniqueName="[Deal_Data].[Total Contract Value]" caption="Total Contract Value" attribute="1" defaultMemberUniqueName="[Deal_Data].[Total Contract Value].[All]" allUniqueName="[Deal_Data].[Total Contract Value].[All]" dimensionUniqueName="[Deal_Data]" displayFolder="" count="0" memberValueDatatype="5" unbalanced="0"/>
    <cacheHierarchy uniqueName="[Deal_Data].[First Payment Date]" caption="First Payment Date" attribute="1" defaultMemberUniqueName="[Deal_Data].[First Payment Date].[All]" allUniqueName="[Deal_Data].[First Payment Date].[All]" dimensionUniqueName="[Deal_Data]" displayFolder="" count="0" memberValueDatatype="130" unbalanced="0"/>
    <cacheHierarchy uniqueName="[Deal_Data].[Attainment Quarter]" caption="Attainment Quarter" attribute="1" defaultMemberUniqueName="[Deal_Data].[Attainment Quarter].[All]" allUniqueName="[Deal_Data].[Attainment Quarter].[All]" dimensionUniqueName="[Deal_Data]" displayFolder="" count="2" memberValueDatatype="130" unbalanced="0">
      <fieldsUsage count="2">
        <fieldUsage x="-1"/>
        <fieldUsage x="1"/>
      </fieldsUsage>
    </cacheHierarchy>
    <cacheHierarchy uniqueName="[Deal_Data].[Commissionable AAR]" caption="Commissionable AAR" attribute="1" defaultMemberUniqueName="[Deal_Data].[Commissionable AAR].[All]" allUniqueName="[Deal_Data].[Commissionable AAR].[All]" dimensionUniqueName="[Deal_Data]" displayFolder="" count="0" memberValueDatatype="5" unbalanced="0"/>
    <cacheHierarchy uniqueName="[Deal_Data].[Payment Quarter]" caption="Payment Quarter" attribute="1" defaultMemberUniqueName="[Deal_Data].[Payment Quarter].[All]" allUniqueName="[Deal_Data].[Payment Quarter].[All]" dimensionUniqueName="[Deal_Data]" displayFolder="" count="0" memberValueDatatype="130" unbalanced="0"/>
    <cacheHierarchy uniqueName="[Deal_Data].[Payment Date]" caption="Payment Date" attribute="1" defaultMemberUniqueName="[Deal_Data].[Payment Date].[All]" allUniqueName="[Deal_Data].[Payment Date].[All]" dimensionUniqueName="[Deal_Data]" displayFolder="" count="0" memberValueDatatype="130" unbalanced="0"/>
    <cacheHierarchy uniqueName="[Deal_Data].[Owner Name]" caption="Owner Name" attribute="1" defaultMemberUniqueName="[Deal_Data].[Owner Name].[All]" allUniqueName="[Deal_Data].[Owner Name].[All]" dimensionUniqueName="[Deal_Data]" displayFolder="" count="2" memberValueDatatype="130" unbalanced="0">
      <fieldsUsage count="2">
        <fieldUsage x="-1"/>
        <fieldUsage x="0"/>
      </fieldsUsage>
    </cacheHierarchy>
    <cacheHierarchy uniqueName="[Deal_Data].[Accumulative ARR]" caption="Accumulative ARR" attribute="1" defaultMemberUniqueName="[Deal_Data].[Accumulative ARR].[All]" allUniqueName="[Deal_Data].[Accumulative ARR].[All]" dimensionUniqueName="[Deal_Data]" displayFolder="" count="0" memberValueDatatype="5" unbalanced="0"/>
    <cacheHierarchy uniqueName="[Deal_Data].[Calculated commission]" caption="Calculated commission" attribute="1" defaultMemberUniqueName="[Deal_Data].[Calculated commission].[All]" allUniqueName="[Deal_Data].[Calculated commission].[All]" dimensionUniqueName="[Deal_Data]" displayFolder="" count="0" memberValueDatatype="130" unbalanced="0"/>
    <cacheHierarchy uniqueName="[Q1_Comm_Detail].[Deal_Data[Opportunity ID]]]" caption="Deal_Data[Opportunity ID]" attribute="1" defaultMemberUniqueName="[Q1_Comm_Detail].[Deal_Data[Opportunity ID]]].[All]" allUniqueName="[Q1_Comm_Detail].[Deal_Data[Opportunity ID]]].[All]" dimensionUniqueName="[Q1_Comm_Detail]" displayFolder="" count="0" memberValueDatatype="20" unbalanced="0"/>
    <cacheHierarchy uniqueName="[Q1_Comm_Detail].[Deal_Data[Closed Won Date]]]" caption="Deal_Data[Closed Won Date]" attribute="1" time="1" defaultMemberUniqueName="[Q1_Comm_Detail].[Deal_Data[Closed Won Date]]].[All]" allUniqueName="[Q1_Comm_Detail].[Deal_Data[Closed Won Date]]].[All]" dimensionUniqueName="[Q1_Comm_Detail]" displayFolder="" count="0" memberValueDatatype="7" unbalanced="0"/>
    <cacheHierarchy uniqueName="[Q1_Comm_Detail].[Deal_Data[Owner User ID]]]" caption="Deal_Data[Owner User ID]" attribute="1" defaultMemberUniqueName="[Q1_Comm_Detail].[Deal_Data[Owner User ID]]].[All]" allUniqueName="[Q1_Comm_Detail].[Deal_Data[Owner User ID]]].[All]" dimensionUniqueName="[Q1_Comm_Detail]" displayFolder="" count="0" memberValueDatatype="130" unbalanced="0"/>
    <cacheHierarchy uniqueName="[Q1_Comm_Detail].[Deal_Data[Contract Length (Months)]]]" caption="Deal_Data[Contract Length (Months)]" attribute="1" defaultMemberUniqueName="[Q1_Comm_Detail].[Deal_Data[Contract Length (Months)]]].[All]" allUniqueName="[Q1_Comm_Detail].[Deal_Data[Contract Length (Months)]]].[All]" dimensionUniqueName="[Q1_Comm_Detail]" displayFolder="" count="0" memberValueDatatype="20" unbalanced="0"/>
    <cacheHierarchy uniqueName="[Q1_Comm_Detail].[Deal_Data[Total Contract Value]]]" caption="Deal_Data[Total Contract Value]" attribute="1" defaultMemberUniqueName="[Q1_Comm_Detail].[Deal_Data[Total Contract Value]]].[All]" allUniqueName="[Q1_Comm_Detail].[Deal_Data[Total Contract Value]]].[All]" dimensionUniqueName="[Q1_Comm_Detail]" displayFolder="" count="0" memberValueDatatype="5" unbalanced="0"/>
    <cacheHierarchy uniqueName="[Q1_Comm_Detail].[Deal_Data[First Payment Date]]]" caption="Deal_Data[First Payment Date]" attribute="1" defaultMemberUniqueName="[Q1_Comm_Detail].[Deal_Data[First Payment Date]]].[All]" allUniqueName="[Q1_Comm_Detail].[Deal_Data[First Payment Date]]].[All]" dimensionUniqueName="[Q1_Comm_Detail]" displayFolder="" count="0" memberValueDatatype="130" unbalanced="0"/>
    <cacheHierarchy uniqueName="[Q1_Comm_Detail].[Deal_Data[Attainment Quarter]]]" caption="Deal_Data[Attainment Quarter]" attribute="1" defaultMemberUniqueName="[Q1_Comm_Detail].[Deal_Data[Attainment Quarter]]].[All]" allUniqueName="[Q1_Comm_Detail].[Deal_Data[Attainment Quarter]]].[All]" dimensionUniqueName="[Q1_Comm_Detail]" displayFolder="" count="0" memberValueDatatype="130" unbalanced="0"/>
    <cacheHierarchy uniqueName="[Q1_Comm_Detail].[Deal_Data[Commissionable ARR]]]" caption="Deal_Data[Commissionable ARR]" attribute="1" defaultMemberUniqueName="[Q1_Comm_Detail].[Deal_Data[Commissionable ARR]]].[All]" allUniqueName="[Q1_Comm_Detail].[Deal_Data[Commissionable ARR]]].[All]" dimensionUniqueName="[Q1_Comm_Detail]" displayFolder="" count="0" memberValueDatatype="5" unbalanced="0"/>
    <cacheHierarchy uniqueName="[Q1_Comm_Detail].[Deal_Data[Payment Quarter]]]" caption="Deal_Data[Payment Quarter]" attribute="1" defaultMemberUniqueName="[Q1_Comm_Detail].[Deal_Data[Payment Quarter]]].[All]" allUniqueName="[Q1_Comm_Detail].[Deal_Data[Payment Quarter]]].[All]" dimensionUniqueName="[Q1_Comm_Detail]" displayFolder="" count="0" memberValueDatatype="130" unbalanced="0"/>
    <cacheHierarchy uniqueName="[Q1_Comm_Detail].[Deal_Data[Payment Date]]]" caption="Deal_Data[Payment Date]" attribute="1" defaultMemberUniqueName="[Q1_Comm_Detail].[Deal_Data[Payment Date]]].[All]" allUniqueName="[Q1_Comm_Detail].[Deal_Data[Payment Date]]].[All]" dimensionUniqueName="[Q1_Comm_Detail]" displayFolder="" count="0" memberValueDatatype="130" unbalanced="0"/>
    <cacheHierarchy uniqueName="[Q1_Comm_Detail].[Deal_Data[Owner Name]]]" caption="Deal_Data[Owner Name]" attribute="1" defaultMemberUniqueName="[Q1_Comm_Detail].[Deal_Data[Owner Name]]].[All]" allUniqueName="[Q1_Comm_Detail].[Deal_Data[Owner Name]]].[All]" dimensionUniqueName="[Q1_Comm_Detail]" displayFolder="" count="0" memberValueDatatype="130" unbalanced="0"/>
    <cacheHierarchy uniqueName="[Q1_Comm_Detail].[Deal_Data[Accumulative ARR]]]" caption="Deal_Data[Accumulative ARR]" attribute="1" defaultMemberUniqueName="[Q1_Comm_Detail].[Deal_Data[Accumulative ARR]]].[All]" allUniqueName="[Q1_Comm_Detail].[Deal_Data[Accumulative ARR]]].[All]" dimensionUniqueName="[Q1_Comm_Detail]" displayFolder="" count="0" memberValueDatatype="5" unbalanced="0"/>
    <cacheHierarchy uniqueName="[Q1_Comm_Detail].[Deal_Data[Commission Tier]]]" caption="Deal_Data[Commission Tier]" attribute="1" defaultMemberUniqueName="[Q1_Comm_Detail].[Deal_Data[Commission Tier]]].[All]" allUniqueName="[Q1_Comm_Detail].[Deal_Data[Commission Tier]]].[All]" dimensionUniqueName="[Q1_Comm_Detail]" displayFolder="" count="0" memberValueDatatype="130" unbalanced="0"/>
    <cacheHierarchy uniqueName="[Q1_Comm_Detail].[Commission Calculation]" caption="Commission Calculation" attribute="1" defaultMemberUniqueName="[Q1_Comm_Detail].[Commission Calculation].[All]" allUniqueName="[Q1_Comm_Detail].[Commission Calculation].[All]" dimensionUniqueName="[Q1_Comm_Detail]" displayFolder="" count="0" memberValueDatatype="5" unbalanced="0"/>
    <cacheHierarchy uniqueName="[Q1_Comm_Detail].[Paid]" caption="Paid" attribute="1" defaultMemberUniqueName="[Q1_Comm_Detail].[Paid].[All]" allUniqueName="[Q1_Comm_Detail].[Paid].[All]" dimensionUniqueName="[Q1_Comm_Detail]" displayFolder="" count="0" memberValueDatatype="130" unbalanced="0"/>
    <cacheHierarchy uniqueName="[Q2_Comm_Detail].[Deal_Data[Opportunity ID]]]" caption="Deal_Data[Opportunity ID]" attribute="1" defaultMemberUniqueName="[Q2_Comm_Detail].[Deal_Data[Opportunity ID]]].[All]" allUniqueName="[Q2_Comm_Detail].[Deal_Data[Opportunity ID]]].[All]" dimensionUniqueName="[Q2_Comm_Detail]" displayFolder="" count="0" memberValueDatatype="20" unbalanced="0"/>
    <cacheHierarchy uniqueName="[Q2_Comm_Detail].[Deal_Data[Closed Won Date]]]" caption="Deal_Data[Closed Won Date]" attribute="1" time="1" defaultMemberUniqueName="[Q2_Comm_Detail].[Deal_Data[Closed Won Date]]].[All]" allUniqueName="[Q2_Comm_Detail].[Deal_Data[Closed Won Date]]].[All]" dimensionUniqueName="[Q2_Comm_Detail]" displayFolder="" count="0" memberValueDatatype="7" unbalanced="0"/>
    <cacheHierarchy uniqueName="[Q2_Comm_Detail].[Deal_Data[Owner User ID]]]" caption="Deal_Data[Owner User ID]" attribute="1" defaultMemberUniqueName="[Q2_Comm_Detail].[Deal_Data[Owner User ID]]].[All]" allUniqueName="[Q2_Comm_Detail].[Deal_Data[Owner User ID]]].[All]" dimensionUniqueName="[Q2_Comm_Detail]" displayFolder="" count="0" memberValueDatatype="130" unbalanced="0"/>
    <cacheHierarchy uniqueName="[Q2_Comm_Detail].[Deal_Data[Contract Length (Months)]]]" caption="Deal_Data[Contract Length (Months)]" attribute="1" defaultMemberUniqueName="[Q2_Comm_Detail].[Deal_Data[Contract Length (Months)]]].[All]" allUniqueName="[Q2_Comm_Detail].[Deal_Data[Contract Length (Months)]]].[All]" dimensionUniqueName="[Q2_Comm_Detail]" displayFolder="" count="0" memberValueDatatype="20" unbalanced="0"/>
    <cacheHierarchy uniqueName="[Q2_Comm_Detail].[Deal_Data[Total Contract Value]]]" caption="Deal_Data[Total Contract Value]" attribute="1" defaultMemberUniqueName="[Q2_Comm_Detail].[Deal_Data[Total Contract Value]]].[All]" allUniqueName="[Q2_Comm_Detail].[Deal_Data[Total Contract Value]]].[All]" dimensionUniqueName="[Q2_Comm_Detail]" displayFolder="" count="0" memberValueDatatype="5" unbalanced="0"/>
    <cacheHierarchy uniqueName="[Q2_Comm_Detail].[Deal_Data[First Payment Date]]]" caption="Deal_Data[First Payment Date]" attribute="1" defaultMemberUniqueName="[Q2_Comm_Detail].[Deal_Data[First Payment Date]]].[All]" allUniqueName="[Q2_Comm_Detail].[Deal_Data[First Payment Date]]].[All]" dimensionUniqueName="[Q2_Comm_Detail]" displayFolder="" count="0" memberValueDatatype="130" unbalanced="0"/>
    <cacheHierarchy uniqueName="[Q2_Comm_Detail].[Deal_Data[Attainment Quarter]]]" caption="Deal_Data[Attainment Quarter]" attribute="1" defaultMemberUniqueName="[Q2_Comm_Detail].[Deal_Data[Attainment Quarter]]].[All]" allUniqueName="[Q2_Comm_Detail].[Deal_Data[Attainment Quarter]]].[All]" dimensionUniqueName="[Q2_Comm_Detail]" displayFolder="" count="0" memberValueDatatype="130" unbalanced="0"/>
    <cacheHierarchy uniqueName="[Q2_Comm_Detail].[Deal_Data[Commissionable AAR]]]" caption="Deal_Data[Commissionable AAR]" attribute="1" defaultMemberUniqueName="[Q2_Comm_Detail].[Deal_Data[Commissionable AAR]]].[All]" allUniqueName="[Q2_Comm_Detail].[Deal_Data[Commissionable AAR]]].[All]" dimensionUniqueName="[Q2_Comm_Detail]" displayFolder="" count="0" memberValueDatatype="5" unbalanced="0"/>
    <cacheHierarchy uniqueName="[Q2_Comm_Detail].[Deal_Data[Payment Quarter]]]" caption="Deal_Data[Payment Quarter]" attribute="1" defaultMemberUniqueName="[Q2_Comm_Detail].[Deal_Data[Payment Quarter]]].[All]" allUniqueName="[Q2_Comm_Detail].[Deal_Data[Payment Quarter]]].[All]" dimensionUniqueName="[Q2_Comm_Detail]" displayFolder="" count="0" memberValueDatatype="130" unbalanced="0"/>
    <cacheHierarchy uniqueName="[Q2_Comm_Detail].[Deal_Data[Payment Date]]]" caption="Deal_Data[Payment Date]" attribute="1" defaultMemberUniqueName="[Q2_Comm_Detail].[Deal_Data[Payment Date]]].[All]" allUniqueName="[Q2_Comm_Detail].[Deal_Data[Payment Date]]].[All]" dimensionUniqueName="[Q2_Comm_Detail]" displayFolder="" count="0" memberValueDatatype="130" unbalanced="0"/>
    <cacheHierarchy uniqueName="[Q2_Comm_Detail].[Deal_Data[Owner Name]]]" caption="Deal_Data[Owner Name]" attribute="1" defaultMemberUniqueName="[Q2_Comm_Detail].[Deal_Data[Owner Name]]].[All]" allUniqueName="[Q2_Comm_Detail].[Deal_Data[Owner Name]]].[All]" dimensionUniqueName="[Q2_Comm_Detail]" displayFolder="" count="0" memberValueDatatype="130" unbalanced="0"/>
    <cacheHierarchy uniqueName="[Q2_Comm_Detail].[Deal_Data[Accumulative ARR]]]" caption="Deal_Data[Accumulative ARR]" attribute="1" defaultMemberUniqueName="[Q2_Comm_Detail].[Deal_Data[Accumulative ARR]]].[All]" allUniqueName="[Q2_Comm_Detail].[Deal_Data[Accumulative ARR]]].[All]" dimensionUniqueName="[Q2_Comm_Detail]" displayFolder="" count="0" memberValueDatatype="5" unbalanced="0"/>
    <cacheHierarchy uniqueName="[Q2_Comm_Detail].[Commission Tier]" caption="Commission Tier" attribute="1" defaultMemberUniqueName="[Q2_Comm_Detail].[Commission Tier].[All]" allUniqueName="[Q2_Comm_Detail].[Commission Tier].[All]" dimensionUniqueName="[Q2_Comm_Detail]" displayFolder="" count="0" memberValueDatatype="130" unbalanced="0"/>
    <cacheHierarchy uniqueName="[Q2_Comm_Detail].[Commission Calculation]" caption="Commission Calculation" attribute="1" defaultMemberUniqueName="[Q2_Comm_Detail].[Commission Calculation].[All]" allUniqueName="[Q2_Comm_Detail].[Commission Calculation].[All]" dimensionUniqueName="[Q2_Comm_Detail]" displayFolder="" count="0" memberValueDatatype="5" unbalanced="0"/>
    <cacheHierarchy uniqueName="[Measures].[__XL_Count Deal_Data]" caption="__XL_Count Deal_Data" measure="1" displayFolder="" measureGroup="Deal_Data" count="0" hidden="1"/>
    <cacheHierarchy uniqueName="[Measures].[__XL_Count Q1_Comm_Detail]" caption="__XL_Count Q1_Comm_Detail" measure="1" displayFolder="" measureGroup="Q1_Comm_Detail" count="0" hidden="1"/>
    <cacheHierarchy uniqueName="[Measures].[__XL_Count Q2_Comm_Detail]" caption="__XL_Count Q2_Comm_Detail" measure="1" displayFolder="" measureGroup="Q2_Comm_Detail" count="0" hidden="1"/>
    <cacheHierarchy uniqueName="[Measures].[__No measures defined]" caption="__No measures defined" measure="1" displayFolder="" count="0" hidden="1"/>
    <cacheHierarchy uniqueName="[Measures].[Sum of Commissionable AAR]" caption="Sum of Commissionable AAR" measure="1" displayFolder="" measureGroup="Deal_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ommission Calculation]" caption="Sum of Commission Calculation" measure="1" displayFolder="" measureGroup="Q1_Comm_Detail" count="0" hidden="1">
      <extLst>
        <ext xmlns:x15="http://schemas.microsoft.com/office/spreadsheetml/2010/11/main" uri="{B97F6D7D-B522-45F9-BDA1-12C45D357490}">
          <x15:cacheHierarchy aggregatedColumn="26"/>
        </ext>
      </extLst>
    </cacheHierarchy>
    <cacheHierarchy uniqueName="[Measures].[Count of Paid]" caption="Count of Paid" measure="1" displayFolder="" measureGroup="Q1_Comm_Detail" count="0" hidden="1">
      <extLst>
        <ext xmlns:x15="http://schemas.microsoft.com/office/spreadsheetml/2010/11/main" uri="{B97F6D7D-B522-45F9-BDA1-12C45D357490}">
          <x15:cacheHierarchy aggregatedColumn="27"/>
        </ext>
      </extLst>
    </cacheHierarchy>
  </cacheHierarchies>
  <kpis count="0"/>
  <dimensions count="4">
    <dimension name="Deal_Data" uniqueName="[Deal_Data]" caption="Deal_Data"/>
    <dimension measure="1" name="Measures" uniqueName="[Measures]" caption="Measures"/>
    <dimension name="Q1_Comm_Detail" uniqueName="[Q1_Comm_Detail]" caption="Q1_Comm_Detail"/>
    <dimension name="Q2_Comm_Detail" uniqueName="[Q2_Comm_Detail]" caption="Q2_Comm_Detail"/>
  </dimensions>
  <measureGroups count="3">
    <measureGroup name="Deal_Data" caption="Deal_Data"/>
    <measureGroup name="Q1_Comm_Detail" caption="Q1_Comm_Detail"/>
    <measureGroup name="Q2_Comm_Detail" caption="Q2_Comm_Detail"/>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e" refreshedDate="44611.738600462966" backgroundQuery="1" createdVersion="7" refreshedVersion="7" minRefreshableVersion="3" recordCount="0" supportSubquery="1" supportAdvancedDrill="1" xr:uid="{211B1E13-1438-4408-BD8E-FE4BA7585CA7}">
  <cacheSource type="external" connectionId="3"/>
  <cacheFields count="3">
    <cacheField name="[Deal_Data].[Owner Name].[Owner Name]" caption="Owner Name" numFmtId="0" hierarchy="10" level="1">
      <sharedItems count="4">
        <s v="Bob"/>
        <s v="Jane"/>
        <s v="Joe"/>
        <s v="Lin"/>
      </sharedItems>
    </cacheField>
    <cacheField name="[Deal_Data].[Attainment Quarter].[Attainment Quarter]" caption="Attainment Quarter" numFmtId="0" hierarchy="6" level="1">
      <sharedItems count="2">
        <s v="Q1"/>
        <s v="Q2"/>
      </sharedItems>
    </cacheField>
    <cacheField name="[Measures].[Sum of Commissionable AAR]" caption="Sum of Commissionable AAR" numFmtId="0" hierarchy="46" level="32767"/>
  </cacheFields>
  <cacheHierarchies count="49">
    <cacheHierarchy uniqueName="[Deal_Data].[Opportunity ID]" caption="Opportunity ID" attribute="1" defaultMemberUniqueName="[Deal_Data].[Opportunity ID].[All]" allUniqueName="[Deal_Data].[Opportunity ID].[All]" dimensionUniqueName="[Deal_Data]" displayFolder="" count="0" memberValueDatatype="20" unbalanced="0"/>
    <cacheHierarchy uniqueName="[Deal_Data].[Closed Won Date]" caption="Closed Won Date" attribute="1" time="1" defaultMemberUniqueName="[Deal_Data].[Closed Won Date].[All]" allUniqueName="[Deal_Data].[Closed Won Date].[All]" dimensionUniqueName="[Deal_Data]" displayFolder="" count="0" memberValueDatatype="7" unbalanced="0"/>
    <cacheHierarchy uniqueName="[Deal_Data].[Owner User ID]" caption="Owner User ID" attribute="1" defaultMemberUniqueName="[Deal_Data].[Owner User ID].[All]" allUniqueName="[Deal_Data].[Owner User ID].[All]" dimensionUniqueName="[Deal_Data]" displayFolder="" count="0" memberValueDatatype="130" unbalanced="0"/>
    <cacheHierarchy uniqueName="[Deal_Data].[Contract Length (Months)]" caption="Contract Length (Months)" attribute="1" defaultMemberUniqueName="[Deal_Data].[Contract Length (Months)].[All]" allUniqueName="[Deal_Data].[Contract Length (Months)].[All]" dimensionUniqueName="[Deal_Data]" displayFolder="" count="0" memberValueDatatype="20" unbalanced="0"/>
    <cacheHierarchy uniqueName="[Deal_Data].[Total Contract Value]" caption="Total Contract Value" attribute="1" defaultMemberUniqueName="[Deal_Data].[Total Contract Value].[All]" allUniqueName="[Deal_Data].[Total Contract Value].[All]" dimensionUniqueName="[Deal_Data]" displayFolder="" count="0" memberValueDatatype="5" unbalanced="0"/>
    <cacheHierarchy uniqueName="[Deal_Data].[First Payment Date]" caption="First Payment Date" attribute="1" defaultMemberUniqueName="[Deal_Data].[First Payment Date].[All]" allUniqueName="[Deal_Data].[First Payment Date].[All]" dimensionUniqueName="[Deal_Data]" displayFolder="" count="0" memberValueDatatype="130" unbalanced="0"/>
    <cacheHierarchy uniqueName="[Deal_Data].[Attainment Quarter]" caption="Attainment Quarter" attribute="1" defaultMemberUniqueName="[Deal_Data].[Attainment Quarter].[All]" allUniqueName="[Deal_Data].[Attainment Quarter].[All]" dimensionUniqueName="[Deal_Data]" displayFolder="" count="2" memberValueDatatype="130" unbalanced="0">
      <fieldsUsage count="2">
        <fieldUsage x="-1"/>
        <fieldUsage x="1"/>
      </fieldsUsage>
    </cacheHierarchy>
    <cacheHierarchy uniqueName="[Deal_Data].[Commissionable AAR]" caption="Commissionable AAR" attribute="1" defaultMemberUniqueName="[Deal_Data].[Commissionable AAR].[All]" allUniqueName="[Deal_Data].[Commissionable AAR].[All]" dimensionUniqueName="[Deal_Data]" displayFolder="" count="0" memberValueDatatype="5" unbalanced="0"/>
    <cacheHierarchy uniqueName="[Deal_Data].[Payment Quarter]" caption="Payment Quarter" attribute="1" defaultMemberUniqueName="[Deal_Data].[Payment Quarter].[All]" allUniqueName="[Deal_Data].[Payment Quarter].[All]" dimensionUniqueName="[Deal_Data]" displayFolder="" count="0" memberValueDatatype="130" unbalanced="0"/>
    <cacheHierarchy uniqueName="[Deal_Data].[Payment Date]" caption="Payment Date" attribute="1" defaultMemberUniqueName="[Deal_Data].[Payment Date].[All]" allUniqueName="[Deal_Data].[Payment Date].[All]" dimensionUniqueName="[Deal_Data]" displayFolder="" count="0" memberValueDatatype="130" unbalanced="0"/>
    <cacheHierarchy uniqueName="[Deal_Data].[Owner Name]" caption="Owner Name" attribute="1" defaultMemberUniqueName="[Deal_Data].[Owner Name].[All]" allUniqueName="[Deal_Data].[Owner Name].[All]" dimensionUniqueName="[Deal_Data]" displayFolder="" count="2" memberValueDatatype="130" unbalanced="0">
      <fieldsUsage count="2">
        <fieldUsage x="-1"/>
        <fieldUsage x="0"/>
      </fieldsUsage>
    </cacheHierarchy>
    <cacheHierarchy uniqueName="[Deal_Data].[Accumulative ARR]" caption="Accumulative ARR" attribute="1" defaultMemberUniqueName="[Deal_Data].[Accumulative ARR].[All]" allUniqueName="[Deal_Data].[Accumulative ARR].[All]" dimensionUniqueName="[Deal_Data]" displayFolder="" count="0" memberValueDatatype="5" unbalanced="0"/>
    <cacheHierarchy uniqueName="[Deal_Data].[Calculated commission]" caption="Calculated commission" attribute="1" defaultMemberUniqueName="[Deal_Data].[Calculated commission].[All]" allUniqueName="[Deal_Data].[Calculated commission].[All]" dimensionUniqueName="[Deal_Data]" displayFolder="" count="0" memberValueDatatype="130" unbalanced="0"/>
    <cacheHierarchy uniqueName="[Q1_Comm_Detail].[Deal_Data[Opportunity ID]]]" caption="Deal_Data[Opportunity ID]" attribute="1" defaultMemberUniqueName="[Q1_Comm_Detail].[Deal_Data[Opportunity ID]]].[All]" allUniqueName="[Q1_Comm_Detail].[Deal_Data[Opportunity ID]]].[All]" dimensionUniqueName="[Q1_Comm_Detail]" displayFolder="" count="0" memberValueDatatype="20" unbalanced="0"/>
    <cacheHierarchy uniqueName="[Q1_Comm_Detail].[Deal_Data[Closed Won Date]]]" caption="Deal_Data[Closed Won Date]" attribute="1" time="1" defaultMemberUniqueName="[Q1_Comm_Detail].[Deal_Data[Closed Won Date]]].[All]" allUniqueName="[Q1_Comm_Detail].[Deal_Data[Closed Won Date]]].[All]" dimensionUniqueName="[Q1_Comm_Detail]" displayFolder="" count="0" memberValueDatatype="7" unbalanced="0"/>
    <cacheHierarchy uniqueName="[Q1_Comm_Detail].[Deal_Data[Owner User ID]]]" caption="Deal_Data[Owner User ID]" attribute="1" defaultMemberUniqueName="[Q1_Comm_Detail].[Deal_Data[Owner User ID]]].[All]" allUniqueName="[Q1_Comm_Detail].[Deal_Data[Owner User ID]]].[All]" dimensionUniqueName="[Q1_Comm_Detail]" displayFolder="" count="0" memberValueDatatype="130" unbalanced="0"/>
    <cacheHierarchy uniqueName="[Q1_Comm_Detail].[Deal_Data[Contract Length (Months)]]]" caption="Deal_Data[Contract Length (Months)]" attribute="1" defaultMemberUniqueName="[Q1_Comm_Detail].[Deal_Data[Contract Length (Months)]]].[All]" allUniqueName="[Q1_Comm_Detail].[Deal_Data[Contract Length (Months)]]].[All]" dimensionUniqueName="[Q1_Comm_Detail]" displayFolder="" count="0" memberValueDatatype="20" unbalanced="0"/>
    <cacheHierarchy uniqueName="[Q1_Comm_Detail].[Deal_Data[Total Contract Value]]]" caption="Deal_Data[Total Contract Value]" attribute="1" defaultMemberUniqueName="[Q1_Comm_Detail].[Deal_Data[Total Contract Value]]].[All]" allUniqueName="[Q1_Comm_Detail].[Deal_Data[Total Contract Value]]].[All]" dimensionUniqueName="[Q1_Comm_Detail]" displayFolder="" count="0" memberValueDatatype="5" unbalanced="0"/>
    <cacheHierarchy uniqueName="[Q1_Comm_Detail].[Deal_Data[First Payment Date]]]" caption="Deal_Data[First Payment Date]" attribute="1" defaultMemberUniqueName="[Q1_Comm_Detail].[Deal_Data[First Payment Date]]].[All]" allUniqueName="[Q1_Comm_Detail].[Deal_Data[First Payment Date]]].[All]" dimensionUniqueName="[Q1_Comm_Detail]" displayFolder="" count="0" memberValueDatatype="130" unbalanced="0"/>
    <cacheHierarchy uniqueName="[Q1_Comm_Detail].[Deal_Data[Attainment Quarter]]]" caption="Deal_Data[Attainment Quarter]" attribute="1" defaultMemberUniqueName="[Q1_Comm_Detail].[Deal_Data[Attainment Quarter]]].[All]" allUniqueName="[Q1_Comm_Detail].[Deal_Data[Attainment Quarter]]].[All]" dimensionUniqueName="[Q1_Comm_Detail]" displayFolder="" count="0" memberValueDatatype="130" unbalanced="0"/>
    <cacheHierarchy uniqueName="[Q1_Comm_Detail].[Deal_Data[Commissionable ARR]]]" caption="Deal_Data[Commissionable ARR]" attribute="1" defaultMemberUniqueName="[Q1_Comm_Detail].[Deal_Data[Commissionable ARR]]].[All]" allUniqueName="[Q1_Comm_Detail].[Deal_Data[Commissionable ARR]]].[All]" dimensionUniqueName="[Q1_Comm_Detail]" displayFolder="" count="0" memberValueDatatype="5" unbalanced="0"/>
    <cacheHierarchy uniqueName="[Q1_Comm_Detail].[Deal_Data[Payment Quarter]]]" caption="Deal_Data[Payment Quarter]" attribute="1" defaultMemberUniqueName="[Q1_Comm_Detail].[Deal_Data[Payment Quarter]]].[All]" allUniqueName="[Q1_Comm_Detail].[Deal_Data[Payment Quarter]]].[All]" dimensionUniqueName="[Q1_Comm_Detail]" displayFolder="" count="0" memberValueDatatype="130" unbalanced="0"/>
    <cacheHierarchy uniqueName="[Q1_Comm_Detail].[Deal_Data[Payment Date]]]" caption="Deal_Data[Payment Date]" attribute="1" defaultMemberUniqueName="[Q1_Comm_Detail].[Deal_Data[Payment Date]]].[All]" allUniqueName="[Q1_Comm_Detail].[Deal_Data[Payment Date]]].[All]" dimensionUniqueName="[Q1_Comm_Detail]" displayFolder="" count="0" memberValueDatatype="130" unbalanced="0"/>
    <cacheHierarchy uniqueName="[Q1_Comm_Detail].[Deal_Data[Owner Name]]]" caption="Deal_Data[Owner Name]" attribute="1" defaultMemberUniqueName="[Q1_Comm_Detail].[Deal_Data[Owner Name]]].[All]" allUniqueName="[Q1_Comm_Detail].[Deal_Data[Owner Name]]].[All]" dimensionUniqueName="[Q1_Comm_Detail]" displayFolder="" count="0" memberValueDatatype="130" unbalanced="0"/>
    <cacheHierarchy uniqueName="[Q1_Comm_Detail].[Deal_Data[Accumulative ARR]]]" caption="Deal_Data[Accumulative ARR]" attribute="1" defaultMemberUniqueName="[Q1_Comm_Detail].[Deal_Data[Accumulative ARR]]].[All]" allUniqueName="[Q1_Comm_Detail].[Deal_Data[Accumulative ARR]]].[All]" dimensionUniqueName="[Q1_Comm_Detail]" displayFolder="" count="0" memberValueDatatype="5" unbalanced="0"/>
    <cacheHierarchy uniqueName="[Q1_Comm_Detail].[Deal_Data[Commission Tier]]]" caption="Deal_Data[Commission Tier]" attribute="1" defaultMemberUniqueName="[Q1_Comm_Detail].[Deal_Data[Commission Tier]]].[All]" allUniqueName="[Q1_Comm_Detail].[Deal_Data[Commission Tier]]].[All]" dimensionUniqueName="[Q1_Comm_Detail]" displayFolder="" count="0" memberValueDatatype="130" unbalanced="0"/>
    <cacheHierarchy uniqueName="[Q1_Comm_Detail].[Commission Calculation]" caption="Commission Calculation" attribute="1" defaultMemberUniqueName="[Q1_Comm_Detail].[Commission Calculation].[All]" allUniqueName="[Q1_Comm_Detail].[Commission Calculation].[All]" dimensionUniqueName="[Q1_Comm_Detail]" displayFolder="" count="0" memberValueDatatype="5" unbalanced="0"/>
    <cacheHierarchy uniqueName="[Q1_Comm_Detail].[Paid]" caption="Paid" attribute="1" defaultMemberUniqueName="[Q1_Comm_Detail].[Paid].[All]" allUniqueName="[Q1_Comm_Detail].[Paid].[All]" dimensionUniqueName="[Q1_Comm_Detail]" displayFolder="" count="0" memberValueDatatype="130" unbalanced="0"/>
    <cacheHierarchy uniqueName="[Q2_Comm_Detail].[Deal_Data[Opportunity ID]]]" caption="Deal_Data[Opportunity ID]" attribute="1" defaultMemberUniqueName="[Q2_Comm_Detail].[Deal_Data[Opportunity ID]]].[All]" allUniqueName="[Q2_Comm_Detail].[Deal_Data[Opportunity ID]]].[All]" dimensionUniqueName="[Q2_Comm_Detail]" displayFolder="" count="0" memberValueDatatype="20" unbalanced="0"/>
    <cacheHierarchy uniqueName="[Q2_Comm_Detail].[Deal_Data[Closed Won Date]]]" caption="Deal_Data[Closed Won Date]" attribute="1" time="1" defaultMemberUniqueName="[Q2_Comm_Detail].[Deal_Data[Closed Won Date]]].[All]" allUniqueName="[Q2_Comm_Detail].[Deal_Data[Closed Won Date]]].[All]" dimensionUniqueName="[Q2_Comm_Detail]" displayFolder="" count="0" memberValueDatatype="7" unbalanced="0"/>
    <cacheHierarchy uniqueName="[Q2_Comm_Detail].[Deal_Data[Owner User ID]]]" caption="Deal_Data[Owner User ID]" attribute="1" defaultMemberUniqueName="[Q2_Comm_Detail].[Deal_Data[Owner User ID]]].[All]" allUniqueName="[Q2_Comm_Detail].[Deal_Data[Owner User ID]]].[All]" dimensionUniqueName="[Q2_Comm_Detail]" displayFolder="" count="0" memberValueDatatype="130" unbalanced="0"/>
    <cacheHierarchy uniqueName="[Q2_Comm_Detail].[Deal_Data[Contract Length (Months)]]]" caption="Deal_Data[Contract Length (Months)]" attribute="1" defaultMemberUniqueName="[Q2_Comm_Detail].[Deal_Data[Contract Length (Months)]]].[All]" allUniqueName="[Q2_Comm_Detail].[Deal_Data[Contract Length (Months)]]].[All]" dimensionUniqueName="[Q2_Comm_Detail]" displayFolder="" count="0" memberValueDatatype="20" unbalanced="0"/>
    <cacheHierarchy uniqueName="[Q2_Comm_Detail].[Deal_Data[Total Contract Value]]]" caption="Deal_Data[Total Contract Value]" attribute="1" defaultMemberUniqueName="[Q2_Comm_Detail].[Deal_Data[Total Contract Value]]].[All]" allUniqueName="[Q2_Comm_Detail].[Deal_Data[Total Contract Value]]].[All]" dimensionUniqueName="[Q2_Comm_Detail]" displayFolder="" count="0" memberValueDatatype="5" unbalanced="0"/>
    <cacheHierarchy uniqueName="[Q2_Comm_Detail].[Deal_Data[First Payment Date]]]" caption="Deal_Data[First Payment Date]" attribute="1" defaultMemberUniqueName="[Q2_Comm_Detail].[Deal_Data[First Payment Date]]].[All]" allUniqueName="[Q2_Comm_Detail].[Deal_Data[First Payment Date]]].[All]" dimensionUniqueName="[Q2_Comm_Detail]" displayFolder="" count="0" memberValueDatatype="130" unbalanced="0"/>
    <cacheHierarchy uniqueName="[Q2_Comm_Detail].[Deal_Data[Attainment Quarter]]]" caption="Deal_Data[Attainment Quarter]" attribute="1" defaultMemberUniqueName="[Q2_Comm_Detail].[Deal_Data[Attainment Quarter]]].[All]" allUniqueName="[Q2_Comm_Detail].[Deal_Data[Attainment Quarter]]].[All]" dimensionUniqueName="[Q2_Comm_Detail]" displayFolder="" count="0" memberValueDatatype="130" unbalanced="0"/>
    <cacheHierarchy uniqueName="[Q2_Comm_Detail].[Deal_Data[Commissionable AAR]]]" caption="Deal_Data[Commissionable AAR]" attribute="1" defaultMemberUniqueName="[Q2_Comm_Detail].[Deal_Data[Commissionable AAR]]].[All]" allUniqueName="[Q2_Comm_Detail].[Deal_Data[Commissionable AAR]]].[All]" dimensionUniqueName="[Q2_Comm_Detail]" displayFolder="" count="0" memberValueDatatype="5" unbalanced="0"/>
    <cacheHierarchy uniqueName="[Q2_Comm_Detail].[Deal_Data[Payment Quarter]]]" caption="Deal_Data[Payment Quarter]" attribute="1" defaultMemberUniqueName="[Q2_Comm_Detail].[Deal_Data[Payment Quarter]]].[All]" allUniqueName="[Q2_Comm_Detail].[Deal_Data[Payment Quarter]]].[All]" dimensionUniqueName="[Q2_Comm_Detail]" displayFolder="" count="0" memberValueDatatype="130" unbalanced="0"/>
    <cacheHierarchy uniqueName="[Q2_Comm_Detail].[Deal_Data[Payment Date]]]" caption="Deal_Data[Payment Date]" attribute="1" defaultMemberUniqueName="[Q2_Comm_Detail].[Deal_Data[Payment Date]]].[All]" allUniqueName="[Q2_Comm_Detail].[Deal_Data[Payment Date]]].[All]" dimensionUniqueName="[Q2_Comm_Detail]" displayFolder="" count="0" memberValueDatatype="130" unbalanced="0"/>
    <cacheHierarchy uniqueName="[Q2_Comm_Detail].[Deal_Data[Owner Name]]]" caption="Deal_Data[Owner Name]" attribute="1" defaultMemberUniqueName="[Q2_Comm_Detail].[Deal_Data[Owner Name]]].[All]" allUniqueName="[Q2_Comm_Detail].[Deal_Data[Owner Name]]].[All]" dimensionUniqueName="[Q2_Comm_Detail]" displayFolder="" count="0" memberValueDatatype="130" unbalanced="0"/>
    <cacheHierarchy uniqueName="[Q2_Comm_Detail].[Deal_Data[Accumulative ARR]]]" caption="Deal_Data[Accumulative ARR]" attribute="1" defaultMemberUniqueName="[Q2_Comm_Detail].[Deal_Data[Accumulative ARR]]].[All]" allUniqueName="[Q2_Comm_Detail].[Deal_Data[Accumulative ARR]]].[All]" dimensionUniqueName="[Q2_Comm_Detail]" displayFolder="" count="0" memberValueDatatype="5" unbalanced="0"/>
    <cacheHierarchy uniqueName="[Q2_Comm_Detail].[Commission Tier]" caption="Commission Tier" attribute="1" defaultMemberUniqueName="[Q2_Comm_Detail].[Commission Tier].[All]" allUniqueName="[Q2_Comm_Detail].[Commission Tier].[All]" dimensionUniqueName="[Q2_Comm_Detail]" displayFolder="" count="0" memberValueDatatype="130" unbalanced="0"/>
    <cacheHierarchy uniqueName="[Q2_Comm_Detail].[Commission Calculation]" caption="Commission Calculation" attribute="1" defaultMemberUniqueName="[Q2_Comm_Detail].[Commission Calculation].[All]" allUniqueName="[Q2_Comm_Detail].[Commission Calculation].[All]" dimensionUniqueName="[Q2_Comm_Detail]" displayFolder="" count="0" memberValueDatatype="5" unbalanced="0"/>
    <cacheHierarchy uniqueName="[Measures].[__XL_Count Deal_Data]" caption="__XL_Count Deal_Data" measure="1" displayFolder="" measureGroup="Deal_Data" count="0" hidden="1"/>
    <cacheHierarchy uniqueName="[Measures].[__XL_Count Q1_Comm_Detail]" caption="__XL_Count Q1_Comm_Detail" measure="1" displayFolder="" measureGroup="Q1_Comm_Detail" count="0" hidden="1"/>
    <cacheHierarchy uniqueName="[Measures].[__XL_Count Q2_Comm_Detail]" caption="__XL_Count Q2_Comm_Detail" measure="1" displayFolder="" measureGroup="Q2_Comm_Detail" count="0" hidden="1"/>
    <cacheHierarchy uniqueName="[Measures].[__No measures defined]" caption="__No measures defined" measure="1" displayFolder="" count="0" hidden="1"/>
    <cacheHierarchy uniqueName="[Measures].[Sum of Commissionable AAR]" caption="Sum of Commissionable AAR" measure="1" displayFolder="" measureGroup="Deal_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ommission Calculation]" caption="Sum of Commission Calculation" measure="1" displayFolder="" measureGroup="Q1_Comm_Detail" count="0" hidden="1">
      <extLst>
        <ext xmlns:x15="http://schemas.microsoft.com/office/spreadsheetml/2010/11/main" uri="{B97F6D7D-B522-45F9-BDA1-12C45D357490}">
          <x15:cacheHierarchy aggregatedColumn="26"/>
        </ext>
      </extLst>
    </cacheHierarchy>
    <cacheHierarchy uniqueName="[Measures].[Count of Paid]" caption="Count of Paid" measure="1" displayFolder="" measureGroup="Q1_Comm_Detail" count="0" hidden="1">
      <extLst>
        <ext xmlns:x15="http://schemas.microsoft.com/office/spreadsheetml/2010/11/main" uri="{B97F6D7D-B522-45F9-BDA1-12C45D357490}">
          <x15:cacheHierarchy aggregatedColumn="27"/>
        </ext>
      </extLst>
    </cacheHierarchy>
  </cacheHierarchies>
  <kpis count="0"/>
  <dimensions count="4">
    <dimension name="Deal_Data" uniqueName="[Deal_Data]" caption="Deal_Data"/>
    <dimension measure="1" name="Measures" uniqueName="[Measures]" caption="Measures"/>
    <dimension name="Q1_Comm_Detail" uniqueName="[Q1_Comm_Detail]" caption="Q1_Comm_Detail"/>
    <dimension name="Q2_Comm_Detail" uniqueName="[Q2_Comm_Detail]" caption="Q2_Comm_Detail"/>
  </dimensions>
  <measureGroups count="3">
    <measureGroup name="Deal_Data" caption="Deal_Data"/>
    <measureGroup name="Q1_Comm_Detail" caption="Q1_Comm_Detail"/>
    <measureGroup name="Q2_Comm_Detail" caption="Q2_Comm_Detail"/>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e" refreshedDate="44611.919607175929" createdVersion="7" refreshedVersion="7" minRefreshableVersion="3" recordCount="74" xr:uid="{2710C1DD-D592-4D97-8420-A6A6188DC2AF}">
  <cacheSource type="worksheet">
    <worksheetSource name="Q1_Comm_Detail"/>
  </cacheSource>
  <cacheFields count="15">
    <cacheField name="Deal_Data[Opportunity ID]" numFmtId="0">
      <sharedItems containsSemiMixedTypes="0" containsString="0" containsNumber="1" containsInteger="1" minValue="10001" maxValue="10291"/>
    </cacheField>
    <cacheField name="Deal_Data[Closed Won Date]" numFmtId="14">
      <sharedItems containsSemiMixedTypes="0" containsNonDate="0" containsDate="1" containsString="0" minDate="2022-01-01T00:00:00" maxDate="2022-04-01T00:00:00"/>
    </cacheField>
    <cacheField name="Deal_Data[Owner User ID]" numFmtId="0">
      <sharedItems/>
    </cacheField>
    <cacheField name="Deal_Data[Contract Length (Months)]" numFmtId="0">
      <sharedItems containsSemiMixedTypes="0" containsString="0" containsNumber="1" containsInteger="1" minValue="12" maxValue="36"/>
    </cacheField>
    <cacheField name="Deal_Data[Total Contract Value]" numFmtId="0">
      <sharedItems containsSemiMixedTypes="0" containsString="0" containsNumber="1" minValue="360" maxValue="88000"/>
    </cacheField>
    <cacheField name="Deal_Data[First Payment Date]" numFmtId="0">
      <sharedItems/>
    </cacheField>
    <cacheField name="Deal_Data[Attainment Quarter]" numFmtId="0">
      <sharedItems/>
    </cacheField>
    <cacheField name="Deal_Data[Commissionable ARR]" numFmtId="44">
      <sharedItems containsSemiMixedTypes="0" containsString="0" containsNumber="1" minValue="360" maxValue="88000"/>
    </cacheField>
    <cacheField name="Deal_Data[Payment Quarter]" numFmtId="0">
      <sharedItems containsBlank="1"/>
    </cacheField>
    <cacheField name="Deal_Data[Payment Date]" numFmtId="0">
      <sharedItems/>
    </cacheField>
    <cacheField name="Deal_Data[Owner Name]" numFmtId="0">
      <sharedItems count="4">
        <s v="Bob"/>
        <s v="Jane"/>
        <s v="Joe"/>
        <s v="Lin"/>
      </sharedItems>
    </cacheField>
    <cacheField name="Deal_Data[Accumulative ARR]" numFmtId="43">
      <sharedItems containsSemiMixedTypes="0" containsString="0" containsNumber="1" minValue="600" maxValue="377355"/>
    </cacheField>
    <cacheField name="Deal_Data[Commission Tier]" numFmtId="0">
      <sharedItems/>
    </cacheField>
    <cacheField name="Commission Calculation " numFmtId="44">
      <sharedItems containsSemiMixedTypes="0" containsString="0" containsNumber="1" minValue="43.199999999999996" maxValue="7920"/>
    </cacheField>
    <cacheField name="Paid" numFmtId="43">
      <sharedItems containsSemiMixedTypes="0" containsString="0" containsNumber="1" minValue="0" maxValue="792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e" refreshedDate="44611.923539351854" createdVersion="7" refreshedVersion="7" minRefreshableVersion="3" recordCount="42" xr:uid="{BCF09056-912C-4B53-8E75-55E45839F82F}">
  <cacheSource type="worksheet">
    <worksheetSource name="Q2_Comm_Detail"/>
  </cacheSource>
  <cacheFields count="15">
    <cacheField name="Deal_Data[Opportunity ID]" numFmtId="0">
      <sharedItems containsSemiMixedTypes="0" containsString="0" containsNumber="1" containsInteger="1" minValue="10002" maxValue="10318"/>
    </cacheField>
    <cacheField name="Deal_Data[Closed Won Date]" numFmtId="14">
      <sharedItems containsSemiMixedTypes="0" containsNonDate="0" containsDate="1" containsString="0" minDate="2022-04-01T00:00:00" maxDate="2022-07-01T00:00:00"/>
    </cacheField>
    <cacheField name="Deal_Data[Owner User ID]" numFmtId="0">
      <sharedItems/>
    </cacheField>
    <cacheField name="Deal_Data[Contract Length (Months)]" numFmtId="0">
      <sharedItems containsSemiMixedTypes="0" containsString="0" containsNumber="1" containsInteger="1" minValue="12" maxValue="36"/>
    </cacheField>
    <cacheField name="Deal_Data[Total Contract Value]" numFmtId="44">
      <sharedItems containsSemiMixedTypes="0" containsString="0" containsNumber="1" minValue="948" maxValue="215000"/>
    </cacheField>
    <cacheField name="Deal_Data[First Payment Date]" numFmtId="0">
      <sharedItems/>
    </cacheField>
    <cacheField name="Deal_Data[Attainment Quarter]" numFmtId="0">
      <sharedItems/>
    </cacheField>
    <cacheField name="Deal_Data[Commissionable AAR]" numFmtId="44">
      <sharedItems containsSemiMixedTypes="0" containsString="0" containsNumber="1" minValue="948" maxValue="215000"/>
    </cacheField>
    <cacheField name="Deal_Data[Payment Quarter]" numFmtId="0">
      <sharedItems/>
    </cacheField>
    <cacheField name="Deal_Data[Payment Date]" numFmtId="0">
      <sharedItems/>
    </cacheField>
    <cacheField name="Deal_Data[Owner Name]" numFmtId="0">
      <sharedItems count="4">
        <s v="Bob"/>
        <s v="Jane"/>
        <s v="Joe"/>
        <s v="Lin"/>
      </sharedItems>
    </cacheField>
    <cacheField name="Deal_Data[Accumulative ARR]" numFmtId="44">
      <sharedItems containsSemiMixedTypes="0" containsString="0" containsNumber="1" minValue="4800" maxValue="496872"/>
    </cacheField>
    <cacheField name="Commission Tier" numFmtId="44">
      <sharedItems/>
    </cacheField>
    <cacheField name="Commission Calculation " numFmtId="44">
      <sharedItems containsSemiMixedTypes="0" containsString="0" containsNumber="1" minValue="75.84" maxValue="23650"/>
    </cacheField>
    <cacheField name="Paid" numFmtId="43">
      <sharedItems containsSemiMixedTypes="0" containsString="0" containsNumber="1" minValue="0" maxValue="236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d v="2022-01-01T00:00:00"/>
    <s v="A"/>
    <n v="30"/>
    <n v="15600"/>
    <d v="2022-01-20T00:00:00"/>
    <x v="0"/>
    <n v="6240"/>
    <x v="0"/>
    <d v="2022-03-31T00:00:00"/>
    <x v="0"/>
    <n v="6240"/>
  </r>
  <r>
    <x v="1"/>
    <d v="2022-01-26T00:00:00"/>
    <s v="A"/>
    <n v="12"/>
    <n v="5114.67"/>
    <d v="2022-02-23T00:00:00"/>
    <x v="0"/>
    <n v="5114.67"/>
    <x v="0"/>
    <d v="2022-03-31T00:00:00"/>
    <x v="0"/>
    <n v="11354.67"/>
  </r>
  <r>
    <x v="2"/>
    <d v="2022-01-27T00:00:00"/>
    <s v="A"/>
    <n v="12"/>
    <n v="14412"/>
    <d v="2022-02-01T00:00:00"/>
    <x v="0"/>
    <n v="14412"/>
    <x v="0"/>
    <d v="2022-03-31T00:00:00"/>
    <x v="0"/>
    <n v="25766.67"/>
  </r>
  <r>
    <x v="3"/>
    <d v="2022-01-31T00:00:00"/>
    <s v="A"/>
    <n v="12"/>
    <n v="12000"/>
    <d v="2022-02-10T00:00:00"/>
    <x v="0"/>
    <n v="12000"/>
    <x v="0"/>
    <d v="2022-03-31T00:00:00"/>
    <x v="0"/>
    <n v="37766.67"/>
  </r>
  <r>
    <x v="4"/>
    <d v="2022-02-03T00:00:00"/>
    <s v="A"/>
    <n v="36"/>
    <n v="18000"/>
    <d v="2022-02-14T00:00:00"/>
    <x v="0"/>
    <n v="6000"/>
    <x v="0"/>
    <d v="2022-03-31T00:00:00"/>
    <x v="0"/>
    <n v="43766.67"/>
  </r>
  <r>
    <x v="5"/>
    <d v="2022-02-14T00:00:00"/>
    <s v="A"/>
    <n v="12"/>
    <n v="24000"/>
    <s v=""/>
    <x v="0"/>
    <n v="24000"/>
    <x v="1"/>
    <s v="First Payment Pending"/>
    <x v="0"/>
    <n v="67766.67"/>
  </r>
  <r>
    <x v="6"/>
    <d v="2022-02-28T00:00:00"/>
    <s v="A"/>
    <n v="24"/>
    <n v="4000"/>
    <d v="2022-05-03T00:00:00"/>
    <x v="0"/>
    <n v="2000"/>
    <x v="2"/>
    <d v="2022-06-30T00:00:00"/>
    <x v="0"/>
    <n v="69766.67"/>
  </r>
  <r>
    <x v="7"/>
    <d v="2022-02-28T00:00:00"/>
    <s v="A"/>
    <n v="12"/>
    <n v="5175"/>
    <d v="2022-05-04T00:00:00"/>
    <x v="0"/>
    <n v="5175"/>
    <x v="2"/>
    <d v="2022-06-30T00:00:00"/>
    <x v="0"/>
    <n v="74941.67"/>
  </r>
  <r>
    <x v="8"/>
    <d v="2022-03-02T00:00:00"/>
    <s v="A"/>
    <n v="30"/>
    <n v="85000"/>
    <d v="2022-06-12T00:00:00"/>
    <x v="0"/>
    <n v="34000"/>
    <x v="2"/>
    <d v="2022-06-30T00:00:00"/>
    <x v="0"/>
    <n v="108941.67"/>
  </r>
  <r>
    <x v="9"/>
    <d v="2022-03-05T00:00:00"/>
    <s v="A"/>
    <n v="12"/>
    <n v="20000"/>
    <d v="2022-05-02T00:00:00"/>
    <x v="0"/>
    <n v="20000"/>
    <x v="2"/>
    <d v="2022-06-30T00:00:00"/>
    <x v="0"/>
    <n v="128941.67"/>
  </r>
  <r>
    <x v="10"/>
    <d v="2022-03-13T00:00:00"/>
    <s v="A"/>
    <n v="12"/>
    <n v="45000"/>
    <s v=""/>
    <x v="0"/>
    <n v="45000"/>
    <x v="1"/>
    <s v="First Payment Pending"/>
    <x v="0"/>
    <n v="173941.66999999998"/>
  </r>
  <r>
    <x v="11"/>
    <d v="2022-03-16T00:00:00"/>
    <s v="A"/>
    <n v="12"/>
    <n v="3000"/>
    <d v="2022-03-24T00:00:00"/>
    <x v="0"/>
    <n v="3000"/>
    <x v="0"/>
    <d v="2022-03-31T00:00:00"/>
    <x v="0"/>
    <n v="176941.66999999998"/>
  </r>
  <r>
    <x v="12"/>
    <d v="2022-03-16T00:00:00"/>
    <s v="A"/>
    <n v="30"/>
    <n v="24000"/>
    <s v=""/>
    <x v="0"/>
    <n v="9600"/>
    <x v="1"/>
    <s v="First Payment Pending"/>
    <x v="0"/>
    <n v="186541.66999999998"/>
  </r>
  <r>
    <x v="13"/>
    <d v="2022-03-20T00:00:00"/>
    <s v="A"/>
    <n v="12"/>
    <n v="7200"/>
    <d v="2022-03-22T00:00:00"/>
    <x v="0"/>
    <n v="7200"/>
    <x v="0"/>
    <d v="2022-03-31T00:00:00"/>
    <x v="0"/>
    <n v="193741.66999999998"/>
  </r>
  <r>
    <x v="14"/>
    <d v="2022-03-22T00:00:00"/>
    <s v="A"/>
    <n v="12"/>
    <n v="7000"/>
    <d v="2022-04-27T00:00:00"/>
    <x v="0"/>
    <n v="7000"/>
    <x v="2"/>
    <d v="2022-06-30T00:00:00"/>
    <x v="0"/>
    <n v="200741.66999999998"/>
  </r>
  <r>
    <x v="15"/>
    <d v="2022-03-26T00:00:00"/>
    <s v="A"/>
    <n v="30"/>
    <n v="12000"/>
    <d v="2022-06-08T00:00:00"/>
    <x v="0"/>
    <n v="4800"/>
    <x v="2"/>
    <d v="2022-06-30T00:00:00"/>
    <x v="0"/>
    <n v="205541.66999999998"/>
  </r>
  <r>
    <x v="16"/>
    <d v="2022-03-29T00:00:00"/>
    <s v="A"/>
    <n v="12"/>
    <n v="18000"/>
    <d v="2022-04-23T00:00:00"/>
    <x v="0"/>
    <n v="18000"/>
    <x v="2"/>
    <d v="2022-06-30T00:00:00"/>
    <x v="0"/>
    <n v="223541.66999999998"/>
  </r>
  <r>
    <x v="17"/>
    <d v="2022-03-29T00:00:00"/>
    <s v="A"/>
    <n v="12"/>
    <n v="18000"/>
    <d v="2022-05-02T00:00:00"/>
    <x v="0"/>
    <n v="18000"/>
    <x v="2"/>
    <d v="2022-06-30T00:00:00"/>
    <x v="0"/>
    <n v="241541.66999999998"/>
  </r>
  <r>
    <x v="18"/>
    <d v="2022-03-29T00:00:00"/>
    <s v="A"/>
    <n v="12"/>
    <n v="9000"/>
    <s v=""/>
    <x v="0"/>
    <n v="9000"/>
    <x v="1"/>
    <s v="First Payment Pending"/>
    <x v="0"/>
    <n v="250541.66999999998"/>
  </r>
  <r>
    <x v="19"/>
    <d v="2022-03-30T00:00:00"/>
    <s v="A"/>
    <n v="12"/>
    <n v="29000"/>
    <d v="2022-06-07T00:00:00"/>
    <x v="0"/>
    <n v="29000"/>
    <x v="2"/>
    <d v="2022-06-30T00:00:00"/>
    <x v="0"/>
    <n v="279541.67"/>
  </r>
  <r>
    <x v="20"/>
    <d v="2022-03-31T00:00:00"/>
    <s v="A"/>
    <n v="12"/>
    <n v="7000"/>
    <d v="2022-04-13T00:00:00"/>
    <x v="0"/>
    <n v="7000"/>
    <x v="2"/>
    <d v="2022-06-30T00:00:00"/>
    <x v="0"/>
    <n v="286541.67"/>
  </r>
  <r>
    <x v="21"/>
    <d v="2022-03-31T00:00:00"/>
    <s v="A"/>
    <n v="12"/>
    <n v="15000"/>
    <d v="2022-06-09T00:00:00"/>
    <x v="0"/>
    <n v="15000"/>
    <x v="2"/>
    <d v="2022-06-30T00:00:00"/>
    <x v="0"/>
    <n v="301541.67"/>
  </r>
  <r>
    <x v="22"/>
    <d v="2022-04-01T00:00:00"/>
    <s v="A"/>
    <n v="20"/>
    <n v="70200"/>
    <d v="2022-04-13T00:00:00"/>
    <x v="1"/>
    <n v="42120"/>
    <x v="2"/>
    <d v="2022-06-30T00:00:00"/>
    <x v="0"/>
    <n v="42120"/>
  </r>
  <r>
    <x v="23"/>
    <d v="2022-04-17T00:00:00"/>
    <s v="A"/>
    <n v="12"/>
    <n v="948"/>
    <d v="2022-05-24T00:00:00"/>
    <x v="1"/>
    <n v="948"/>
    <x v="2"/>
    <d v="2022-06-30T00:00:00"/>
    <x v="0"/>
    <n v="43068"/>
  </r>
  <r>
    <x v="24"/>
    <d v="2022-04-24T00:00:00"/>
    <s v="A"/>
    <n v="36"/>
    <n v="30000"/>
    <s v=""/>
    <x v="1"/>
    <n v="10000"/>
    <x v="1"/>
    <s v="First Payment Pending"/>
    <x v="0"/>
    <n v="53068"/>
  </r>
  <r>
    <x v="25"/>
    <d v="2022-04-27T00:00:00"/>
    <s v="A"/>
    <n v="36"/>
    <n v="15000"/>
    <s v=""/>
    <x v="1"/>
    <n v="5000"/>
    <x v="1"/>
    <s v="First Payment Pending"/>
    <x v="0"/>
    <n v="58068"/>
  </r>
  <r>
    <x v="26"/>
    <d v="2022-04-28T00:00:00"/>
    <s v="A"/>
    <n v="12"/>
    <n v="20000"/>
    <d v="2022-06-06T00:00:00"/>
    <x v="1"/>
    <n v="20000"/>
    <x v="2"/>
    <d v="2022-06-30T00:00:00"/>
    <x v="0"/>
    <n v="78068"/>
  </r>
  <r>
    <x v="27"/>
    <d v="2022-05-01T00:00:00"/>
    <s v="A"/>
    <n v="12"/>
    <n v="4500"/>
    <s v=""/>
    <x v="1"/>
    <n v="4500"/>
    <x v="1"/>
    <s v="First Payment Pending"/>
    <x v="0"/>
    <n v="82568"/>
  </r>
  <r>
    <x v="28"/>
    <d v="2022-05-11T00:00:00"/>
    <s v="A"/>
    <n v="30"/>
    <n v="15000"/>
    <d v="2022-06-28T00:00:00"/>
    <x v="1"/>
    <n v="6000"/>
    <x v="2"/>
    <d v="2022-06-30T00:00:00"/>
    <x v="0"/>
    <n v="88568"/>
  </r>
  <r>
    <x v="29"/>
    <d v="2022-05-26T00:00:00"/>
    <s v="A"/>
    <n v="20"/>
    <n v="20000"/>
    <d v="2022-06-09T00:00:00"/>
    <x v="1"/>
    <n v="12000"/>
    <x v="2"/>
    <d v="2022-06-30T00:00:00"/>
    <x v="0"/>
    <n v="100568"/>
  </r>
  <r>
    <x v="30"/>
    <d v="2022-06-02T00:00:00"/>
    <s v="A"/>
    <n v="16"/>
    <n v="4295"/>
    <d v="2022-06-20T00:00:00"/>
    <x v="1"/>
    <n v="3221.25"/>
    <x v="2"/>
    <d v="2022-06-30T00:00:00"/>
    <x v="0"/>
    <n v="103789.25"/>
  </r>
  <r>
    <x v="31"/>
    <d v="2022-06-20T00:00:00"/>
    <s v="A"/>
    <n v="12"/>
    <n v="9000"/>
    <d v="2022-06-27T00:00:00"/>
    <x v="1"/>
    <n v="9000"/>
    <x v="2"/>
    <d v="2022-06-30T00:00:00"/>
    <x v="0"/>
    <n v="112789.25"/>
  </r>
  <r>
    <x v="32"/>
    <d v="2022-06-20T00:00:00"/>
    <s v="A"/>
    <n v="12"/>
    <n v="27500"/>
    <d v="2022-06-01T00:00:00"/>
    <x v="1"/>
    <n v="27500"/>
    <x v="2"/>
    <d v="2022-06-30T00:00:00"/>
    <x v="0"/>
    <n v="140289.25"/>
  </r>
  <r>
    <x v="33"/>
    <d v="2022-01-11T00:00:00"/>
    <s v="B"/>
    <n v="36"/>
    <n v="1800"/>
    <d v="2022-02-01T00:00:00"/>
    <x v="0"/>
    <n v="600"/>
    <x v="0"/>
    <d v="2022-03-31T00:00:00"/>
    <x v="1"/>
    <n v="600"/>
  </r>
  <r>
    <x v="34"/>
    <d v="2022-01-20T00:00:00"/>
    <s v="B"/>
    <n v="20"/>
    <n v="17000"/>
    <d v="2021-12-09T00:00:00"/>
    <x v="0"/>
    <n v="10200"/>
    <x v="3"/>
    <s v="First Payment Pending"/>
    <x v="1"/>
    <n v="10800"/>
  </r>
  <r>
    <x v="35"/>
    <d v="2022-02-01T00:00:00"/>
    <s v="B"/>
    <n v="36"/>
    <n v="6589"/>
    <d v="2022-02-22T00:00:00"/>
    <x v="0"/>
    <n v="2196.333333333333"/>
    <x v="0"/>
    <d v="2022-03-31T00:00:00"/>
    <x v="1"/>
    <n v="12996.333333333332"/>
  </r>
  <r>
    <x v="36"/>
    <d v="2022-02-03T00:00:00"/>
    <s v="B"/>
    <n v="12"/>
    <n v="15000"/>
    <d v="2022-02-28T00:00:00"/>
    <x v="0"/>
    <n v="15000"/>
    <x v="0"/>
    <d v="2022-03-31T00:00:00"/>
    <x v="1"/>
    <n v="27996.333333333332"/>
  </r>
  <r>
    <x v="37"/>
    <d v="2022-03-06T00:00:00"/>
    <s v="B"/>
    <n v="30"/>
    <n v="7200"/>
    <d v="2022-04-06T00:00:00"/>
    <x v="0"/>
    <n v="2880"/>
    <x v="2"/>
    <d v="2022-06-30T00:00:00"/>
    <x v="1"/>
    <n v="30876.333333333332"/>
  </r>
  <r>
    <x v="38"/>
    <d v="2022-03-15T00:00:00"/>
    <s v="B"/>
    <n v="12"/>
    <n v="3360"/>
    <d v="2022-05-27T00:00:00"/>
    <x v="0"/>
    <n v="3360"/>
    <x v="2"/>
    <d v="2022-06-30T00:00:00"/>
    <x v="1"/>
    <n v="34236.333333333328"/>
  </r>
  <r>
    <x v="39"/>
    <d v="2022-03-22T00:00:00"/>
    <s v="B"/>
    <n v="12"/>
    <n v="1125"/>
    <d v="2022-04-11T00:00:00"/>
    <x v="0"/>
    <n v="1125"/>
    <x v="2"/>
    <d v="2022-06-30T00:00:00"/>
    <x v="1"/>
    <n v="35361.333333333328"/>
  </r>
  <r>
    <x v="40"/>
    <d v="2022-03-23T00:00:00"/>
    <s v="B"/>
    <n v="12"/>
    <n v="360"/>
    <d v="2022-04-24T00:00:00"/>
    <x v="0"/>
    <n v="360"/>
    <x v="2"/>
    <d v="2022-06-30T00:00:00"/>
    <x v="1"/>
    <n v="35721.333333333328"/>
  </r>
  <r>
    <x v="41"/>
    <d v="2022-03-24T00:00:00"/>
    <s v="B"/>
    <n v="12"/>
    <n v="13400"/>
    <d v="2022-04-07T00:00:00"/>
    <x v="0"/>
    <n v="13400"/>
    <x v="2"/>
    <d v="2022-06-30T00:00:00"/>
    <x v="1"/>
    <n v="49121.333333333328"/>
  </r>
  <r>
    <x v="42"/>
    <d v="2022-03-30T00:00:00"/>
    <s v="B"/>
    <n v="12"/>
    <n v="6000"/>
    <d v="2022-05-07T00:00:00"/>
    <x v="0"/>
    <n v="6000"/>
    <x v="2"/>
    <d v="2022-06-30T00:00:00"/>
    <x v="1"/>
    <n v="55121.333333333328"/>
  </r>
  <r>
    <x v="43"/>
    <d v="2022-03-31T00:00:00"/>
    <s v="B"/>
    <n v="12"/>
    <n v="3999"/>
    <d v="2022-06-01T00:00:00"/>
    <x v="0"/>
    <n v="3999"/>
    <x v="2"/>
    <d v="2022-06-30T00:00:00"/>
    <x v="1"/>
    <n v="59120.333333333328"/>
  </r>
  <r>
    <x v="44"/>
    <d v="2022-04-20T00:00:00"/>
    <s v="B"/>
    <n v="12"/>
    <n v="15996"/>
    <d v="2022-05-10T00:00:00"/>
    <x v="1"/>
    <n v="15996"/>
    <x v="2"/>
    <d v="2022-06-30T00:00:00"/>
    <x v="1"/>
    <n v="15996"/>
  </r>
  <r>
    <x v="45"/>
    <d v="2022-04-21T00:00:00"/>
    <s v="B"/>
    <n v="27"/>
    <n v="20000"/>
    <d v="2022-05-07T00:00:00"/>
    <x v="1"/>
    <n v="8888.8888888888887"/>
    <x v="2"/>
    <d v="2022-06-30T00:00:00"/>
    <x v="1"/>
    <n v="24884.888888888891"/>
  </r>
  <r>
    <x v="46"/>
    <d v="2022-04-26T00:00:00"/>
    <s v="B"/>
    <n v="36"/>
    <n v="85000.5"/>
    <s v=""/>
    <x v="1"/>
    <n v="28333.5"/>
    <x v="1"/>
    <s v="First Payment Pending"/>
    <x v="1"/>
    <n v="53218.388888888891"/>
  </r>
  <r>
    <x v="47"/>
    <d v="2022-05-01T00:00:00"/>
    <s v="B"/>
    <n v="12"/>
    <n v="27000"/>
    <d v="2022-06-30T00:00:00"/>
    <x v="1"/>
    <n v="27000"/>
    <x v="2"/>
    <d v="2022-06-30T00:00:00"/>
    <x v="1"/>
    <n v="80218.388888888891"/>
  </r>
  <r>
    <x v="48"/>
    <d v="2022-05-03T00:00:00"/>
    <s v="B"/>
    <n v="36"/>
    <n v="23333"/>
    <d v="2022-05-15T00:00:00"/>
    <x v="1"/>
    <n v="7777.666666666667"/>
    <x v="2"/>
    <d v="2022-06-30T00:00:00"/>
    <x v="1"/>
    <n v="87996.055555555562"/>
  </r>
  <r>
    <x v="49"/>
    <d v="2022-05-03T00:00:00"/>
    <s v="B"/>
    <n v="12"/>
    <n v="17980"/>
    <d v="2022-05-12T00:00:00"/>
    <x v="1"/>
    <n v="17980"/>
    <x v="2"/>
    <d v="2022-06-30T00:00:00"/>
    <x v="1"/>
    <n v="105976.05555555556"/>
  </r>
  <r>
    <x v="50"/>
    <d v="2022-05-31T00:00:00"/>
    <s v="B"/>
    <n v="12"/>
    <n v="215000"/>
    <d v="2022-06-08T00:00:00"/>
    <x v="1"/>
    <n v="215000"/>
    <x v="2"/>
    <d v="2022-06-30T00:00:00"/>
    <x v="1"/>
    <n v="320976.05555555556"/>
  </r>
  <r>
    <x v="51"/>
    <d v="2022-06-22T00:00:00"/>
    <s v="B"/>
    <n v="12"/>
    <n v="14400"/>
    <s v=""/>
    <x v="1"/>
    <n v="14400"/>
    <x v="1"/>
    <s v="First Payment Pending"/>
    <x v="1"/>
    <n v="335376.05555555556"/>
  </r>
  <r>
    <x v="52"/>
    <d v="2022-06-27T00:00:00"/>
    <s v="B"/>
    <n v="30"/>
    <n v="18000"/>
    <s v=""/>
    <x v="1"/>
    <n v="7200"/>
    <x v="1"/>
    <s v="First Payment Pending"/>
    <x v="1"/>
    <n v="342576.05555555556"/>
  </r>
  <r>
    <x v="53"/>
    <d v="2022-06-30T00:00:00"/>
    <s v="B"/>
    <n v="36"/>
    <n v="15000"/>
    <s v=""/>
    <x v="1"/>
    <n v="5000"/>
    <x v="1"/>
    <s v="First Payment Pending"/>
    <x v="1"/>
    <n v="347576.05555555556"/>
  </r>
  <r>
    <x v="54"/>
    <d v="2022-01-31T00:00:00"/>
    <s v="C"/>
    <n v="36"/>
    <n v="15260"/>
    <d v="2022-03-05T00:00:00"/>
    <x v="0"/>
    <n v="5086.666666666667"/>
    <x v="0"/>
    <d v="2022-03-31T00:00:00"/>
    <x v="2"/>
    <n v="5086.666666666667"/>
  </r>
  <r>
    <x v="55"/>
    <d v="2022-02-05T00:00:00"/>
    <s v="C"/>
    <n v="12"/>
    <n v="28800"/>
    <d v="2022-04-05T00:00:00"/>
    <x v="0"/>
    <n v="28800"/>
    <x v="2"/>
    <d v="2022-06-30T00:00:00"/>
    <x v="2"/>
    <n v="33886.666666666664"/>
  </r>
  <r>
    <x v="56"/>
    <d v="2022-02-23T00:00:00"/>
    <s v="C"/>
    <n v="12"/>
    <n v="10500"/>
    <d v="2022-03-04T00:00:00"/>
    <x v="0"/>
    <n v="10500"/>
    <x v="0"/>
    <d v="2022-03-31T00:00:00"/>
    <x v="2"/>
    <n v="44386.666666666664"/>
  </r>
  <r>
    <x v="57"/>
    <d v="2022-03-21T00:00:00"/>
    <s v="C"/>
    <n v="20"/>
    <n v="5000"/>
    <d v="2022-05-30T00:00:00"/>
    <x v="0"/>
    <n v="3000"/>
    <x v="2"/>
    <d v="2022-06-30T00:00:00"/>
    <x v="2"/>
    <n v="47386.666666666664"/>
  </r>
  <r>
    <x v="58"/>
    <d v="2022-03-23T00:00:00"/>
    <s v="C"/>
    <n v="12"/>
    <n v="7200"/>
    <d v="2022-04-30T00:00:00"/>
    <x v="0"/>
    <n v="7200"/>
    <x v="2"/>
    <d v="2022-06-30T00:00:00"/>
    <x v="2"/>
    <n v="54586.666666666664"/>
  </r>
  <r>
    <x v="59"/>
    <d v="2022-03-24T00:00:00"/>
    <s v="C"/>
    <n v="12"/>
    <n v="6600"/>
    <d v="2022-03-26T00:00:00"/>
    <x v="0"/>
    <n v="6600"/>
    <x v="0"/>
    <d v="2022-03-31T00:00:00"/>
    <x v="2"/>
    <n v="61186.666666666664"/>
  </r>
  <r>
    <x v="60"/>
    <d v="2022-03-27T00:00:00"/>
    <s v="C"/>
    <n v="12"/>
    <n v="88000"/>
    <d v="2022-04-16T00:00:00"/>
    <x v="0"/>
    <n v="88000"/>
    <x v="2"/>
    <d v="2022-06-30T00:00:00"/>
    <x v="2"/>
    <n v="149186.66666666666"/>
  </r>
  <r>
    <x v="61"/>
    <d v="2022-03-27T00:00:00"/>
    <s v="C"/>
    <n v="12"/>
    <n v="24000"/>
    <d v="2022-05-10T00:00:00"/>
    <x v="0"/>
    <n v="24000"/>
    <x v="2"/>
    <d v="2022-06-30T00:00:00"/>
    <x v="2"/>
    <n v="173186.66666666666"/>
  </r>
  <r>
    <x v="62"/>
    <d v="2022-03-28T00:00:00"/>
    <s v="C"/>
    <n v="12"/>
    <n v="14000"/>
    <d v="2022-05-11T00:00:00"/>
    <x v="0"/>
    <n v="14000"/>
    <x v="2"/>
    <d v="2022-06-30T00:00:00"/>
    <x v="2"/>
    <n v="187186.66666666666"/>
  </r>
  <r>
    <x v="63"/>
    <d v="2022-03-29T00:00:00"/>
    <s v="C"/>
    <n v="20"/>
    <n v="7200"/>
    <d v="2022-05-04T00:00:00"/>
    <x v="0"/>
    <n v="4320"/>
    <x v="2"/>
    <d v="2022-06-30T00:00:00"/>
    <x v="2"/>
    <n v="191506.66666666666"/>
  </r>
  <r>
    <x v="64"/>
    <d v="2022-03-29T00:00:00"/>
    <s v="C"/>
    <n v="12"/>
    <n v="5000"/>
    <d v="2022-05-09T00:00:00"/>
    <x v="0"/>
    <n v="5000"/>
    <x v="2"/>
    <d v="2022-06-30T00:00:00"/>
    <x v="2"/>
    <n v="196506.66666666666"/>
  </r>
  <r>
    <x v="65"/>
    <d v="2022-03-31T00:00:00"/>
    <s v="C"/>
    <n v="12"/>
    <n v="25000"/>
    <d v="2022-04-23T00:00:00"/>
    <x v="0"/>
    <n v="25000"/>
    <x v="2"/>
    <d v="2022-06-30T00:00:00"/>
    <x v="2"/>
    <n v="221506.66666666666"/>
  </r>
  <r>
    <x v="66"/>
    <d v="2022-03-31T00:00:00"/>
    <s v="C"/>
    <n v="12"/>
    <n v="17600"/>
    <d v="2022-06-01T00:00:00"/>
    <x v="0"/>
    <n v="17600"/>
    <x v="2"/>
    <d v="2022-06-30T00:00:00"/>
    <x v="2"/>
    <n v="239106.66666666666"/>
  </r>
  <r>
    <x v="67"/>
    <d v="2022-04-18T00:00:00"/>
    <s v="C"/>
    <n v="12"/>
    <n v="4800"/>
    <d v="2022-06-01T00:00:00"/>
    <x v="1"/>
    <n v="4800"/>
    <x v="2"/>
    <d v="2022-06-30T00:00:00"/>
    <x v="2"/>
    <n v="4800"/>
  </r>
  <r>
    <x v="68"/>
    <d v="2022-04-23T00:00:00"/>
    <s v="C"/>
    <n v="12"/>
    <n v="1575"/>
    <d v="2022-05-31T00:00:00"/>
    <x v="1"/>
    <n v="1575"/>
    <x v="2"/>
    <d v="2022-06-30T00:00:00"/>
    <x v="2"/>
    <n v="6375"/>
  </r>
  <r>
    <x v="69"/>
    <d v="2022-04-25T00:00:00"/>
    <s v="C"/>
    <n v="12"/>
    <n v="32686.3"/>
    <d v="2022-04-30T00:00:00"/>
    <x v="1"/>
    <n v="32686.3"/>
    <x v="2"/>
    <d v="2022-06-30T00:00:00"/>
    <x v="2"/>
    <n v="39061.300000000003"/>
  </r>
  <r>
    <x v="70"/>
    <d v="2022-04-30T00:00:00"/>
    <s v="C"/>
    <n v="12"/>
    <n v="46667"/>
    <d v="2022-06-20T00:00:00"/>
    <x v="1"/>
    <n v="46667"/>
    <x v="2"/>
    <d v="2022-06-30T00:00:00"/>
    <x v="2"/>
    <n v="85728.3"/>
  </r>
  <r>
    <x v="71"/>
    <d v="2022-04-30T00:00:00"/>
    <s v="C"/>
    <n v="12"/>
    <n v="12000"/>
    <d v="2022-05-03T00:00:00"/>
    <x v="1"/>
    <n v="12000"/>
    <x v="2"/>
    <d v="2022-06-30T00:00:00"/>
    <x v="2"/>
    <n v="97728.3"/>
  </r>
  <r>
    <x v="72"/>
    <d v="2022-05-06T00:00:00"/>
    <s v="C"/>
    <n v="30"/>
    <n v="15000"/>
    <d v="2022-05-24T00:00:00"/>
    <x v="1"/>
    <n v="6000"/>
    <x v="2"/>
    <d v="2022-06-30T00:00:00"/>
    <x v="2"/>
    <n v="103728.3"/>
  </r>
  <r>
    <x v="73"/>
    <d v="2022-05-09T00:00:00"/>
    <s v="C"/>
    <n v="12"/>
    <n v="10812"/>
    <d v="2022-05-25T00:00:00"/>
    <x v="1"/>
    <n v="10812"/>
    <x v="2"/>
    <d v="2022-06-30T00:00:00"/>
    <x v="2"/>
    <n v="114540.3"/>
  </r>
  <r>
    <x v="74"/>
    <d v="2022-06-30T00:00:00"/>
    <s v="C"/>
    <n v="12"/>
    <n v="75000"/>
    <s v=""/>
    <x v="1"/>
    <n v="75000"/>
    <x v="1"/>
    <s v="First Payment Pending"/>
    <x v="2"/>
    <n v="189540.3"/>
  </r>
  <r>
    <x v="75"/>
    <d v="2022-06-30T00:00:00"/>
    <s v="C"/>
    <n v="12"/>
    <n v="24000"/>
    <s v=""/>
    <x v="1"/>
    <n v="24000"/>
    <x v="1"/>
    <s v="First Payment Pending"/>
    <x v="2"/>
    <n v="213540.3"/>
  </r>
  <r>
    <x v="76"/>
    <d v="2022-06-30T00:00:00"/>
    <s v="C"/>
    <n v="12"/>
    <n v="64000"/>
    <s v=""/>
    <x v="1"/>
    <n v="64000"/>
    <x v="1"/>
    <s v="First Payment Pending"/>
    <x v="2"/>
    <n v="277540.3"/>
  </r>
  <r>
    <x v="77"/>
    <d v="2022-01-16T00:00:00"/>
    <s v="D"/>
    <n v="12"/>
    <n v="5500"/>
    <d v="2022-01-20T00:00:00"/>
    <x v="0"/>
    <n v="5500"/>
    <x v="0"/>
    <d v="2022-03-31T00:00:00"/>
    <x v="3"/>
    <n v="5500"/>
  </r>
  <r>
    <x v="78"/>
    <d v="2022-01-22T00:00:00"/>
    <s v="D"/>
    <n v="12"/>
    <n v="6000"/>
    <d v="2022-03-29T00:00:00"/>
    <x v="0"/>
    <n v="6000"/>
    <x v="0"/>
    <d v="2022-03-31T00:00:00"/>
    <x v="3"/>
    <n v="11500"/>
  </r>
  <r>
    <x v="79"/>
    <d v="2022-02-03T00:00:00"/>
    <s v="D"/>
    <n v="12"/>
    <n v="15000"/>
    <d v="2022-03-21T00:00:00"/>
    <x v="0"/>
    <n v="15000"/>
    <x v="0"/>
    <d v="2022-03-31T00:00:00"/>
    <x v="3"/>
    <n v="26500"/>
  </r>
  <r>
    <x v="80"/>
    <d v="2022-02-08T00:00:00"/>
    <s v="D"/>
    <n v="36"/>
    <n v="29250"/>
    <d v="2022-03-08T00:00:00"/>
    <x v="0"/>
    <n v="9750"/>
    <x v="0"/>
    <d v="2022-03-31T00:00:00"/>
    <x v="3"/>
    <n v="36250"/>
  </r>
  <r>
    <x v="81"/>
    <d v="2022-02-21T00:00:00"/>
    <s v="D"/>
    <n v="12"/>
    <n v="31140"/>
    <d v="2022-03-11T00:00:00"/>
    <x v="0"/>
    <n v="31140"/>
    <x v="0"/>
    <d v="2022-03-31T00:00:00"/>
    <x v="3"/>
    <n v="67390"/>
  </r>
  <r>
    <x v="82"/>
    <d v="2022-02-24T00:00:00"/>
    <s v="D"/>
    <n v="12"/>
    <n v="12500"/>
    <d v="2022-04-10T00:00:00"/>
    <x v="0"/>
    <n v="12500"/>
    <x v="2"/>
    <d v="2022-06-30T00:00:00"/>
    <x v="3"/>
    <n v="79890"/>
  </r>
  <r>
    <x v="83"/>
    <d v="2022-02-26T00:00:00"/>
    <s v="D"/>
    <n v="12"/>
    <n v="26500"/>
    <d v="2022-03-29T00:00:00"/>
    <x v="0"/>
    <n v="26500"/>
    <x v="0"/>
    <d v="2022-03-31T00:00:00"/>
    <x v="3"/>
    <n v="106390"/>
  </r>
  <r>
    <x v="84"/>
    <d v="2022-02-26T00:00:00"/>
    <s v="D"/>
    <n v="12"/>
    <n v="1500"/>
    <d v="2022-03-27T00:00:00"/>
    <x v="0"/>
    <n v="1500"/>
    <x v="0"/>
    <d v="2022-03-31T00:00:00"/>
    <x v="3"/>
    <n v="107890"/>
  </r>
  <r>
    <x v="85"/>
    <d v="2022-02-27T00:00:00"/>
    <s v="D"/>
    <n v="20"/>
    <n v="8750"/>
    <d v="2022-05-11T00:00:00"/>
    <x v="0"/>
    <n v="5250"/>
    <x v="2"/>
    <d v="2022-06-30T00:00:00"/>
    <x v="3"/>
    <n v="113140"/>
  </r>
  <r>
    <x v="86"/>
    <d v="2022-03-02T00:00:00"/>
    <s v="D"/>
    <n v="12"/>
    <n v="12000"/>
    <d v="2022-03-25T00:00:00"/>
    <x v="0"/>
    <n v="12000"/>
    <x v="0"/>
    <d v="2022-03-31T00:00:00"/>
    <x v="3"/>
    <n v="125140"/>
  </r>
  <r>
    <x v="87"/>
    <d v="2022-03-05T00:00:00"/>
    <s v="D"/>
    <n v="12"/>
    <n v="5600"/>
    <d v="2022-05-01T00:00:00"/>
    <x v="0"/>
    <n v="5600"/>
    <x v="2"/>
    <d v="2022-06-30T00:00:00"/>
    <x v="3"/>
    <n v="130740"/>
  </r>
  <r>
    <x v="88"/>
    <d v="2022-03-06T00:00:00"/>
    <s v="D"/>
    <n v="36"/>
    <n v="15000"/>
    <d v="2022-04-05T00:00:00"/>
    <x v="0"/>
    <n v="5000"/>
    <x v="2"/>
    <d v="2022-06-30T00:00:00"/>
    <x v="3"/>
    <n v="135740"/>
  </r>
  <r>
    <x v="89"/>
    <d v="2022-03-09T00:00:00"/>
    <s v="D"/>
    <n v="12"/>
    <n v="64000"/>
    <d v="2022-06-01T00:00:00"/>
    <x v="0"/>
    <n v="64000"/>
    <x v="2"/>
    <d v="2022-06-30T00:00:00"/>
    <x v="3"/>
    <n v="199740"/>
  </r>
  <r>
    <x v="90"/>
    <d v="2022-03-13T00:00:00"/>
    <s v="D"/>
    <n v="36"/>
    <n v="15000"/>
    <d v="2022-03-14T00:00:00"/>
    <x v="0"/>
    <n v="5000"/>
    <x v="0"/>
    <d v="2022-03-31T00:00:00"/>
    <x v="3"/>
    <n v="204740"/>
  </r>
  <r>
    <x v="91"/>
    <d v="2022-03-16T00:00:00"/>
    <s v="D"/>
    <n v="12"/>
    <n v="2000"/>
    <d v="2022-05-14T00:00:00"/>
    <x v="0"/>
    <n v="2000"/>
    <x v="2"/>
    <d v="2022-06-30T00:00:00"/>
    <x v="3"/>
    <n v="206740"/>
  </r>
  <r>
    <x v="92"/>
    <d v="2022-03-21T00:00:00"/>
    <s v="D"/>
    <n v="30"/>
    <n v="18000"/>
    <d v="2022-04-19T00:00:00"/>
    <x v="0"/>
    <n v="7200"/>
    <x v="2"/>
    <d v="2022-06-30T00:00:00"/>
    <x v="3"/>
    <n v="213940"/>
  </r>
  <r>
    <x v="93"/>
    <d v="2022-03-22T00:00:00"/>
    <s v="D"/>
    <n v="12"/>
    <n v="25000"/>
    <d v="2022-05-29T00:00:00"/>
    <x v="0"/>
    <n v="25000"/>
    <x v="2"/>
    <d v="2022-06-30T00:00:00"/>
    <x v="3"/>
    <n v="238940"/>
  </r>
  <r>
    <x v="94"/>
    <d v="2022-03-23T00:00:00"/>
    <s v="D"/>
    <n v="12"/>
    <n v="3000"/>
    <d v="2022-04-13T00:00:00"/>
    <x v="0"/>
    <n v="3000"/>
    <x v="2"/>
    <d v="2022-06-30T00:00:00"/>
    <x v="3"/>
    <n v="241940"/>
  </r>
  <r>
    <x v="95"/>
    <d v="2022-03-26T00:00:00"/>
    <s v="D"/>
    <n v="12"/>
    <n v="12000"/>
    <d v="2022-05-04T00:00:00"/>
    <x v="0"/>
    <n v="12000"/>
    <x v="2"/>
    <d v="2022-06-30T00:00:00"/>
    <x v="3"/>
    <n v="253940"/>
  </r>
  <r>
    <x v="96"/>
    <d v="2022-03-26T00:00:00"/>
    <s v="D"/>
    <n v="30"/>
    <n v="3000"/>
    <d v="2022-04-07T00:00:00"/>
    <x v="0"/>
    <n v="1200"/>
    <x v="2"/>
    <d v="2022-06-30T00:00:00"/>
    <x v="3"/>
    <n v="255140"/>
  </r>
  <r>
    <x v="97"/>
    <d v="2022-03-27T00:00:00"/>
    <s v="D"/>
    <n v="20"/>
    <n v="8025"/>
    <d v="2022-04-24T00:00:00"/>
    <x v="0"/>
    <n v="4815"/>
    <x v="2"/>
    <d v="2022-06-30T00:00:00"/>
    <x v="3"/>
    <n v="259955"/>
  </r>
  <r>
    <x v="98"/>
    <d v="2022-03-28T00:00:00"/>
    <s v="D"/>
    <n v="30"/>
    <n v="27500"/>
    <d v="2022-04-05T00:00:00"/>
    <x v="0"/>
    <n v="11000"/>
    <x v="2"/>
    <d v="2022-06-30T00:00:00"/>
    <x v="3"/>
    <n v="270955"/>
  </r>
  <r>
    <x v="99"/>
    <d v="2022-03-28T00:00:00"/>
    <s v="D"/>
    <n v="12"/>
    <n v="18000"/>
    <d v="2022-04-02T00:00:00"/>
    <x v="0"/>
    <n v="18000"/>
    <x v="2"/>
    <d v="2022-06-30T00:00:00"/>
    <x v="3"/>
    <n v="288955"/>
  </r>
  <r>
    <x v="100"/>
    <d v="2022-03-29T00:00:00"/>
    <s v="D"/>
    <n v="12"/>
    <n v="2400"/>
    <d v="2022-04-02T00:00:00"/>
    <x v="0"/>
    <n v="2400"/>
    <x v="2"/>
    <d v="2022-06-30T00:00:00"/>
    <x v="3"/>
    <n v="291355"/>
  </r>
  <r>
    <x v="101"/>
    <d v="2022-03-29T00:00:00"/>
    <s v="D"/>
    <n v="12"/>
    <n v="8500"/>
    <d v="2022-06-06T00:00:00"/>
    <x v="0"/>
    <n v="8500"/>
    <x v="2"/>
    <d v="2022-06-30T00:00:00"/>
    <x v="3"/>
    <n v="299855"/>
  </r>
  <r>
    <x v="102"/>
    <d v="2022-03-31T00:00:00"/>
    <s v="D"/>
    <n v="12"/>
    <n v="15000"/>
    <d v="2022-04-06T00:00:00"/>
    <x v="0"/>
    <n v="15000"/>
    <x v="2"/>
    <d v="2022-06-30T00:00:00"/>
    <x v="3"/>
    <n v="314855"/>
  </r>
  <r>
    <x v="103"/>
    <d v="2022-03-31T00:00:00"/>
    <s v="D"/>
    <n v="12"/>
    <n v="5000"/>
    <d v="2022-04-21T00:00:00"/>
    <x v="0"/>
    <n v="5000"/>
    <x v="2"/>
    <d v="2022-06-30T00:00:00"/>
    <x v="3"/>
    <n v="319855"/>
  </r>
  <r>
    <x v="104"/>
    <d v="2022-03-31T00:00:00"/>
    <s v="D"/>
    <n v="12"/>
    <n v="57500"/>
    <d v="2022-04-10T00:00:00"/>
    <x v="0"/>
    <n v="57500"/>
    <x v="2"/>
    <d v="2022-06-30T00:00:00"/>
    <x v="3"/>
    <n v="377355"/>
  </r>
  <r>
    <x v="105"/>
    <d v="2022-04-17T00:00:00"/>
    <s v="D"/>
    <n v="12"/>
    <n v="26052"/>
    <d v="2022-05-24T00:00:00"/>
    <x v="1"/>
    <n v="26052"/>
    <x v="2"/>
    <d v="2022-06-30T00:00:00"/>
    <x v="3"/>
    <n v="26052"/>
  </r>
  <r>
    <x v="106"/>
    <d v="2022-04-28T00:00:00"/>
    <s v="D"/>
    <n v="12"/>
    <n v="15400"/>
    <d v="2022-06-03T00:00:00"/>
    <x v="1"/>
    <n v="15400"/>
    <x v="2"/>
    <d v="2022-06-30T00:00:00"/>
    <x v="3"/>
    <n v="41452"/>
  </r>
  <r>
    <x v="107"/>
    <d v="2022-04-30T00:00:00"/>
    <s v="D"/>
    <n v="36"/>
    <n v="28500"/>
    <d v="2022-06-11T00:00:00"/>
    <x v="1"/>
    <n v="9500"/>
    <x v="2"/>
    <d v="2022-06-30T00:00:00"/>
    <x v="3"/>
    <n v="50952"/>
  </r>
  <r>
    <x v="108"/>
    <d v="2022-04-30T00:00:00"/>
    <s v="D"/>
    <n v="12"/>
    <n v="72000"/>
    <d v="2022-05-20T00:00:00"/>
    <x v="1"/>
    <n v="72000"/>
    <x v="2"/>
    <d v="2022-06-30T00:00:00"/>
    <x v="3"/>
    <n v="122952"/>
  </r>
  <r>
    <x v="109"/>
    <d v="2022-05-03T00:00:00"/>
    <s v="D"/>
    <n v="12"/>
    <n v="24000"/>
    <d v="2022-05-11T00:00:00"/>
    <x v="1"/>
    <n v="24000"/>
    <x v="2"/>
    <d v="2022-06-30T00:00:00"/>
    <x v="3"/>
    <n v="146952"/>
  </r>
  <r>
    <x v="110"/>
    <d v="2022-05-03T00:00:00"/>
    <s v="D"/>
    <n v="30"/>
    <n v="15000"/>
    <d v="2022-05-07T00:00:00"/>
    <x v="1"/>
    <n v="6000"/>
    <x v="2"/>
    <d v="2022-06-30T00:00:00"/>
    <x v="3"/>
    <n v="152952"/>
  </r>
  <r>
    <x v="111"/>
    <d v="2022-05-26T00:00:00"/>
    <s v="D"/>
    <n v="20"/>
    <n v="7200"/>
    <d v="2022-05-23T00:00:00"/>
    <x v="1"/>
    <n v="4320"/>
    <x v="2"/>
    <d v="2022-06-30T00:00:00"/>
    <x v="3"/>
    <n v="157272"/>
  </r>
  <r>
    <x v="112"/>
    <d v="2022-06-02T00:00:00"/>
    <s v="D"/>
    <n v="12"/>
    <n v="200000"/>
    <d v="2022-06-22T00:00:00"/>
    <x v="1"/>
    <n v="200000"/>
    <x v="2"/>
    <d v="2022-06-30T00:00:00"/>
    <x v="3"/>
    <n v="357272"/>
  </r>
  <r>
    <x v="113"/>
    <d v="2022-06-28T00:00:00"/>
    <s v="D"/>
    <n v="12"/>
    <n v="90000"/>
    <s v=""/>
    <x v="1"/>
    <n v="90000"/>
    <x v="1"/>
    <s v="First Payment Pending"/>
    <x v="3"/>
    <n v="447272"/>
  </r>
  <r>
    <x v="114"/>
    <d v="2022-06-30T00:00:00"/>
    <s v="D"/>
    <n v="12"/>
    <n v="15600"/>
    <s v=""/>
    <x v="1"/>
    <n v="15600"/>
    <x v="1"/>
    <s v="First Payment Pending"/>
    <x v="3"/>
    <n v="462872"/>
  </r>
  <r>
    <x v="115"/>
    <d v="2022-06-30T00:00:00"/>
    <s v="D"/>
    <n v="12"/>
    <n v="34000"/>
    <s v=""/>
    <x v="1"/>
    <n v="34000"/>
    <x v="1"/>
    <s v="First Payment Pending"/>
    <x v="3"/>
    <n v="4968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10286"/>
    <d v="2022-01-01T00:00:00"/>
    <s v="A"/>
    <n v="30"/>
    <n v="15600"/>
    <s v="1/20/2022"/>
    <s v="Q1"/>
    <n v="6240"/>
    <s v="Q1"/>
    <s v="3/31/2022"/>
    <x v="0"/>
    <n v="6240"/>
    <s v="Tier 1"/>
    <n v="624"/>
    <n v="624"/>
  </r>
  <r>
    <n v="10281"/>
    <d v="2022-01-26T00:00:00"/>
    <s v="A"/>
    <n v="12"/>
    <n v="5114.67"/>
    <s v="2/23/2022"/>
    <s v="Q1"/>
    <n v="5114.67"/>
    <s v="Q1"/>
    <s v="3/31/2022"/>
    <x v="0"/>
    <n v="11354.67"/>
    <s v="Tier 1"/>
    <n v="511.46700000000004"/>
    <n v="511.46700000000004"/>
  </r>
  <r>
    <n v="10276"/>
    <d v="2022-01-27T00:00:00"/>
    <s v="A"/>
    <n v="12"/>
    <n v="14412"/>
    <s v="2/1/2022"/>
    <s v="Q1"/>
    <n v="14412"/>
    <s v="Q1"/>
    <s v="3/31/2022"/>
    <x v="0"/>
    <n v="25766.67"/>
    <s v="Tier 1"/>
    <n v="1441.2"/>
    <n v="1441.2"/>
  </r>
  <r>
    <n v="10271"/>
    <d v="2022-01-31T00:00:00"/>
    <s v="A"/>
    <n v="12"/>
    <n v="12000"/>
    <s v="2/10/2022"/>
    <s v="Q1"/>
    <n v="12000"/>
    <s v="Q1"/>
    <s v="3/31/2022"/>
    <x v="0"/>
    <n v="37766.67"/>
    <s v="Tier 1"/>
    <n v="1200"/>
    <n v="1200"/>
  </r>
  <r>
    <n v="10266"/>
    <d v="2022-02-03T00:00:00"/>
    <s v="A"/>
    <n v="36"/>
    <n v="18000"/>
    <s v="2/14/2022"/>
    <s v="Q1"/>
    <n v="6000"/>
    <s v="Q1"/>
    <s v="3/31/2022"/>
    <x v="0"/>
    <n v="43766.67"/>
    <s v="Tier 1"/>
    <n v="600"/>
    <n v="600"/>
  </r>
  <r>
    <n v="10131"/>
    <d v="2022-02-14T00:00:00"/>
    <s v="A"/>
    <n v="12"/>
    <n v="24000"/>
    <s v=""/>
    <s v="Q1"/>
    <n v="24000"/>
    <s v="First Payment Pending"/>
    <s v="First Payment Pending"/>
    <x v="0"/>
    <n v="67766.67"/>
    <s v="Tier 1"/>
    <n v="2400"/>
    <n v="0"/>
  </r>
  <r>
    <n v="10151"/>
    <d v="2022-02-28T00:00:00"/>
    <s v="A"/>
    <n v="24"/>
    <n v="4000"/>
    <s v="5/3/2022"/>
    <s v="Q1"/>
    <n v="2000"/>
    <s v="Q2"/>
    <s v="6/30/2022"/>
    <x v="0"/>
    <n v="69766.67"/>
    <s v="Tier 1"/>
    <n v="200"/>
    <n v="200"/>
  </r>
  <r>
    <n v="10156"/>
    <d v="2022-02-28T00:00:00"/>
    <s v="A"/>
    <n v="12"/>
    <n v="5175"/>
    <s v="5/4/2022"/>
    <s v="Q1"/>
    <n v="5175"/>
    <s v="Q2"/>
    <s v="6/30/2022"/>
    <x v="0"/>
    <n v="74941.67"/>
    <s v="Tier 1"/>
    <n v="517.5"/>
    <n v="517.5"/>
  </r>
  <r>
    <n v="10291"/>
    <d v="2022-03-02T00:00:00"/>
    <s v="A"/>
    <n v="30"/>
    <n v="85000"/>
    <s v="6/12/2022"/>
    <s v="Q1"/>
    <n v="34000"/>
    <s v="Q2"/>
    <s v="6/30/2022"/>
    <x v="0"/>
    <n v="108941.67"/>
    <s v="Tier 1"/>
    <n v="3400"/>
    <n v="3400"/>
  </r>
  <r>
    <n v="10141"/>
    <d v="2022-03-05T00:00:00"/>
    <s v="A"/>
    <n v="12"/>
    <n v="20000"/>
    <s v="5/2/2022"/>
    <s v="Q1"/>
    <n v="20000"/>
    <s v="Q2"/>
    <s v="6/30/2022"/>
    <x v="0"/>
    <n v="128941.67"/>
    <s v="Tier 1"/>
    <n v="2000"/>
    <n v="2000"/>
  </r>
  <r>
    <n v="10001"/>
    <d v="2022-03-13T00:00:00"/>
    <s v="A"/>
    <n v="12"/>
    <n v="45000"/>
    <s v=""/>
    <s v="Q1"/>
    <n v="45000"/>
    <s v="First Payment Pending"/>
    <s v="First Payment Pending"/>
    <x v="0"/>
    <n v="173941.66999999998"/>
    <s v="Tier 1"/>
    <n v="4500"/>
    <n v="0"/>
  </r>
  <r>
    <n v="10046"/>
    <d v="2022-03-16T00:00:00"/>
    <s v="A"/>
    <n v="12"/>
    <n v="3000"/>
    <s v="3/24/2022"/>
    <s v="Q1"/>
    <n v="3000"/>
    <s v="Q1"/>
    <s v="3/31/2022"/>
    <x v="0"/>
    <n v="176941.66999999998"/>
    <s v="Tier 1"/>
    <n v="300"/>
    <n v="300"/>
  </r>
  <r>
    <n v="10051"/>
    <d v="2022-03-16T00:00:00"/>
    <s v="A"/>
    <n v="30"/>
    <n v="24000"/>
    <s v=""/>
    <s v="Q1"/>
    <n v="9600"/>
    <s v="First Payment Pending"/>
    <s v="First Payment Pending"/>
    <x v="0"/>
    <n v="186541.66999999998"/>
    <s v="Tier 1"/>
    <n v="960"/>
    <n v="0"/>
  </r>
  <r>
    <n v="10246"/>
    <d v="2022-03-20T00:00:00"/>
    <s v="A"/>
    <n v="12"/>
    <n v="7200"/>
    <s v="3/22/2022"/>
    <s v="Q1"/>
    <n v="7200"/>
    <s v="Q1"/>
    <s v="3/31/2022"/>
    <x v="0"/>
    <n v="193741.66999999998"/>
    <s v="Tier 1"/>
    <n v="720"/>
    <n v="720"/>
  </r>
  <r>
    <n v="10241"/>
    <d v="2022-03-22T00:00:00"/>
    <s v="A"/>
    <n v="12"/>
    <n v="7000"/>
    <s v="4/27/2022"/>
    <s v="Q1"/>
    <n v="7000"/>
    <s v="Q2"/>
    <s v="6/30/2022"/>
    <x v="0"/>
    <n v="200741.66999999998"/>
    <s v="Tier 2"/>
    <n v="1050.0000000000002"/>
    <n v="1050.0000000000002"/>
  </r>
  <r>
    <n v="10036"/>
    <d v="2022-03-26T00:00:00"/>
    <s v="A"/>
    <n v="30"/>
    <n v="12000"/>
    <s v="6/8/2022"/>
    <s v="Q1"/>
    <n v="4800"/>
    <s v="Q2"/>
    <s v="6/30/2022"/>
    <x v="0"/>
    <n v="205541.66999999998"/>
    <s v="Tier 2"/>
    <n v="720.00000000000011"/>
    <n v="720.00000000000011"/>
  </r>
  <r>
    <n v="10206"/>
    <d v="2022-03-29T00:00:00"/>
    <s v="A"/>
    <n v="12"/>
    <n v="18000"/>
    <s v="4/23/2022"/>
    <s v="Q1"/>
    <n v="18000"/>
    <s v="Q2"/>
    <s v="6/30/2022"/>
    <x v="0"/>
    <n v="223541.66999999998"/>
    <s v="Tier 2"/>
    <n v="2700.0000000000005"/>
    <n v="2700.0000000000005"/>
  </r>
  <r>
    <n v="10216"/>
    <d v="2022-03-29T00:00:00"/>
    <s v="A"/>
    <n v="12"/>
    <n v="18000"/>
    <s v="5/2/2022"/>
    <s v="Q1"/>
    <n v="18000"/>
    <s v="Q2"/>
    <s v="6/30/2022"/>
    <x v="0"/>
    <n v="241541.66999999998"/>
    <s v="Tier 2"/>
    <n v="2700.0000000000005"/>
    <n v="2700.0000000000005"/>
  </r>
  <r>
    <n v="10226"/>
    <d v="2022-03-29T00:00:00"/>
    <s v="A"/>
    <n v="12"/>
    <n v="9000"/>
    <s v=""/>
    <s v="Q1"/>
    <n v="9000"/>
    <s v="First Payment Pending"/>
    <s v="First Payment Pending"/>
    <x v="0"/>
    <n v="250541.66999999998"/>
    <s v="Tier 2"/>
    <n v="1350.0000000000002"/>
    <n v="0"/>
  </r>
  <r>
    <n v="10221"/>
    <d v="2022-03-30T00:00:00"/>
    <s v="A"/>
    <n v="12"/>
    <n v="29000"/>
    <s v="6/7/2022"/>
    <s v="Q1"/>
    <n v="29000"/>
    <s v="Q2"/>
    <s v="6/30/2022"/>
    <x v="0"/>
    <n v="279541.67"/>
    <s v="Tier 2"/>
    <n v="4350.0000000000009"/>
    <n v="4350.0000000000009"/>
  </r>
  <r>
    <n v="10186"/>
    <d v="2022-03-31T00:00:00"/>
    <s v="A"/>
    <n v="12"/>
    <n v="7000"/>
    <s v="4/13/2022"/>
    <s v="Q1"/>
    <n v="7000"/>
    <s v="Q2"/>
    <s v="6/30/2022"/>
    <x v="0"/>
    <n v="286541.67"/>
    <s v="Tier 2"/>
    <n v="1050.0000000000002"/>
    <n v="1050.0000000000002"/>
  </r>
  <r>
    <n v="10191"/>
    <d v="2022-03-31T00:00:00"/>
    <s v="A"/>
    <n v="12"/>
    <n v="15000"/>
    <s v="6/9/2022"/>
    <s v="Q1"/>
    <n v="15000"/>
    <s v="Q2"/>
    <s v="6/30/2022"/>
    <x v="0"/>
    <n v="301541.67"/>
    <s v="Tier 3"/>
    <n v="3000"/>
    <n v="3000"/>
  </r>
  <r>
    <n v="10272"/>
    <d v="2022-01-11T00:00:00"/>
    <s v="B"/>
    <n v="36"/>
    <n v="1800"/>
    <s v="2/1/2022"/>
    <s v="Q1"/>
    <n v="600"/>
    <s v="Q1"/>
    <s v="3/31/2022"/>
    <x v="1"/>
    <n v="600"/>
    <s v="Tier 1"/>
    <n v="72"/>
    <n v="72"/>
  </r>
  <r>
    <n v="10237"/>
    <d v="2022-01-20T00:00:00"/>
    <s v="B"/>
    <n v="20"/>
    <n v="17000"/>
    <s v="12/9/2021"/>
    <s v="Q1"/>
    <n v="10200"/>
    <m/>
    <s v="First Payment Pending"/>
    <x v="1"/>
    <n v="10800"/>
    <s v="Tier 1"/>
    <n v="1224"/>
    <n v="0"/>
  </r>
  <r>
    <n v="10282"/>
    <d v="2022-02-01T00:00:00"/>
    <s v="B"/>
    <n v="36"/>
    <n v="6589"/>
    <s v="2/22/2022"/>
    <s v="Q1"/>
    <n v="2196.333333333333"/>
    <s v="Q1"/>
    <s v="3/31/2022"/>
    <x v="1"/>
    <n v="12996.333333333332"/>
    <s v="Tier 1"/>
    <n v="263.55999999999995"/>
    <n v="263.55999999999995"/>
  </r>
  <r>
    <n v="10277"/>
    <d v="2022-02-03T00:00:00"/>
    <s v="B"/>
    <n v="12"/>
    <n v="15000"/>
    <s v="2/28/2022"/>
    <s v="Q1"/>
    <n v="15000"/>
    <s v="Q1"/>
    <s v="3/31/2022"/>
    <x v="1"/>
    <n v="27996.333333333332"/>
    <s v="Tier 1"/>
    <n v="1800"/>
    <n v="1800"/>
  </r>
  <r>
    <n v="10287"/>
    <d v="2022-03-06T00:00:00"/>
    <s v="B"/>
    <n v="30"/>
    <n v="7200"/>
    <s v="4/6/2022"/>
    <s v="Q1"/>
    <n v="2880"/>
    <s v="Q2"/>
    <s v="6/30/2022"/>
    <x v="1"/>
    <n v="30876.333333333332"/>
    <s v="Tier 1"/>
    <n v="345.59999999999997"/>
    <n v="345.59999999999997"/>
  </r>
  <r>
    <n v="10052"/>
    <d v="2022-03-15T00:00:00"/>
    <s v="B"/>
    <n v="12"/>
    <n v="3360"/>
    <s v="5/27/2022"/>
    <s v="Q1"/>
    <n v="3360"/>
    <s v="Q2"/>
    <s v="6/30/2022"/>
    <x v="1"/>
    <n v="34236.333333333328"/>
    <s v="Tier 1"/>
    <n v="403.2"/>
    <n v="403.2"/>
  </r>
  <r>
    <n v="10042"/>
    <d v="2022-03-22T00:00:00"/>
    <s v="B"/>
    <n v="12"/>
    <n v="1125"/>
    <s v="4/11/2022"/>
    <s v="Q1"/>
    <n v="1125"/>
    <s v="Q2"/>
    <s v="6/30/2022"/>
    <x v="1"/>
    <n v="35361.333333333328"/>
    <s v="Tier 1"/>
    <n v="135"/>
    <n v="135"/>
  </r>
  <r>
    <n v="10027"/>
    <d v="2022-03-23T00:00:00"/>
    <s v="B"/>
    <n v="12"/>
    <n v="360"/>
    <s v="4/24/2022"/>
    <s v="Q1"/>
    <n v="360"/>
    <s v="Q2"/>
    <s v="6/30/2022"/>
    <x v="1"/>
    <n v="35721.333333333328"/>
    <s v="Tier 1"/>
    <n v="43.199999999999996"/>
    <n v="43.199999999999996"/>
  </r>
  <r>
    <n v="10232"/>
    <d v="2022-03-24T00:00:00"/>
    <s v="B"/>
    <n v="12"/>
    <n v="13400"/>
    <s v="4/7/2022"/>
    <s v="Q1"/>
    <n v="13400"/>
    <s v="Q2"/>
    <s v="6/30/2022"/>
    <x v="1"/>
    <n v="49121.333333333328"/>
    <s v="Tier 1"/>
    <n v="1608"/>
    <n v="1608"/>
  </r>
  <r>
    <n v="10222"/>
    <d v="2022-03-30T00:00:00"/>
    <s v="B"/>
    <n v="12"/>
    <n v="6000"/>
    <s v="5/7/2022"/>
    <s v="Q1"/>
    <n v="6000"/>
    <s v="Q2"/>
    <s v="6/30/2022"/>
    <x v="1"/>
    <n v="55121.333333333328"/>
    <s v="Tier 1"/>
    <n v="720"/>
    <n v="720"/>
  </r>
  <r>
    <n v="10192"/>
    <d v="2022-03-31T00:00:00"/>
    <s v="B"/>
    <n v="12"/>
    <n v="3999"/>
    <s v="6/1/2022"/>
    <s v="Q1"/>
    <n v="3999"/>
    <s v="Q2"/>
    <s v="6/30/2022"/>
    <x v="1"/>
    <n v="59120.333333333328"/>
    <s v="Tier 1"/>
    <n v="479.88"/>
    <n v="479.88"/>
  </r>
  <r>
    <n v="10133"/>
    <d v="2022-01-31T00:00:00"/>
    <s v="C"/>
    <n v="36"/>
    <n v="15260"/>
    <s v="3/5/2022"/>
    <s v="Q1"/>
    <n v="5086.666666666667"/>
    <s v="Q1"/>
    <s v="3/31/2022"/>
    <x v="2"/>
    <n v="5086.666666666667"/>
    <s v="Tier 1"/>
    <n v="457.8"/>
    <n v="457.8"/>
  </r>
  <r>
    <n v="10128"/>
    <d v="2022-02-05T00:00:00"/>
    <s v="C"/>
    <n v="12"/>
    <n v="28800"/>
    <s v="4/5/2022"/>
    <s v="Q1"/>
    <n v="28800"/>
    <s v="Q2"/>
    <s v="6/30/2022"/>
    <x v="2"/>
    <n v="33886.666666666664"/>
    <s v="Tier 1"/>
    <n v="2592"/>
    <n v="2592"/>
  </r>
  <r>
    <n v="10288"/>
    <d v="2022-02-23T00:00:00"/>
    <s v="C"/>
    <n v="12"/>
    <n v="10500"/>
    <s v="3/4/2022"/>
    <s v="Q1"/>
    <n v="10500"/>
    <s v="Q1"/>
    <s v="3/31/2022"/>
    <x v="2"/>
    <n v="44386.666666666664"/>
    <s v="Tier 1"/>
    <n v="945"/>
    <n v="945"/>
  </r>
  <r>
    <n v="10058"/>
    <d v="2022-03-21T00:00:00"/>
    <s v="C"/>
    <n v="20"/>
    <n v="5000"/>
    <s v="5/30/2022"/>
    <s v="Q1"/>
    <n v="3000"/>
    <s v="Q2"/>
    <s v="6/30/2022"/>
    <x v="2"/>
    <n v="47386.666666666664"/>
    <s v="Tier 1"/>
    <n v="270"/>
    <n v="270"/>
  </r>
  <r>
    <n v="10028"/>
    <d v="2022-03-23T00:00:00"/>
    <s v="C"/>
    <n v="12"/>
    <n v="7200"/>
    <s v="4/30/2022"/>
    <s v="Q1"/>
    <n v="7200"/>
    <s v="Q2"/>
    <s v="6/30/2022"/>
    <x v="2"/>
    <n v="54586.666666666664"/>
    <s v="Tier 1"/>
    <n v="648"/>
    <n v="648"/>
  </r>
  <r>
    <n v="10233"/>
    <d v="2022-03-24T00:00:00"/>
    <s v="C"/>
    <n v="12"/>
    <n v="6600"/>
    <s v="3/26/2022"/>
    <s v="Q1"/>
    <n v="6600"/>
    <s v="Q1"/>
    <s v="3/31/2022"/>
    <x v="2"/>
    <n v="61186.666666666664"/>
    <s v="Tier 1"/>
    <n v="594"/>
    <n v="594"/>
  </r>
  <r>
    <n v="10023"/>
    <d v="2022-03-27T00:00:00"/>
    <s v="C"/>
    <n v="12"/>
    <n v="88000"/>
    <s v="4/16/2022"/>
    <s v="Q1"/>
    <n v="88000"/>
    <s v="Q2"/>
    <s v="6/30/2022"/>
    <x v="2"/>
    <n v="149186.66666666666"/>
    <s v="Tier 1"/>
    <n v="7920"/>
    <n v="7920"/>
  </r>
  <r>
    <n v="10033"/>
    <d v="2022-03-27T00:00:00"/>
    <s v="C"/>
    <n v="12"/>
    <n v="24000"/>
    <s v="5/10/2022"/>
    <s v="Q1"/>
    <n v="24000"/>
    <s v="Q2"/>
    <s v="6/30/2022"/>
    <x v="2"/>
    <n v="173186.66666666666"/>
    <s v="Tier 1"/>
    <n v="2160"/>
    <n v="2160"/>
  </r>
  <r>
    <n v="10213"/>
    <d v="2022-03-28T00:00:00"/>
    <s v="C"/>
    <n v="12"/>
    <n v="14000"/>
    <s v="5/11/2022"/>
    <s v="Q1"/>
    <n v="14000"/>
    <s v="Q2"/>
    <s v="6/30/2022"/>
    <x v="2"/>
    <n v="187186.66666666666"/>
    <s v="Tier 1"/>
    <n v="1260"/>
    <n v="1260"/>
  </r>
  <r>
    <n v="10183"/>
    <d v="2022-03-29T00:00:00"/>
    <s v="C"/>
    <n v="20"/>
    <n v="7200"/>
    <s v="5/4/2022"/>
    <s v="Q1"/>
    <n v="4320"/>
    <s v="Q2"/>
    <s v="6/30/2022"/>
    <x v="2"/>
    <n v="191506.66666666666"/>
    <s v="Tier 1"/>
    <n v="388.8"/>
    <n v="388.8"/>
  </r>
  <r>
    <n v="10208"/>
    <d v="2022-03-29T00:00:00"/>
    <s v="C"/>
    <n v="12"/>
    <n v="5000"/>
    <s v="5/9/2022"/>
    <s v="Q1"/>
    <n v="5000"/>
    <s v="Q2"/>
    <s v="6/30/2022"/>
    <x v="2"/>
    <n v="196506.66666666666"/>
    <s v="Tier 1"/>
    <n v="450"/>
    <n v="450"/>
  </r>
  <r>
    <n v="10188"/>
    <d v="2022-03-31T00:00:00"/>
    <s v="C"/>
    <n v="12"/>
    <n v="25000"/>
    <s v="4/23/2022"/>
    <s v="Q1"/>
    <n v="25000"/>
    <s v="Q2"/>
    <s v="6/30/2022"/>
    <x v="2"/>
    <n v="221506.66666666666"/>
    <s v="Tier 2"/>
    <n v="3375"/>
    <n v="3375"/>
  </r>
  <r>
    <n v="10198"/>
    <d v="2022-03-31T00:00:00"/>
    <s v="C"/>
    <n v="12"/>
    <n v="17600"/>
    <s v="6/1/2022"/>
    <s v="Q1"/>
    <n v="17600"/>
    <s v="Q2"/>
    <s v="6/30/2022"/>
    <x v="2"/>
    <n v="239106.66666666666"/>
    <s v="Tier 2"/>
    <n v="2376"/>
    <n v="2376"/>
  </r>
  <r>
    <n v="10230"/>
    <d v="2022-01-16T00:00:00"/>
    <s v="D"/>
    <n v="12"/>
    <n v="5500"/>
    <s v="1/20/2022"/>
    <s v="Q1"/>
    <n v="5500"/>
    <s v="Q1"/>
    <s v="3/31/2022"/>
    <x v="3"/>
    <n v="5500"/>
    <s v="Tier 1"/>
    <n v="495"/>
    <n v="495"/>
  </r>
  <r>
    <n v="10110"/>
    <d v="2022-01-22T00:00:00"/>
    <s v="D"/>
    <n v="12"/>
    <n v="6000"/>
    <s v="3/29/2022"/>
    <s v="Q1"/>
    <n v="6000"/>
    <s v="Q1"/>
    <s v="3/31/2022"/>
    <x v="3"/>
    <n v="11500"/>
    <s v="Tier 1"/>
    <n v="540"/>
    <n v="540"/>
  </r>
  <r>
    <n v="10265"/>
    <d v="2022-02-03T00:00:00"/>
    <s v="D"/>
    <n v="12"/>
    <n v="15000"/>
    <s v="3/21/2022"/>
    <s v="Q1"/>
    <n v="15000"/>
    <s v="Q1"/>
    <s v="3/31/2022"/>
    <x v="3"/>
    <n v="26500"/>
    <s v="Tier 1"/>
    <n v="1350"/>
    <n v="1350"/>
  </r>
  <r>
    <n v="10270"/>
    <d v="2022-02-08T00:00:00"/>
    <s v="D"/>
    <n v="36"/>
    <n v="29250"/>
    <s v="3/8/2022"/>
    <s v="Q1"/>
    <n v="9750"/>
    <s v="Q1"/>
    <s v="3/31/2022"/>
    <x v="3"/>
    <n v="36250"/>
    <s v="Tier 1"/>
    <n v="877.5"/>
    <n v="877.5"/>
  </r>
  <r>
    <n v="10150"/>
    <d v="2022-02-21T00:00:00"/>
    <s v="D"/>
    <n v="12"/>
    <n v="31140"/>
    <s v="3/11/2022"/>
    <s v="Q1"/>
    <n v="31140"/>
    <s v="Q1"/>
    <s v="3/31/2022"/>
    <x v="3"/>
    <n v="67390"/>
    <s v="Tier 1"/>
    <n v="2802.6"/>
    <n v="2802.6"/>
  </r>
  <r>
    <n v="10260"/>
    <d v="2022-02-24T00:00:00"/>
    <s v="D"/>
    <n v="12"/>
    <n v="12500"/>
    <s v="4/10/2022"/>
    <s v="Q1"/>
    <n v="12500"/>
    <s v="Q2"/>
    <s v="6/30/2022"/>
    <x v="3"/>
    <n v="79890"/>
    <s v="Tier 1"/>
    <n v="1125"/>
    <n v="1125"/>
  </r>
  <r>
    <n v="10160"/>
    <d v="2022-02-26T00:00:00"/>
    <s v="D"/>
    <n v="12"/>
    <n v="26500"/>
    <s v="3/29/2022"/>
    <s v="Q1"/>
    <n v="26500"/>
    <s v="Q1"/>
    <s v="3/31/2022"/>
    <x v="3"/>
    <n v="106390"/>
    <s v="Tier 1"/>
    <n v="2385"/>
    <n v="2385"/>
  </r>
  <r>
    <n v="10165"/>
    <d v="2022-02-26T00:00:00"/>
    <s v="D"/>
    <n v="12"/>
    <n v="1500"/>
    <s v="3/27/2022"/>
    <s v="Q1"/>
    <n v="1500"/>
    <s v="Q1"/>
    <s v="3/31/2022"/>
    <x v="3"/>
    <n v="107890"/>
    <s v="Tier 1"/>
    <n v="135"/>
    <n v="135"/>
  </r>
  <r>
    <n v="10145"/>
    <d v="2022-02-27T00:00:00"/>
    <s v="D"/>
    <n v="20"/>
    <n v="8750"/>
    <s v="5/11/2022"/>
    <s v="Q1"/>
    <n v="5250"/>
    <s v="Q2"/>
    <s v="6/30/2022"/>
    <x v="3"/>
    <n v="113140"/>
    <s v="Tier 1"/>
    <n v="472.5"/>
    <n v="472.5"/>
  </r>
  <r>
    <n v="10155"/>
    <d v="2022-03-02T00:00:00"/>
    <s v="D"/>
    <n v="12"/>
    <n v="12000"/>
    <s v="3/25/2022"/>
    <s v="Q1"/>
    <n v="12000"/>
    <s v="Q1"/>
    <s v="3/31/2022"/>
    <x v="3"/>
    <n v="125140"/>
    <s v="Tier 1"/>
    <n v="1080"/>
    <n v="1080"/>
  </r>
  <r>
    <n v="10140"/>
    <d v="2022-03-05T00:00:00"/>
    <s v="D"/>
    <n v="12"/>
    <n v="5600"/>
    <s v="5/1/2022"/>
    <s v="Q1"/>
    <n v="5600"/>
    <s v="Q2"/>
    <s v="6/30/2022"/>
    <x v="3"/>
    <n v="130740"/>
    <s v="Tier 1"/>
    <n v="504"/>
    <n v="504"/>
  </r>
  <r>
    <n v="10285"/>
    <d v="2022-03-06T00:00:00"/>
    <s v="D"/>
    <n v="36"/>
    <n v="15000"/>
    <s v="4/5/2022"/>
    <s v="Q1"/>
    <n v="5000"/>
    <s v="Q2"/>
    <s v="6/30/2022"/>
    <x v="3"/>
    <n v="135740"/>
    <s v="Tier 1"/>
    <n v="450"/>
    <n v="450"/>
  </r>
  <r>
    <n v="10290"/>
    <d v="2022-03-09T00:00:00"/>
    <s v="D"/>
    <n v="12"/>
    <n v="64000"/>
    <s v="6/1/2022"/>
    <s v="Q1"/>
    <n v="64000"/>
    <s v="Q2"/>
    <s v="6/30/2022"/>
    <x v="3"/>
    <n v="199740"/>
    <s v="Tier 1"/>
    <n v="5760"/>
    <n v="5760"/>
  </r>
  <r>
    <n v="10280"/>
    <d v="2022-03-13T00:00:00"/>
    <s v="D"/>
    <n v="36"/>
    <n v="15000"/>
    <s v="3/14/2022"/>
    <s v="Q1"/>
    <n v="5000"/>
    <s v="Q1"/>
    <s v="3/31/2022"/>
    <x v="3"/>
    <n v="204740"/>
    <s v="Tier 1"/>
    <n v="450"/>
    <n v="450"/>
  </r>
  <r>
    <n v="10215"/>
    <d v="2022-03-16T00:00:00"/>
    <s v="D"/>
    <n v="12"/>
    <n v="2000"/>
    <s v="5/14/2022"/>
    <s v="Q1"/>
    <n v="2000"/>
    <s v="Q2"/>
    <s v="6/30/2022"/>
    <x v="3"/>
    <n v="206740"/>
    <s v="Tier 1"/>
    <n v="180"/>
    <n v="180"/>
  </r>
  <r>
    <n v="10045"/>
    <d v="2022-03-21T00:00:00"/>
    <s v="D"/>
    <n v="30"/>
    <n v="18000"/>
    <s v="4/19/2022"/>
    <s v="Q1"/>
    <n v="7200"/>
    <s v="Q2"/>
    <s v="6/30/2022"/>
    <x v="3"/>
    <n v="213940"/>
    <s v="Tier 1"/>
    <n v="648"/>
    <n v="648"/>
  </r>
  <r>
    <n v="10025"/>
    <d v="2022-03-22T00:00:00"/>
    <s v="D"/>
    <n v="12"/>
    <n v="25000"/>
    <s v="5/29/2022"/>
    <s v="Q1"/>
    <n v="25000"/>
    <s v="Q2"/>
    <s v="6/30/2022"/>
    <x v="3"/>
    <n v="238940"/>
    <s v="Tier 1"/>
    <n v="2250"/>
    <n v="2250"/>
  </r>
  <r>
    <n v="10245"/>
    <d v="2022-03-23T00:00:00"/>
    <s v="D"/>
    <n v="12"/>
    <n v="3000"/>
    <s v="4/13/2022"/>
    <s v="Q1"/>
    <n v="3000"/>
    <s v="Q2"/>
    <s v="6/30/2022"/>
    <x v="3"/>
    <n v="241940"/>
    <s v="Tier 1"/>
    <n v="270"/>
    <n v="270"/>
  </r>
  <r>
    <n v="10020"/>
    <d v="2022-03-26T00:00:00"/>
    <s v="D"/>
    <n v="12"/>
    <n v="12000"/>
    <s v="5/4/2022"/>
    <s v="Q1"/>
    <n v="12000"/>
    <s v="Q2"/>
    <s v="6/30/2022"/>
    <x v="3"/>
    <n v="253940"/>
    <s v="Tier 1"/>
    <n v="1080"/>
    <n v="1080"/>
  </r>
  <r>
    <n v="10035"/>
    <d v="2022-03-26T00:00:00"/>
    <s v="D"/>
    <n v="30"/>
    <n v="3000"/>
    <s v="4/7/2022"/>
    <s v="Q1"/>
    <n v="1200"/>
    <s v="Q2"/>
    <s v="6/30/2022"/>
    <x v="3"/>
    <n v="255140"/>
    <s v="Tier 1"/>
    <n v="108"/>
    <n v="108"/>
  </r>
  <r>
    <n v="10240"/>
    <d v="2022-03-27T00:00:00"/>
    <s v="D"/>
    <n v="20"/>
    <n v="8025"/>
    <s v="4/24/2022"/>
    <s v="Q1"/>
    <n v="4815"/>
    <s v="Q2"/>
    <s v="6/30/2022"/>
    <x v="3"/>
    <n v="259955"/>
    <s v="Tier 1"/>
    <n v="433.34999999999997"/>
    <n v="433.34999999999997"/>
  </r>
  <r>
    <n v="10030"/>
    <d v="2022-03-28T00:00:00"/>
    <s v="D"/>
    <n v="30"/>
    <n v="27500"/>
    <s v="4/5/2022"/>
    <s v="Q1"/>
    <n v="11000"/>
    <s v="Q2"/>
    <s v="6/30/2022"/>
    <x v="3"/>
    <n v="270955"/>
    <s v="Tier 1"/>
    <n v="990"/>
    <n v="990"/>
  </r>
  <r>
    <n v="10210"/>
    <d v="2022-03-28T00:00:00"/>
    <s v="D"/>
    <n v="12"/>
    <n v="18000"/>
    <s v="4/2/2022"/>
    <s v="Q1"/>
    <n v="18000"/>
    <s v="Q2"/>
    <s v="6/30/2022"/>
    <x v="3"/>
    <n v="288955"/>
    <s v="Tier 1"/>
    <n v="1620"/>
    <n v="1620"/>
  </r>
  <r>
    <n v="10205"/>
    <d v="2022-03-29T00:00:00"/>
    <s v="D"/>
    <n v="12"/>
    <n v="2400"/>
    <s v="4/2/2022"/>
    <s v="Q1"/>
    <n v="2400"/>
    <s v="Q2"/>
    <s v="6/30/2022"/>
    <x v="3"/>
    <n v="291355"/>
    <s v="Tier 1"/>
    <n v="216"/>
    <n v="216"/>
  </r>
  <r>
    <n v="10225"/>
    <d v="2022-03-29T00:00:00"/>
    <s v="D"/>
    <n v="12"/>
    <n v="8500"/>
    <s v="6/6/2022"/>
    <s v="Q1"/>
    <n v="8500"/>
    <s v="Q2"/>
    <s v="6/30/2022"/>
    <x v="3"/>
    <n v="299855"/>
    <s v="Tier 1"/>
    <n v="765"/>
    <n v="765"/>
  </r>
  <r>
    <n v="10185"/>
    <d v="2022-03-31T00:00:00"/>
    <s v="D"/>
    <n v="12"/>
    <n v="15000"/>
    <s v="4/6/2022"/>
    <s v="Q1"/>
    <n v="15000"/>
    <s v="Q2"/>
    <s v="6/30/2022"/>
    <x v="3"/>
    <n v="314855"/>
    <s v="Tier 1"/>
    <n v="1350"/>
    <n v="1350"/>
  </r>
  <r>
    <n v="10190"/>
    <d v="2022-03-31T00:00:00"/>
    <s v="D"/>
    <n v="12"/>
    <n v="5000"/>
    <s v="4/21/2022"/>
    <s v="Q1"/>
    <n v="5000"/>
    <s v="Q2"/>
    <s v="6/30/2022"/>
    <x v="3"/>
    <n v="319855"/>
    <s v="Tier 1"/>
    <n v="450"/>
    <n v="450"/>
  </r>
  <r>
    <n v="10195"/>
    <d v="2022-03-31T00:00:00"/>
    <s v="D"/>
    <n v="12"/>
    <n v="57500"/>
    <s v="4/10/2022"/>
    <s v="Q1"/>
    <n v="57500"/>
    <s v="Q2"/>
    <s v="6/30/2022"/>
    <x v="3"/>
    <n v="377355"/>
    <s v="Tier 1"/>
    <n v="5175"/>
    <n v="51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n v="10196"/>
    <d v="2022-04-01T00:00:00"/>
    <s v="A"/>
    <n v="20"/>
    <n v="70200"/>
    <s v="4/13/2022"/>
    <s v="Q2"/>
    <n v="42120"/>
    <s v="Q2"/>
    <s v="6/30/2022"/>
    <x v="0"/>
    <n v="42120"/>
    <s v="Tier 1"/>
    <n v="3369.6"/>
    <n v="3369.6"/>
  </r>
  <r>
    <n v="10181"/>
    <d v="2022-04-17T00:00:00"/>
    <s v="A"/>
    <n v="12"/>
    <n v="948"/>
    <s v="5/24/2022"/>
    <s v="Q2"/>
    <n v="948"/>
    <s v="Q2"/>
    <s v="6/30/2022"/>
    <x v="0"/>
    <n v="43068"/>
    <s v="Tier 1"/>
    <n v="75.84"/>
    <n v="75.84"/>
  </r>
  <r>
    <n v="10011"/>
    <d v="2022-04-24T00:00:00"/>
    <s v="A"/>
    <n v="36"/>
    <n v="30000"/>
    <s v=""/>
    <s v="Q2"/>
    <n v="10000"/>
    <s v="First Payment Pending"/>
    <s v="First Payment Pending"/>
    <x v="0"/>
    <n v="53068"/>
    <s v="Tier 1"/>
    <n v="800"/>
    <n v="0"/>
  </r>
  <r>
    <n v="10016"/>
    <d v="2022-04-27T00:00:00"/>
    <s v="A"/>
    <n v="36"/>
    <n v="15000"/>
    <s v=""/>
    <s v="Q2"/>
    <n v="5000"/>
    <s v="First Payment Pending"/>
    <s v="First Payment Pending"/>
    <x v="0"/>
    <n v="58068"/>
    <s v="Tier 1"/>
    <n v="400"/>
    <n v="0"/>
  </r>
  <r>
    <n v="10296"/>
    <d v="2022-04-28T00:00:00"/>
    <s v="A"/>
    <n v="12"/>
    <n v="20000"/>
    <s v="6/6/2022"/>
    <s v="Q2"/>
    <n v="20000"/>
    <s v="Q2"/>
    <s v="6/30/2022"/>
    <x v="0"/>
    <n v="78068"/>
    <s v="Tier 1"/>
    <n v="1600"/>
    <n v="1600"/>
  </r>
  <r>
    <n v="10006"/>
    <d v="2022-05-01T00:00:00"/>
    <s v="A"/>
    <n v="12"/>
    <n v="4500"/>
    <s v=""/>
    <s v="Q2"/>
    <n v="4500"/>
    <s v="First Payment Pending"/>
    <s v="First Payment Pending"/>
    <x v="0"/>
    <n v="82568"/>
    <s v="Tier 1"/>
    <n v="360"/>
    <n v="0"/>
  </r>
  <r>
    <n v="10301"/>
    <d v="2022-05-11T00:00:00"/>
    <s v="A"/>
    <n v="30"/>
    <n v="15000"/>
    <s v="6/28/2022"/>
    <s v="Q2"/>
    <n v="6000"/>
    <s v="Q2"/>
    <s v="6/30/2022"/>
    <x v="0"/>
    <n v="88568"/>
    <s v="Tier 1"/>
    <n v="480"/>
    <n v="480"/>
  </r>
  <r>
    <n v="10236"/>
    <d v="2022-05-26T00:00:00"/>
    <s v="A"/>
    <n v="20"/>
    <n v="20000"/>
    <s v="6/9/2022"/>
    <s v="Q2"/>
    <n v="12000"/>
    <s v="Q2"/>
    <s v="6/30/2022"/>
    <x v="0"/>
    <n v="100568"/>
    <s v="Tier 1"/>
    <n v="960"/>
    <n v="960"/>
  </r>
  <r>
    <n v="10316"/>
    <d v="2022-06-02T00:00:00"/>
    <s v="A"/>
    <n v="16"/>
    <n v="4295"/>
    <s v="6/20/2022"/>
    <s v="Q2"/>
    <n v="3221.25"/>
    <s v="Q2"/>
    <s v="6/30/2022"/>
    <x v="0"/>
    <n v="103789.25"/>
    <s v="Tier 1"/>
    <n v="257.7"/>
    <n v="257.7"/>
  </r>
  <r>
    <n v="10306"/>
    <d v="2022-06-20T00:00:00"/>
    <s v="A"/>
    <n v="12"/>
    <n v="9000"/>
    <s v="6/27/2022"/>
    <s v="Q2"/>
    <n v="9000"/>
    <s v="Q2"/>
    <s v="6/30/2022"/>
    <x v="0"/>
    <n v="112789.25"/>
    <s v="Tier 1"/>
    <n v="720"/>
    <n v="720"/>
  </r>
  <r>
    <n v="10311"/>
    <d v="2022-06-20T00:00:00"/>
    <s v="A"/>
    <n v="12"/>
    <n v="27500"/>
    <s v="6/1/2022"/>
    <s v="Q2"/>
    <n v="27500"/>
    <s v="Q2"/>
    <s v="6/30/2022"/>
    <x v="0"/>
    <n v="140289.25"/>
    <s v="Tier 1"/>
    <n v="2200"/>
    <n v="2200"/>
  </r>
  <r>
    <n v="10012"/>
    <d v="2022-04-20T00:00:00"/>
    <s v="B"/>
    <n v="12"/>
    <n v="15996"/>
    <s v="5/10/2022"/>
    <s v="Q2"/>
    <n v="15996"/>
    <s v="Q2"/>
    <s v="6/30/2022"/>
    <x v="1"/>
    <n v="15996"/>
    <s v="Tier 1"/>
    <n v="1759.56"/>
    <n v="1759.56"/>
  </r>
  <r>
    <n v="10207"/>
    <d v="2022-04-21T00:00:00"/>
    <s v="B"/>
    <n v="27"/>
    <n v="20000"/>
    <s v="5/7/2022"/>
    <s v="Q2"/>
    <n v="8888.8888888888887"/>
    <s v="Q2"/>
    <s v="6/30/2022"/>
    <x v="1"/>
    <n v="24884.888888888891"/>
    <s v="Tier 1"/>
    <n v="977.77777777777771"/>
    <n v="977.77777777777771"/>
  </r>
  <r>
    <n v="10017"/>
    <d v="2022-04-26T00:00:00"/>
    <s v="B"/>
    <n v="36"/>
    <n v="85000.5"/>
    <s v=""/>
    <s v="Q2"/>
    <n v="28333.5"/>
    <s v="First Payment Pending"/>
    <s v="First Payment Pending"/>
    <x v="1"/>
    <n v="53218.388888888891"/>
    <s v="Tier 1"/>
    <n v="3116.6849999999999"/>
    <n v="0"/>
  </r>
  <r>
    <n v="10007"/>
    <d v="2022-05-01T00:00:00"/>
    <s v="B"/>
    <n v="12"/>
    <n v="27000"/>
    <s v="6/30/2022"/>
    <s v="Q2"/>
    <n v="27000"/>
    <s v="Q2"/>
    <s v="6/30/2022"/>
    <x v="1"/>
    <n v="80218.388888888891"/>
    <s v="Tier 1"/>
    <n v="2970"/>
    <n v="2970"/>
  </r>
  <r>
    <n v="10002"/>
    <d v="2022-05-03T00:00:00"/>
    <s v="B"/>
    <n v="36"/>
    <n v="23333"/>
    <s v="5/15/2022"/>
    <s v="Q2"/>
    <n v="7777.666666666667"/>
    <s v="Q2"/>
    <s v="6/30/2022"/>
    <x v="1"/>
    <n v="87996.055555555562"/>
    <s v="Tier 1"/>
    <n v="855.54333333333341"/>
    <n v="855.54333333333341"/>
  </r>
  <r>
    <n v="10297"/>
    <d v="2022-05-03T00:00:00"/>
    <s v="B"/>
    <n v="12"/>
    <n v="17980"/>
    <s v="5/12/2022"/>
    <s v="Q2"/>
    <n v="17980"/>
    <s v="Q2"/>
    <s v="6/30/2022"/>
    <x v="1"/>
    <n v="105976.05555555556"/>
    <s v="Tier 1"/>
    <n v="1977.8"/>
    <n v="1977.8"/>
  </r>
  <r>
    <n v="10302"/>
    <d v="2022-05-31T00:00:00"/>
    <s v="B"/>
    <n v="12"/>
    <n v="215000"/>
    <s v="6/8/2022"/>
    <s v="Q2"/>
    <n v="215000"/>
    <s v="Q2"/>
    <s v="6/30/2022"/>
    <x v="1"/>
    <n v="320976.05555555556"/>
    <s v="Tier 3"/>
    <n v="23650"/>
    <n v="23650"/>
  </r>
  <r>
    <n v="10312"/>
    <d v="2022-06-22T00:00:00"/>
    <s v="B"/>
    <n v="12"/>
    <n v="14400"/>
    <s v=""/>
    <s v="Q2"/>
    <n v="14400"/>
    <s v="First Payment Pending"/>
    <s v="First Payment Pending"/>
    <x v="1"/>
    <n v="335376.05555555556"/>
    <s v="Tier 3"/>
    <n v="1584"/>
    <n v="0"/>
  </r>
  <r>
    <n v="10307"/>
    <d v="2022-06-27T00:00:00"/>
    <s v="B"/>
    <n v="30"/>
    <n v="18000"/>
    <s v=""/>
    <s v="Q2"/>
    <n v="7200"/>
    <s v="First Payment Pending"/>
    <s v="First Payment Pending"/>
    <x v="1"/>
    <n v="342576.05555555556"/>
    <s v="Tier 3"/>
    <n v="792"/>
    <n v="0"/>
  </r>
  <r>
    <n v="10317"/>
    <d v="2022-06-30T00:00:00"/>
    <s v="B"/>
    <n v="36"/>
    <n v="15000"/>
    <s v=""/>
    <s v="Q2"/>
    <n v="5000"/>
    <s v="First Payment Pending"/>
    <s v="First Payment Pending"/>
    <x v="1"/>
    <n v="347576.05555555556"/>
    <s v="Tier 3"/>
    <n v="550"/>
    <n v="0"/>
  </r>
  <r>
    <n v="10193"/>
    <d v="2022-04-18T00:00:00"/>
    <s v="C"/>
    <n v="12"/>
    <n v="4800"/>
    <s v="6/1/2022"/>
    <s v="Q2"/>
    <n v="4800"/>
    <s v="Q2"/>
    <s v="6/30/2022"/>
    <x v="2"/>
    <n v="4800"/>
    <s v="Tier 1"/>
    <n v="336.00000000000006"/>
    <n v="336.00000000000006"/>
  </r>
  <r>
    <n v="10013"/>
    <d v="2022-04-23T00:00:00"/>
    <s v="C"/>
    <n v="12"/>
    <n v="1575"/>
    <s v="5/31/2022"/>
    <s v="Q2"/>
    <n v="1575"/>
    <s v="Q2"/>
    <s v="6/30/2022"/>
    <x v="2"/>
    <n v="6375"/>
    <s v="Tier 1"/>
    <n v="110.25000000000001"/>
    <n v="110.25000000000001"/>
  </r>
  <r>
    <n v="10008"/>
    <d v="2022-04-25T00:00:00"/>
    <s v="C"/>
    <n v="12"/>
    <n v="32686.3"/>
    <s v="4/30/2022"/>
    <s v="Q2"/>
    <n v="32686.3"/>
    <s v="Q2"/>
    <s v="6/30/2022"/>
    <x v="2"/>
    <n v="39061.300000000003"/>
    <s v="Tier 1"/>
    <n v="2288.0410000000002"/>
    <n v="2288.0410000000002"/>
  </r>
  <r>
    <n v="10003"/>
    <d v="2022-04-30T00:00:00"/>
    <s v="C"/>
    <n v="12"/>
    <n v="46667"/>
    <s v="6/20/2022"/>
    <s v="Q2"/>
    <n v="46667"/>
    <s v="Q2"/>
    <s v="6/30/2022"/>
    <x v="2"/>
    <n v="85728.3"/>
    <s v="Tier 1"/>
    <n v="3266.6900000000005"/>
    <n v="3266.6900000000005"/>
  </r>
  <r>
    <n v="10303"/>
    <d v="2022-04-30T00:00:00"/>
    <s v="C"/>
    <n v="12"/>
    <n v="12000"/>
    <s v="5/3/2022"/>
    <s v="Q2"/>
    <n v="12000"/>
    <s v="Q2"/>
    <s v="6/30/2022"/>
    <x v="2"/>
    <n v="97728.3"/>
    <s v="Tier 1"/>
    <n v="840.00000000000011"/>
    <n v="840.00000000000011"/>
  </r>
  <r>
    <n v="10293"/>
    <d v="2022-05-06T00:00:00"/>
    <s v="C"/>
    <n v="30"/>
    <n v="15000"/>
    <s v="5/24/2022"/>
    <s v="Q2"/>
    <n v="6000"/>
    <s v="Q2"/>
    <s v="6/30/2022"/>
    <x v="2"/>
    <n v="103728.3"/>
    <s v="Tier 1"/>
    <n v="420.00000000000006"/>
    <n v="420.00000000000006"/>
  </r>
  <r>
    <n v="10298"/>
    <d v="2022-05-09T00:00:00"/>
    <s v="C"/>
    <n v="12"/>
    <n v="10812"/>
    <s v="5/25/2022"/>
    <s v="Q2"/>
    <n v="10812"/>
    <s v="Q2"/>
    <s v="6/30/2022"/>
    <x v="2"/>
    <n v="114540.3"/>
    <s v="Tier 1"/>
    <n v="756.84"/>
    <n v="756.84"/>
  </r>
  <r>
    <n v="10308"/>
    <d v="2022-06-30T00:00:00"/>
    <s v="C"/>
    <n v="12"/>
    <n v="75000"/>
    <s v=""/>
    <s v="Q2"/>
    <n v="75000"/>
    <s v="First Payment Pending"/>
    <s v="First Payment Pending"/>
    <x v="2"/>
    <n v="189540.3"/>
    <s v="Tier 1"/>
    <n v="5250.0000000000009"/>
    <n v="0"/>
  </r>
  <r>
    <n v="10313"/>
    <d v="2022-06-30T00:00:00"/>
    <s v="C"/>
    <n v="12"/>
    <n v="24000"/>
    <s v=""/>
    <s v="Q2"/>
    <n v="24000"/>
    <s v="First Payment Pending"/>
    <s v="First Payment Pending"/>
    <x v="2"/>
    <n v="213540.3"/>
    <s v="Tier 1"/>
    <n v="1680.0000000000002"/>
    <n v="0"/>
  </r>
  <r>
    <n v="10318"/>
    <d v="2022-06-30T00:00:00"/>
    <s v="C"/>
    <n v="12"/>
    <n v="64000"/>
    <s v=""/>
    <s v="Q2"/>
    <n v="64000"/>
    <s v="First Payment Pending"/>
    <s v="First Payment Pending"/>
    <x v="2"/>
    <n v="277540.3"/>
    <s v="Tier 2"/>
    <n v="6720.0000000000009"/>
    <n v="0"/>
  </r>
  <r>
    <n v="10180"/>
    <d v="2022-04-17T00:00:00"/>
    <s v="D"/>
    <n v="12"/>
    <n v="26052"/>
    <s v="5/24/2022"/>
    <s v="Q2"/>
    <n v="26052"/>
    <s v="Q2"/>
    <s v="6/30/2022"/>
    <x v="3"/>
    <n v="26052"/>
    <s v="Tier 1"/>
    <n v="2084.16"/>
    <n v="2084.16"/>
  </r>
  <r>
    <n v="10295"/>
    <d v="2022-04-28T00:00:00"/>
    <s v="D"/>
    <n v="12"/>
    <n v="15400"/>
    <s v="6/3/2022"/>
    <s v="Q2"/>
    <n v="15400"/>
    <s v="Q2"/>
    <s v="6/30/2022"/>
    <x v="3"/>
    <n v="41452"/>
    <s v="Tier 1"/>
    <n v="1232"/>
    <n v="1232"/>
  </r>
  <r>
    <n v="10010"/>
    <d v="2022-04-30T00:00:00"/>
    <s v="D"/>
    <n v="36"/>
    <n v="28500"/>
    <s v="6/11/2022"/>
    <s v="Q2"/>
    <n v="9500"/>
    <s v="Q2"/>
    <s v="6/30/2022"/>
    <x v="3"/>
    <n v="50952"/>
    <s v="Tier 1"/>
    <n v="760"/>
    <n v="760"/>
  </r>
  <r>
    <n v="10015"/>
    <d v="2022-04-30T00:00:00"/>
    <s v="D"/>
    <n v="12"/>
    <n v="72000"/>
    <s v="5/20/2022"/>
    <s v="Q2"/>
    <n v="72000"/>
    <s v="Q2"/>
    <s v="6/30/2022"/>
    <x v="3"/>
    <n v="122952"/>
    <s v="Tier 1"/>
    <n v="5760"/>
    <n v="5760"/>
  </r>
  <r>
    <n v="10005"/>
    <d v="2022-05-03T00:00:00"/>
    <s v="D"/>
    <n v="12"/>
    <n v="24000"/>
    <s v="5/11/2022"/>
    <s v="Q2"/>
    <n v="24000"/>
    <s v="Q2"/>
    <s v="6/30/2022"/>
    <x v="3"/>
    <n v="146952"/>
    <s v="Tier 1"/>
    <n v="1920"/>
    <n v="1920"/>
  </r>
  <r>
    <n v="10300"/>
    <d v="2022-05-03T00:00:00"/>
    <s v="D"/>
    <n v="30"/>
    <n v="15000"/>
    <s v="5/7/2022"/>
    <s v="Q2"/>
    <n v="6000"/>
    <s v="Q2"/>
    <s v="6/30/2022"/>
    <x v="3"/>
    <n v="152952"/>
    <s v="Tier 1"/>
    <n v="480"/>
    <n v="480"/>
  </r>
  <r>
    <n v="10235"/>
    <d v="2022-05-26T00:00:00"/>
    <s v="D"/>
    <n v="20"/>
    <n v="7200"/>
    <s v="5/23/2022"/>
    <s v="Q2"/>
    <n v="4320"/>
    <s v="Q2"/>
    <s v="6/30/2022"/>
    <x v="3"/>
    <n v="157272"/>
    <s v="Tier 1"/>
    <n v="345.6"/>
    <n v="345.6"/>
  </r>
  <r>
    <n v="10200"/>
    <d v="2022-06-02T00:00:00"/>
    <s v="D"/>
    <n v="12"/>
    <n v="200000"/>
    <s v="6/22/2022"/>
    <s v="Q2"/>
    <n v="200000"/>
    <s v="Q2"/>
    <s v="6/30/2022"/>
    <x v="3"/>
    <n v="357272"/>
    <s v="Tier 1"/>
    <n v="16000"/>
    <n v="16000"/>
  </r>
  <r>
    <n v="10310"/>
    <d v="2022-06-28T00:00:00"/>
    <s v="D"/>
    <n v="12"/>
    <n v="90000"/>
    <s v=""/>
    <s v="Q2"/>
    <n v="90000"/>
    <s v="First Payment Pending"/>
    <s v="First Payment Pending"/>
    <x v="3"/>
    <n v="447272"/>
    <s v="Tier 1"/>
    <n v="7200"/>
    <n v="0"/>
  </r>
  <r>
    <n v="10305"/>
    <d v="2022-06-30T00:00:00"/>
    <s v="D"/>
    <n v="12"/>
    <n v="15600"/>
    <s v=""/>
    <s v="Q2"/>
    <n v="15600"/>
    <s v="First Payment Pending"/>
    <s v="First Payment Pending"/>
    <x v="3"/>
    <n v="462872"/>
    <s v="Tier 2"/>
    <n v="1872"/>
    <n v="0"/>
  </r>
  <r>
    <n v="10315"/>
    <d v="2022-06-30T00:00:00"/>
    <s v="D"/>
    <n v="12"/>
    <n v="34000"/>
    <s v=""/>
    <s v="Q2"/>
    <n v="34000"/>
    <s v="First Payment Pending"/>
    <s v="First Payment Pending"/>
    <x v="3"/>
    <n v="496872"/>
    <s v="Tier 2"/>
    <n v="408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85C96F-F958-4AE5-9EA3-F79D5477A708}" name="PivotTable8" cacheId="1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Q2 Commssion Detail">
  <location ref="A33:C38" firstHeaderRow="0" firstDataRow="1" firstDataCol="1"/>
  <pivotFields count="15">
    <pivotField showAll="0"/>
    <pivotField numFmtId="14" showAll="0"/>
    <pivotField showAll="0"/>
    <pivotField showAll="0"/>
    <pivotField numFmtId="44" showAll="0"/>
    <pivotField showAll="0"/>
    <pivotField showAll="0"/>
    <pivotField numFmtId="44" showAll="0"/>
    <pivotField showAll="0"/>
    <pivotField showAll="0"/>
    <pivotField axis="axisRow" showAll="0">
      <items count="5">
        <item x="0"/>
        <item x="1"/>
        <item x="2"/>
        <item x="3"/>
        <item t="default"/>
      </items>
    </pivotField>
    <pivotField numFmtId="44" showAll="0"/>
    <pivotField showAll="0"/>
    <pivotField dataField="1" numFmtId="44" showAll="0"/>
    <pivotField dataField="1" numFmtId="43" showAll="0"/>
  </pivotFields>
  <rowFields count="1">
    <field x="10"/>
  </rowFields>
  <rowItems count="5">
    <i>
      <x/>
    </i>
    <i>
      <x v="1"/>
    </i>
    <i>
      <x v="2"/>
    </i>
    <i>
      <x v="3"/>
    </i>
    <i t="grand">
      <x/>
    </i>
  </rowItems>
  <colFields count="1">
    <field x="-2"/>
  </colFields>
  <colItems count="2">
    <i>
      <x/>
    </i>
    <i i="1">
      <x v="1"/>
    </i>
  </colItems>
  <dataFields count="2">
    <dataField name="Commissions Earned" fld="13" baseField="0" baseItem="0"/>
    <dataField name="Commissions Released" fld="14"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4F0A3B-7F3E-456F-9F4E-B0A386096166}" name="PivotTable7" cacheId="1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Q1 Commission Detail">
  <location ref="A23:C28" firstHeaderRow="0" firstDataRow="1" firstDataCol="1"/>
  <pivotFields count="15">
    <pivotField showAll="0"/>
    <pivotField numFmtId="14" showAll="0"/>
    <pivotField showAll="0"/>
    <pivotField showAll="0"/>
    <pivotField showAll="0"/>
    <pivotField showAll="0"/>
    <pivotField showAll="0"/>
    <pivotField numFmtId="44" showAll="0"/>
    <pivotField showAll="0"/>
    <pivotField showAll="0"/>
    <pivotField axis="axisRow" showAll="0">
      <items count="5">
        <item x="0"/>
        <item x="1"/>
        <item x="2"/>
        <item x="3"/>
        <item t="default"/>
      </items>
    </pivotField>
    <pivotField numFmtId="43" showAll="0"/>
    <pivotField showAll="0"/>
    <pivotField dataField="1" numFmtId="44" showAll="0"/>
    <pivotField dataField="1" numFmtId="43" showAll="0"/>
  </pivotFields>
  <rowFields count="1">
    <field x="10"/>
  </rowFields>
  <rowItems count="5">
    <i>
      <x/>
    </i>
    <i>
      <x v="1"/>
    </i>
    <i>
      <x v="2"/>
    </i>
    <i>
      <x v="3"/>
    </i>
    <i t="grand">
      <x/>
    </i>
  </rowItems>
  <colFields count="1">
    <field x="-2"/>
  </colFields>
  <colItems count="2">
    <i>
      <x/>
    </i>
    <i i="1">
      <x v="1"/>
    </i>
  </colItems>
  <dataFields count="2">
    <dataField name="Commissions Earned" fld="13" baseField="10" baseItem="0"/>
    <dataField name="Commissions Released" fld="14" baseField="1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5A5A4D-6948-4522-9295-C9BDE5FE60EE}" name="PivotTable5" cacheId="1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D18"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name="Quota Attained per Quarter" fld="2" baseField="0" baseItem="0" numFmtId="44"/>
  </dataFields>
  <formats count="1">
    <format dxfId="19">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Quota Attained per Quarter"/>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ptivateIQ - Exercise Data (2022-01).xlsx!Deal_Data">
        <x15:activeTabTopLevelEntity name="[Dea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29E3DB-01EC-4B64-9D35-17C5666DBFCA}" name="Commissionable ARR per deal"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2:M119" firstHeaderRow="1" firstDataRow="1" firstDataCol="1"/>
  <pivotFields count="12">
    <pivotField axis="axisRow" showAll="0">
      <items count="117">
        <item x="10"/>
        <item x="48"/>
        <item x="70"/>
        <item x="109"/>
        <item x="27"/>
        <item x="47"/>
        <item x="69"/>
        <item x="107"/>
        <item x="24"/>
        <item x="44"/>
        <item x="68"/>
        <item x="108"/>
        <item x="25"/>
        <item x="46"/>
        <item x="95"/>
        <item x="60"/>
        <item x="93"/>
        <item x="40"/>
        <item x="58"/>
        <item x="98"/>
        <item x="61"/>
        <item x="96"/>
        <item x="15"/>
        <item x="39"/>
        <item x="92"/>
        <item x="11"/>
        <item x="12"/>
        <item x="38"/>
        <item x="57"/>
        <item x="78"/>
        <item x="55"/>
        <item x="5"/>
        <item x="54"/>
        <item x="87"/>
        <item x="9"/>
        <item x="85"/>
        <item x="81"/>
        <item x="6"/>
        <item x="86"/>
        <item x="7"/>
        <item x="83"/>
        <item x="84"/>
        <item x="105"/>
        <item x="23"/>
        <item x="63"/>
        <item x="102"/>
        <item x="20"/>
        <item x="65"/>
        <item x="103"/>
        <item x="21"/>
        <item x="43"/>
        <item x="67"/>
        <item x="104"/>
        <item x="22"/>
        <item x="66"/>
        <item x="112"/>
        <item x="100"/>
        <item x="16"/>
        <item x="45"/>
        <item x="64"/>
        <item x="99"/>
        <item x="62"/>
        <item x="91"/>
        <item x="17"/>
        <item x="19"/>
        <item x="42"/>
        <item x="101"/>
        <item x="18"/>
        <item x="77"/>
        <item x="41"/>
        <item x="59"/>
        <item x="111"/>
        <item x="29"/>
        <item x="34"/>
        <item x="97"/>
        <item x="14"/>
        <item x="94"/>
        <item x="13"/>
        <item x="82"/>
        <item x="79"/>
        <item x="4"/>
        <item x="80"/>
        <item x="3"/>
        <item x="33"/>
        <item x="2"/>
        <item x="36"/>
        <item x="90"/>
        <item x="1"/>
        <item x="35"/>
        <item x="88"/>
        <item x="0"/>
        <item x="37"/>
        <item x="56"/>
        <item x="89"/>
        <item x="8"/>
        <item x="72"/>
        <item x="106"/>
        <item x="26"/>
        <item x="49"/>
        <item x="73"/>
        <item x="110"/>
        <item x="28"/>
        <item x="50"/>
        <item x="71"/>
        <item x="114"/>
        <item x="31"/>
        <item x="52"/>
        <item x="74"/>
        <item x="113"/>
        <item x="32"/>
        <item x="51"/>
        <item x="75"/>
        <item x="115"/>
        <item x="30"/>
        <item x="53"/>
        <item x="76"/>
        <item t="default"/>
      </items>
    </pivotField>
    <pivotField numFmtId="14" showAll="0"/>
    <pivotField showAll="0"/>
    <pivotField showAll="0"/>
    <pivotField numFmtId="164" showAll="0"/>
    <pivotField showAll="0"/>
    <pivotField showAll="0">
      <items count="3">
        <item x="0"/>
        <item x="1"/>
        <item t="default"/>
      </items>
    </pivotField>
    <pivotField dataField="1" numFmtId="164" showAll="0"/>
    <pivotField showAll="0">
      <items count="5">
        <item x="1"/>
        <item x="0"/>
        <item x="2"/>
        <item x="3"/>
        <item t="default"/>
      </items>
    </pivotField>
    <pivotField showAll="0"/>
    <pivotField showAll="0">
      <items count="5">
        <item x="0"/>
        <item x="1"/>
        <item x="2"/>
        <item x="3"/>
        <item t="default"/>
      </items>
    </pivotField>
    <pivotField numFmtId="43" showAll="0"/>
  </pivotFields>
  <rowFields count="1">
    <field x="0"/>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Sum of  Commissionable ARR" fld="7" baseField="0" baseItem="0" numFmtId="172"/>
  </dataFields>
  <pivotTableStyleInfo name="PivotStyleLight2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BFCA98-6899-4428-9671-3C50CEB72FB3}" name="Quarterly AAR" cacheId="1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name="Sum of Commissionable AAR" fld="2" baseField="0" baseItem="0"/>
  </dataFields>
  <formats count="1">
    <format dxfId="42">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ptivateIQ - Exercise Data (2022-01).xlsx!Deal_Data">
        <x15:activeTabTopLevelEntity name="[Deal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A4B58DD-87FE-41FF-8AF2-81586A91E309}" autoFormatId="16" applyNumberFormats="0" applyBorderFormats="0" applyFontFormats="0" applyPatternFormats="0" applyAlignmentFormats="0" applyWidthHeightFormats="0">
  <queryTableRefresh nextId="16" unboundColumnsRight="2">
    <queryTableFields count="15">
      <queryTableField id="1" name="Deal_Data[Opportunity ID]" tableColumnId="1"/>
      <queryTableField id="2" name="Deal_Data[Closed Won Date]" tableColumnId="2"/>
      <queryTableField id="3" name="Deal_Data[Owner User ID]" tableColumnId="3"/>
      <queryTableField id="4" name="Deal_Data[Contract Length (Months)]" tableColumnId="4"/>
      <queryTableField id="5" name="Deal_Data[Total Contract Value]" tableColumnId="5"/>
      <queryTableField id="6" name="Deal_Data[First Payment Date]" tableColumnId="6"/>
      <queryTableField id="7" name="Deal_Data[Attainment Quarter]" tableColumnId="7"/>
      <queryTableField id="8" name="Deal_Data[Commissionable AAR]" tableColumnId="8"/>
      <queryTableField id="9" name="Deal_Data[Payment Quarter]" tableColumnId="9"/>
      <queryTableField id="10" name="Deal_Data[Payment Date]" tableColumnId="10"/>
      <queryTableField id="11" name="Deal_Data[Owner Name]" tableColumnId="11"/>
      <queryTableField id="12" name="Deal_Data[Accumulative ARR]" tableColumnId="12"/>
      <queryTableField id="13" name="Deal_Data[Calculated commission]" tableColumnId="13"/>
      <queryTableField id="14" dataBound="0" tableColumnId="14"/>
      <queryTableField id="15" dataBound="0" tableColumnId="15"/>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17F5600-5EFC-471E-955A-4B46F42A4C77}" autoFormatId="16" applyNumberFormats="0" applyBorderFormats="0" applyFontFormats="0" applyPatternFormats="0" applyAlignmentFormats="0" applyWidthHeightFormats="0">
  <queryTableRefresh nextId="17" unboundColumnsRight="2">
    <queryTableFields count="15">
      <queryTableField id="1" name="Deal_Data[Opportunity ID]" tableColumnId="1"/>
      <queryTableField id="2" name="Deal_Data[Closed Won Date]" tableColumnId="2"/>
      <queryTableField id="3" name="Deal_Data[Owner User ID]" tableColumnId="3"/>
      <queryTableField id="4" name="Deal_Data[Contract Length (Months)]" tableColumnId="4"/>
      <queryTableField id="5" name="Deal_Data[Total Contract Value]" tableColumnId="5"/>
      <queryTableField id="6" name="Deal_Data[First Payment Date]" tableColumnId="6"/>
      <queryTableField id="7" name="Deal_Data[Attainment Quarter]" tableColumnId="7"/>
      <queryTableField id="8" name="Deal_Data[Commissionable AAR]" tableColumnId="8"/>
      <queryTableField id="9" name="Deal_Data[Payment Quarter]" tableColumnId="9"/>
      <queryTableField id="10" name="Deal_Data[Payment Date]" tableColumnId="10"/>
      <queryTableField id="11" name="Deal_Data[Owner Name]" tableColumnId="11"/>
      <queryTableField id="12" name="Deal_Data[Accumulative ARR]" tableColumnId="12"/>
      <queryTableField id="13" name="Deal_Data[Calculated commission]" tableColumnId="13"/>
      <queryTableField id="14" dataBound="0" tableColumnId="14"/>
      <queryTableField id="16" dataBound="0"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inment_Quarter" xr10:uid="{3D27446C-0F8E-482B-8EAB-1E57BA5E54CD}" sourceName="Attainment Quarter">
  <pivotTables>
    <pivotTable tabId="4" name="Commissionable ARR per deal"/>
  </pivotTables>
  <data>
    <tabular pivotCacheId="1383517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Quarter" xr10:uid="{B91F4BB5-1AC6-49AA-A02A-E0729ACF51E1}" sourceName="Payment Quarter">
  <pivotTables>
    <pivotTable tabId="4" name="Commissionable ARR per deal"/>
  </pivotTables>
  <data>
    <tabular pivotCacheId="1383517167">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_Name" xr10:uid="{116CBB2D-D5C6-4FAE-8F5D-6A13AA2D508A}" sourceName="Owner Name">
  <pivotTables>
    <pivotTable tabId="4" name="Commissionable ARR per deal"/>
  </pivotTables>
  <data>
    <tabular pivotCacheId="138351716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ainment Quarter" xr10:uid="{465EA7FF-1919-40E8-8699-5338E86C022C}" cache="Slicer_Attainment_Quarter" caption="Attainment Quarter" rowHeight="225425"/>
  <slicer name="Payment Quarter" xr10:uid="{0B9F8C90-9623-4D2B-BD8D-CF4F01242642}" cache="Slicer_Payment_Quarter" caption="Payment Quarter" rowHeight="225425"/>
  <slicer name="Owner Name" xr10:uid="{8FAE06AA-9B97-4794-A67C-980C6FDAD09D}" cache="Slicer_Owner_Name" caption="Owner Name"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99806A-15BA-4B5E-B7A4-221144B8D6A4}" name="Q1_Comm_Detail" displayName="Q1_Comm_Detail" ref="A3:O77" tableType="queryTable" totalsRowShown="0">
  <autoFilter ref="A3:O77" xr:uid="{0199806A-15BA-4B5E-B7A4-221144B8D6A4}"/>
  <tableColumns count="15">
    <tableColumn id="1" xr3:uid="{37E185D6-EA71-4F97-AC9C-64CA5BF14853}" uniqueName="1" name="Deal_Data[Opportunity ID]" queryTableFieldId="1"/>
    <tableColumn id="2" xr3:uid="{36160BFC-F30F-4B32-B7A5-905B2C70BF4C}" uniqueName="2" name="Deal_Data[Closed Won Date]" queryTableFieldId="2" dataDxfId="40"/>
    <tableColumn id="3" xr3:uid="{7D9F3ACE-AA06-4A34-8223-0EE2313E7FCA}" uniqueName="3" name="Deal_Data[Owner User ID]" queryTableFieldId="3"/>
    <tableColumn id="4" xr3:uid="{515F352D-5AC0-4012-97D3-B6F6CED02766}" uniqueName="4" name="Deal_Data[Contract Length (Months)]" queryTableFieldId="4"/>
    <tableColumn id="5" xr3:uid="{D89B25F4-9BF1-44E9-9993-84845B4BD0F6}" uniqueName="5" name="Deal_Data[Total Contract Value]" queryTableFieldId="5"/>
    <tableColumn id="6" xr3:uid="{7152A90E-A370-4DA1-B0CC-16B90B582F8E}" uniqueName="6" name="Deal_Data[First Payment Date]" queryTableFieldId="6"/>
    <tableColumn id="7" xr3:uid="{56A224DA-CD45-42A1-8E43-F1096C8EE5E9}" uniqueName="7" name="Deal_Data[Attainment Quarter]" queryTableFieldId="7"/>
    <tableColumn id="8" xr3:uid="{84E71841-99E8-47B5-A470-95B7C17D2D1C}" uniqueName="8" name="Deal_Data[Commissionable ARR]" queryTableFieldId="8" dataCellStyle="Currency"/>
    <tableColumn id="9" xr3:uid="{0697EEA9-531E-4EFD-8BF7-80305939BE8F}" uniqueName="9" name="Deal_Data[Payment Quarter]" queryTableFieldId="9"/>
    <tableColumn id="10" xr3:uid="{EC196065-5907-47DA-A095-8F2CD5F38085}" uniqueName="10" name="Deal_Data[Payment Date]" queryTableFieldId="10"/>
    <tableColumn id="11" xr3:uid="{351622DE-16C0-4694-B933-4AE9EBC9CCD4}" uniqueName="11" name="Deal_Data[Owner Name]" queryTableFieldId="11"/>
    <tableColumn id="12" xr3:uid="{2B25C4C5-A6D6-4309-9C2F-222C84FDDE81}" uniqueName="12" name="Deal_Data[Accumulative ARR]" queryTableFieldId="12" dataCellStyle="Comma"/>
    <tableColumn id="13" xr3:uid="{9BB5EF1F-AD03-4019-A645-594AF88D7D18}" uniqueName="13" name="Deal_Data[Commission Tier]" queryTableFieldId="13"/>
    <tableColumn id="14" xr3:uid="{483CAB48-EFC0-4DE1-8BD2-E9283DD01D0D}" uniqueName="14" name="Commission Calculation " queryTableFieldId="14" dataDxfId="38" dataCellStyle="Currency">
      <calculatedColumnFormula>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calculatedColumnFormula>
    </tableColumn>
    <tableColumn id="15" xr3:uid="{0C81CFE6-516E-46D7-873A-DDE7040BC670}" uniqueName="15" name="Paid" queryTableFieldId="15" dataCellStyle="Comma">
      <calculatedColumnFormula>IF(Q1_Comm_Detail[[#This Row],[Deal_Data'[Payment Date']]]="First Payment Pending",0,Q1_Comm_Detail[[#This Row],[Commission Calculation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47C065-A4F7-4362-8A1E-6C19E849675A}" name="Q2_Comm_Detail" displayName="Q2_Comm_Detail" ref="A3:O45" tableType="queryTable" totalsRowShown="0">
  <autoFilter ref="A3:O45" xr:uid="{D947C065-A4F7-4362-8A1E-6C19E849675A}"/>
  <tableColumns count="15">
    <tableColumn id="1" xr3:uid="{00318E0A-5D09-4FFD-ABD7-F17DC45AF138}" uniqueName="1" name="Deal_Data[Opportunity ID]" queryTableFieldId="1"/>
    <tableColumn id="2" xr3:uid="{D77868D5-2130-4F21-89B5-0ED4C55D3AC4}" uniqueName="2" name="Deal_Data[Closed Won Date]" queryTableFieldId="2" dataDxfId="39"/>
    <tableColumn id="3" xr3:uid="{6735FC6E-51A1-4E89-817F-9D6F29D30220}" uniqueName="3" name="Deal_Data[Owner User ID]" queryTableFieldId="3"/>
    <tableColumn id="4" xr3:uid="{C2EADB81-6BFE-4891-9954-FCF1DBC0DB11}" uniqueName="4" name="Deal_Data[Contract Length (Months)]" queryTableFieldId="4"/>
    <tableColumn id="5" xr3:uid="{E5233852-D1BF-4571-BB9F-BFBAFC34DF38}" uniqueName="5" name="Deal_Data[Total Contract Value]" queryTableFieldId="5" dataCellStyle="Currency"/>
    <tableColumn id="6" xr3:uid="{F2175CA7-5E23-45BB-9C5B-3A22E39A3E83}" uniqueName="6" name="Deal_Data[First Payment Date]" queryTableFieldId="6"/>
    <tableColumn id="7" xr3:uid="{773BC458-7A81-4AE9-A03D-CF53EF855A24}" uniqueName="7" name="Deal_Data[Attainment Quarter]" queryTableFieldId="7"/>
    <tableColumn id="8" xr3:uid="{8F892B95-9162-4A55-B93B-ECDDAE08707C}" uniqueName="8" name="Deal_Data[Commissionable AAR]" queryTableFieldId="8" dataCellStyle="Currency"/>
    <tableColumn id="9" xr3:uid="{AEC344D6-D748-4D6A-BA6B-22643D5AE35D}" uniqueName="9" name="Deal_Data[Payment Quarter]" queryTableFieldId="9"/>
    <tableColumn id="10" xr3:uid="{9501624C-0AFC-4F1B-A819-9D160811D113}" uniqueName="10" name="Deal_Data[Payment Date]" queryTableFieldId="10"/>
    <tableColumn id="11" xr3:uid="{1CB1A6D7-5454-48A8-985E-1498F539BBFD}" uniqueName="11" name="Deal_Data[Owner Name]" queryTableFieldId="11"/>
    <tableColumn id="12" xr3:uid="{BDC234CF-AEC1-46CB-8F9C-E21EDDC61767}" uniqueName="12" name="Deal_Data[Accumulative ARR]" queryTableFieldId="12" dataCellStyle="Currency"/>
    <tableColumn id="13" xr3:uid="{E6DDB563-50D5-4824-84D3-62916CDE82FC}" uniqueName="13" name="Commission Tier" queryTableFieldId="13"/>
    <tableColumn id="14" xr3:uid="{8DD6B1EA-A9D5-4E41-A620-8FA7083331AE}" uniqueName="14" name="Commission Calculation " queryTableFieldId="14" dataDxfId="37" dataCellStyle="Currency">
      <calculatedColumnFormula>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calculatedColumnFormula>
    </tableColumn>
    <tableColumn id="16" xr3:uid="{A84A96BD-7330-489A-B78D-F0419C7F2256}" uniqueName="16" name="Paid" queryTableFieldId="16" dataCellStyle="Comma">
      <calculatedColumnFormula>IF(Q2_Comm_Detail[[#This Row],[Deal_Data'[Payment Date']]]="First payment Pending",0,Q2_Comm_Detail[[#This Row],[Commission Calculation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46BCC5-CEB0-41B6-92E9-A550CFA4FF59}" name="Deal_Data" displayName="Deal_Data" ref="A1:L117" totalsRowShown="0" headerRowDxfId="43" dataDxfId="44">
  <autoFilter ref="A1:L117" xr:uid="{3446BCC5-CEB0-41B6-92E9-A550CFA4FF59}"/>
  <sortState xmlns:xlrd2="http://schemas.microsoft.com/office/spreadsheetml/2017/richdata2" ref="A2:K117">
    <sortCondition ref="K2:K117"/>
    <sortCondition ref="B2:B117"/>
  </sortState>
  <tableColumns count="12">
    <tableColumn id="1" xr3:uid="{1EB13328-D4C9-4133-A166-9D37D7C465D0}" name="Opportunity ID" dataDxfId="54"/>
    <tableColumn id="2" xr3:uid="{0596AD9A-96D7-4EF3-A798-85D8D05D20A3}" name="Closed Won Date" dataDxfId="53"/>
    <tableColumn id="3" xr3:uid="{58990EA7-0134-4BBA-8760-224939978DB8}" name="Owner User ID" dataDxfId="52"/>
    <tableColumn id="4" xr3:uid="{26CBB7A1-3DD9-4DE5-90E0-95993430A7B2}" name="Contract Length (Months)" dataDxfId="51"/>
    <tableColumn id="5" xr3:uid="{21D9161E-A26B-4AB3-91AC-365C39C6697A}" name="Total Contract Value" dataDxfId="50"/>
    <tableColumn id="6" xr3:uid="{3CCBDE99-A1FD-4986-962E-11510625346D}" name="First Payment Date" dataDxfId="49"/>
    <tableColumn id="7" xr3:uid="{D8D863CC-FC71-48BB-9A41-2957D31BE1BA}" name="Attainment Quarter" dataDxfId="48">
      <calculatedColumnFormula>"Q"&amp;ROUNDUP(MONTH(B2)/3,0)</calculatedColumnFormula>
    </tableColumn>
    <tableColumn id="8" xr3:uid="{C01A8DA7-90E5-4E1A-B6D9-3D64B9C16C53}" name=" Commissionable ARR" dataDxfId="47">
      <calculatedColumnFormula>IF(D2&gt;12,((E2/D2)*12),E2)</calculatedColumnFormula>
    </tableColumn>
    <tableColumn id="9" xr3:uid="{6C135D6B-FDF5-4508-A9A1-D387F8D39EC1}" name="Payment Quarter" dataDxfId="46">
      <calculatedColumnFormula>IFERROR("Q"&amp;ROUNDUP(MONTH(F2)/3,0),"First Payment Pending")</calculatedColumnFormula>
    </tableColumn>
    <tableColumn id="10" xr3:uid="{A9128E9E-AAAA-4AD0-B29F-F241FDEC4F20}" name="Payment Date" dataDxfId="45">
      <calculatedColumnFormula>_xlfn.IFNA(VLOOKUP(I2,'Reference Data'!$A$72:$B$75,2,FALSE),"First Payment Pending")</calculatedColumnFormula>
    </tableColumn>
    <tableColumn id="11" xr3:uid="{072063CD-B504-44D6-BF28-1BC6546E853F}" name="Owner Name">
      <calculatedColumnFormula>VLOOKUP(C2,'Reference Data'!$A$4:$B$7,2,FALSE)</calculatedColumnFormula>
    </tableColumn>
    <tableColumn id="12" xr3:uid="{82D281BD-2563-4776-8AFD-A1A3EE4AE73A}" name="Accumulative ARR" dataDxfId="41" dataCellStyle="Comma">
      <calculatedColumnFormula>IF(G2=G1,SUMIFS($H$2:H2,$K$2:K2,K1,$G$2:G2,G1),Deal_Data[[#This Row],[ Commissionable ARR]])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hyperlink" Target="mailto:Q@%20Multiplier" TargetMode="Externa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59560-8CBE-40D1-A59B-B715C9E85ECC}">
  <dimension ref="A1:M119"/>
  <sheetViews>
    <sheetView tabSelected="1" workbookViewId="0">
      <selection activeCell="B34" sqref="B34"/>
    </sheetView>
  </sheetViews>
  <sheetFormatPr defaultRowHeight="12.75" x14ac:dyDescent="0.2"/>
  <cols>
    <col min="1" max="1" width="26.140625" bestFit="1" customWidth="1"/>
    <col min="2" max="2" width="31.140625" bestFit="1" customWidth="1"/>
    <col min="3" max="3" width="22.28515625" bestFit="1" customWidth="1"/>
    <col min="4" max="4" width="14" bestFit="1" customWidth="1"/>
    <col min="5" max="5" width="11.7109375" bestFit="1" customWidth="1"/>
    <col min="6" max="8" width="12.5703125" customWidth="1"/>
    <col min="12" max="12" width="13.85546875" bestFit="1" customWidth="1"/>
    <col min="13" max="13" width="28.5703125" style="9" bestFit="1" customWidth="1"/>
    <col min="14" max="14" width="22.28515625" bestFit="1" customWidth="1"/>
  </cols>
  <sheetData>
    <row r="1" spans="1:13" ht="13.5" thickBot="1" x14ac:dyDescent="0.25"/>
    <row r="2" spans="1:13" x14ac:dyDescent="0.2">
      <c r="A2" s="58" t="s">
        <v>39</v>
      </c>
      <c r="B2" s="59" t="s">
        <v>42</v>
      </c>
      <c r="C2" s="59" t="s">
        <v>40</v>
      </c>
      <c r="D2" s="59" t="s">
        <v>43</v>
      </c>
      <c r="E2" s="60" t="s">
        <v>41</v>
      </c>
      <c r="F2" s="85"/>
      <c r="G2" s="85"/>
      <c r="H2" s="85"/>
      <c r="L2" s="55" t="s">
        <v>35</v>
      </c>
      <c r="M2" t="s">
        <v>142</v>
      </c>
    </row>
    <row r="3" spans="1:13" x14ac:dyDescent="0.2">
      <c r="A3" s="61" t="str">
        <f>'Pivot Data'!A5</f>
        <v>Bob</v>
      </c>
      <c r="B3" s="87">
        <f>VLOOKUP(A3,'Pivot Data'!$A$5:B8,2,FALSE)</f>
        <v>301541.67</v>
      </c>
      <c r="C3" s="11" t="str">
        <f>IF(B3&gt;=VLOOKUP(A3,'Reference Data'!A13:B16,2,FALSE),"Qualified","Not Qualified")</f>
        <v>Qualified</v>
      </c>
      <c r="D3" s="87">
        <f>VLOOKUP(A3,'Pivot Data'!A5:C8,3,FALSE)</f>
        <v>140289.25</v>
      </c>
      <c r="E3" s="12" t="str">
        <f>IF(D3&gt;=VLOOKUP(A3,'Reference Data'!A13:C16,3,FALSE),"Qualified","Not Qualified")</f>
        <v>Not Qualified</v>
      </c>
      <c r="F3" s="86"/>
      <c r="G3" s="86"/>
      <c r="H3" s="86"/>
      <c r="L3" s="56">
        <v>10001</v>
      </c>
      <c r="M3" s="84">
        <v>45000</v>
      </c>
    </row>
    <row r="4" spans="1:13" x14ac:dyDescent="0.2">
      <c r="A4" s="61" t="str">
        <f>'Pivot Data'!A6</f>
        <v>Jane</v>
      </c>
      <c r="B4" s="87">
        <f>VLOOKUP(A4,'Pivot Data'!$A$5:B9,2,FALSE)</f>
        <v>59120.333333333328</v>
      </c>
      <c r="C4" s="11" t="str">
        <f>IF(B4&gt;=VLOOKUP(A4,'Reference Data'!A14:B17,2,FALSE),"Qualified","Not Qualified")</f>
        <v>Not Qualified</v>
      </c>
      <c r="D4" s="87">
        <f>VLOOKUP(A4,'Pivot Data'!A6:C9,3,FALSE)</f>
        <v>347576.05555555556</v>
      </c>
      <c r="E4" s="12" t="str">
        <f>IF(D4&gt;=VLOOKUP(A4,'Reference Data'!A14:C17,3,FALSE),"Qualified","Not Qualified")</f>
        <v>Qualified</v>
      </c>
      <c r="F4" s="86"/>
      <c r="G4" s="86"/>
      <c r="H4" s="86"/>
      <c r="L4" s="56">
        <v>10002</v>
      </c>
      <c r="M4" s="84">
        <v>7777.666666666667</v>
      </c>
    </row>
    <row r="5" spans="1:13" x14ac:dyDescent="0.2">
      <c r="A5" s="61" t="str">
        <f>'Pivot Data'!A7</f>
        <v>Joe</v>
      </c>
      <c r="B5" s="87">
        <f>VLOOKUP(A5,'Pivot Data'!$A$5:B10,2,FALSE)</f>
        <v>239106.66666666666</v>
      </c>
      <c r="C5" s="11" t="str">
        <f>IF(B5&gt;=VLOOKUP(A5,'Reference Data'!A15:B28,2,FALSE),"Qualified","Not Qualified")</f>
        <v>Qualified</v>
      </c>
      <c r="D5" s="87">
        <f>VLOOKUP(A5,'Pivot Data'!A7:C10,3,FALSE)</f>
        <v>277540.3</v>
      </c>
      <c r="E5" s="12" t="str">
        <f>IF(D5&gt;=VLOOKUP(A5,'Reference Data'!A15:C28,3,FALSE),"Qualified","Not Qualified")</f>
        <v>Qualified</v>
      </c>
      <c r="F5" s="86"/>
      <c r="G5" s="86"/>
      <c r="H5" s="86"/>
      <c r="L5" s="56">
        <v>10003</v>
      </c>
      <c r="M5" s="84">
        <v>46667</v>
      </c>
    </row>
    <row r="6" spans="1:13" ht="13.5" thickBot="1" x14ac:dyDescent="0.25">
      <c r="A6" s="62" t="str">
        <f>'Pivot Data'!A8</f>
        <v>Lin</v>
      </c>
      <c r="B6" s="88">
        <f>VLOOKUP(A6,'Pivot Data'!$A$5:B11,2,FALSE)</f>
        <v>377355</v>
      </c>
      <c r="C6" s="63" t="str">
        <f>IF(B6&gt;=VLOOKUP(A6,'Reference Data'!A16:B28,2,FALSE),"Qualified","Not Qualified")</f>
        <v>Not Qualified</v>
      </c>
      <c r="D6" s="88">
        <f>VLOOKUP(A6,'Pivot Data'!A8:C11,3,FALSE)</f>
        <v>496872</v>
      </c>
      <c r="E6" s="13" t="str">
        <f>IF(D6&gt;=VLOOKUP(A6,'Reference Data'!A16:C28,3,FALSE),"Qualified","Not Qualified")</f>
        <v>Qualified</v>
      </c>
      <c r="F6" s="86"/>
      <c r="G6" s="86"/>
      <c r="H6" s="86"/>
      <c r="L6" s="56">
        <v>10005</v>
      </c>
      <c r="M6" s="84">
        <v>24000</v>
      </c>
    </row>
    <row r="7" spans="1:13" x14ac:dyDescent="0.2">
      <c r="L7" s="56">
        <v>10006</v>
      </c>
      <c r="M7" s="84">
        <v>4500</v>
      </c>
    </row>
    <row r="8" spans="1:13" x14ac:dyDescent="0.2">
      <c r="L8" s="56">
        <v>10007</v>
      </c>
      <c r="M8" s="84">
        <v>27000</v>
      </c>
    </row>
    <row r="9" spans="1:13" x14ac:dyDescent="0.2">
      <c r="L9" s="56">
        <v>10008</v>
      </c>
      <c r="M9" s="84">
        <v>32686.3</v>
      </c>
    </row>
    <row r="10" spans="1:13" x14ac:dyDescent="0.2">
      <c r="L10" s="56">
        <v>10010</v>
      </c>
      <c r="M10" s="84">
        <v>9500</v>
      </c>
    </row>
    <row r="11" spans="1:13" x14ac:dyDescent="0.2">
      <c r="L11" s="56">
        <v>10011</v>
      </c>
      <c r="M11" s="84">
        <v>10000</v>
      </c>
    </row>
    <row r="12" spans="1:13" x14ac:dyDescent="0.2">
      <c r="A12" s="55" t="s">
        <v>143</v>
      </c>
      <c r="B12" s="55" t="s">
        <v>38</v>
      </c>
      <c r="L12" s="56">
        <v>10012</v>
      </c>
      <c r="M12" s="84">
        <v>15996</v>
      </c>
    </row>
    <row r="13" spans="1:13" x14ac:dyDescent="0.2">
      <c r="A13" s="55" t="s">
        <v>35</v>
      </c>
      <c r="B13" t="s">
        <v>20</v>
      </c>
      <c r="C13" t="s">
        <v>21</v>
      </c>
      <c r="D13" t="s">
        <v>36</v>
      </c>
      <c r="L13" s="56">
        <v>10013</v>
      </c>
      <c r="M13" s="84">
        <v>1575</v>
      </c>
    </row>
    <row r="14" spans="1:13" x14ac:dyDescent="0.2">
      <c r="A14" s="56" t="s">
        <v>14</v>
      </c>
      <c r="B14" s="83">
        <v>301541.67</v>
      </c>
      <c r="C14" s="83">
        <v>140289.25</v>
      </c>
      <c r="D14" s="83">
        <v>441830.92</v>
      </c>
      <c r="L14" s="56">
        <v>10015</v>
      </c>
      <c r="M14" s="84">
        <v>72000</v>
      </c>
    </row>
    <row r="15" spans="1:13" x14ac:dyDescent="0.2">
      <c r="A15" s="56" t="s">
        <v>15</v>
      </c>
      <c r="B15" s="83">
        <v>59120.333333333328</v>
      </c>
      <c r="C15" s="83">
        <v>347576.05555555556</v>
      </c>
      <c r="D15" s="83">
        <v>406696.38888888888</v>
      </c>
      <c r="L15" s="56">
        <v>10016</v>
      </c>
      <c r="M15" s="84">
        <v>5000</v>
      </c>
    </row>
    <row r="16" spans="1:13" x14ac:dyDescent="0.2">
      <c r="A16" s="56" t="s">
        <v>16</v>
      </c>
      <c r="B16" s="83">
        <v>239106.66666666666</v>
      </c>
      <c r="C16" s="83">
        <v>277540.3</v>
      </c>
      <c r="D16" s="83">
        <v>516646.96666666667</v>
      </c>
      <c r="L16" s="56">
        <v>10017</v>
      </c>
      <c r="M16" s="84">
        <v>28333.5</v>
      </c>
    </row>
    <row r="17" spans="1:13" x14ac:dyDescent="0.2">
      <c r="A17" s="56" t="s">
        <v>17</v>
      </c>
      <c r="B17" s="83">
        <v>377355</v>
      </c>
      <c r="C17" s="83">
        <v>496872</v>
      </c>
      <c r="D17" s="83">
        <v>874227</v>
      </c>
      <c r="L17" s="56">
        <v>10020</v>
      </c>
      <c r="M17" s="84">
        <v>12000</v>
      </c>
    </row>
    <row r="18" spans="1:13" x14ac:dyDescent="0.2">
      <c r="A18" s="56" t="s">
        <v>36</v>
      </c>
      <c r="B18" s="83">
        <v>977123.66999999993</v>
      </c>
      <c r="C18" s="83">
        <v>1262277.6055555556</v>
      </c>
      <c r="D18" s="83">
        <v>2239401.2755555557</v>
      </c>
      <c r="L18" s="56">
        <v>10023</v>
      </c>
      <c r="M18" s="84">
        <v>88000</v>
      </c>
    </row>
    <row r="19" spans="1:13" x14ac:dyDescent="0.2">
      <c r="L19" s="56">
        <v>10025</v>
      </c>
      <c r="M19" s="84">
        <v>25000</v>
      </c>
    </row>
    <row r="20" spans="1:13" x14ac:dyDescent="0.2">
      <c r="L20" s="56">
        <v>10027</v>
      </c>
      <c r="M20" s="84">
        <v>360</v>
      </c>
    </row>
    <row r="21" spans="1:13" x14ac:dyDescent="0.2">
      <c r="L21" s="56">
        <v>10028</v>
      </c>
      <c r="M21" s="84">
        <v>7200</v>
      </c>
    </row>
    <row r="22" spans="1:13" x14ac:dyDescent="0.2">
      <c r="L22" s="56">
        <v>10030</v>
      </c>
      <c r="M22" s="84">
        <v>11000</v>
      </c>
    </row>
    <row r="23" spans="1:13" x14ac:dyDescent="0.2">
      <c r="A23" s="55" t="s">
        <v>147</v>
      </c>
      <c r="B23" t="s">
        <v>146</v>
      </c>
      <c r="C23" t="s">
        <v>145</v>
      </c>
      <c r="L23" s="56">
        <v>10033</v>
      </c>
      <c r="M23" s="84">
        <v>24000</v>
      </c>
    </row>
    <row r="24" spans="1:13" x14ac:dyDescent="0.2">
      <c r="A24" s="56" t="s">
        <v>14</v>
      </c>
      <c r="B24" s="83">
        <v>36294.167000000001</v>
      </c>
      <c r="C24" s="83">
        <v>27084.167000000001</v>
      </c>
      <c r="L24" s="56">
        <v>10035</v>
      </c>
      <c r="M24" s="84">
        <v>1200</v>
      </c>
    </row>
    <row r="25" spans="1:13" x14ac:dyDescent="0.2">
      <c r="A25" s="56" t="s">
        <v>15</v>
      </c>
      <c r="B25" s="83">
        <v>7094.44</v>
      </c>
      <c r="C25" s="83">
        <v>5870.44</v>
      </c>
      <c r="L25" s="56">
        <v>10036</v>
      </c>
      <c r="M25" s="84">
        <v>4800</v>
      </c>
    </row>
    <row r="26" spans="1:13" x14ac:dyDescent="0.2">
      <c r="A26" s="56" t="s">
        <v>16</v>
      </c>
      <c r="B26" s="83">
        <v>23436.6</v>
      </c>
      <c r="C26" s="83">
        <v>23436.6</v>
      </c>
      <c r="L26" s="56">
        <v>10042</v>
      </c>
      <c r="M26" s="84">
        <v>1125</v>
      </c>
    </row>
    <row r="27" spans="1:13" x14ac:dyDescent="0.2">
      <c r="A27" s="56" t="s">
        <v>17</v>
      </c>
      <c r="B27" s="83">
        <v>33961.949999999997</v>
      </c>
      <c r="C27" s="83">
        <v>33961.949999999997</v>
      </c>
      <c r="L27" s="56">
        <v>10045</v>
      </c>
      <c r="M27" s="84">
        <v>7200</v>
      </c>
    </row>
    <row r="28" spans="1:13" x14ac:dyDescent="0.2">
      <c r="A28" s="56" t="s">
        <v>36</v>
      </c>
      <c r="B28" s="83">
        <v>100787.15699999999</v>
      </c>
      <c r="C28" s="83">
        <v>90353.157000000007</v>
      </c>
      <c r="L28" s="56">
        <v>10046</v>
      </c>
      <c r="M28" s="84">
        <v>3000</v>
      </c>
    </row>
    <row r="29" spans="1:13" x14ac:dyDescent="0.2">
      <c r="L29" s="56">
        <v>10051</v>
      </c>
      <c r="M29" s="84">
        <v>9600</v>
      </c>
    </row>
    <row r="30" spans="1:13" x14ac:dyDescent="0.2">
      <c r="L30" s="56">
        <v>10052</v>
      </c>
      <c r="M30" s="84">
        <v>3360</v>
      </c>
    </row>
    <row r="31" spans="1:13" x14ac:dyDescent="0.2">
      <c r="L31" s="56">
        <v>10058</v>
      </c>
      <c r="M31" s="84">
        <v>3000</v>
      </c>
    </row>
    <row r="32" spans="1:13" x14ac:dyDescent="0.2">
      <c r="L32" s="56">
        <v>10110</v>
      </c>
      <c r="M32" s="84">
        <v>6000</v>
      </c>
    </row>
    <row r="33" spans="1:13" x14ac:dyDescent="0.2">
      <c r="A33" s="55" t="s">
        <v>148</v>
      </c>
      <c r="B33" t="s">
        <v>146</v>
      </c>
      <c r="C33" t="s">
        <v>145</v>
      </c>
      <c r="L33" s="56">
        <v>10128</v>
      </c>
      <c r="M33" s="84">
        <v>28800</v>
      </c>
    </row>
    <row r="34" spans="1:13" x14ac:dyDescent="0.2">
      <c r="A34" s="56" t="s">
        <v>14</v>
      </c>
      <c r="B34" s="83">
        <v>11223.140000000001</v>
      </c>
      <c r="C34" s="83">
        <v>9663.14</v>
      </c>
      <c r="L34" s="56">
        <v>10131</v>
      </c>
      <c r="M34" s="84">
        <v>24000</v>
      </c>
    </row>
    <row r="35" spans="1:13" x14ac:dyDescent="0.2">
      <c r="A35" s="56" t="s">
        <v>15</v>
      </c>
      <c r="B35" s="83">
        <v>38233.366111111114</v>
      </c>
      <c r="C35" s="83">
        <v>32190.681111111109</v>
      </c>
      <c r="L35" s="56">
        <v>10133</v>
      </c>
      <c r="M35" s="84">
        <v>5086.666666666667</v>
      </c>
    </row>
    <row r="36" spans="1:13" x14ac:dyDescent="0.2">
      <c r="A36" s="56" t="s">
        <v>16</v>
      </c>
      <c r="B36" s="83">
        <v>21667.821000000004</v>
      </c>
      <c r="C36" s="83">
        <v>8017.8210000000008</v>
      </c>
      <c r="L36" s="56">
        <v>10140</v>
      </c>
      <c r="M36" s="84">
        <v>5600</v>
      </c>
    </row>
    <row r="37" spans="1:13" x14ac:dyDescent="0.2">
      <c r="A37" s="56" t="s">
        <v>17</v>
      </c>
      <c r="B37" s="83">
        <v>41733.760000000002</v>
      </c>
      <c r="C37" s="83">
        <v>28581.760000000002</v>
      </c>
      <c r="L37" s="56">
        <v>10141</v>
      </c>
      <c r="M37" s="84">
        <v>20000</v>
      </c>
    </row>
    <row r="38" spans="1:13" x14ac:dyDescent="0.2">
      <c r="A38" s="56" t="s">
        <v>36</v>
      </c>
      <c r="B38" s="83">
        <v>112858.08711111112</v>
      </c>
      <c r="C38" s="83">
        <v>78453.402111111121</v>
      </c>
      <c r="L38" s="56">
        <v>10145</v>
      </c>
      <c r="M38" s="84">
        <v>5250</v>
      </c>
    </row>
    <row r="39" spans="1:13" x14ac:dyDescent="0.2">
      <c r="L39" s="56">
        <v>10150</v>
      </c>
      <c r="M39" s="84">
        <v>31140</v>
      </c>
    </row>
    <row r="40" spans="1:13" x14ac:dyDescent="0.2">
      <c r="L40" s="56">
        <v>10151</v>
      </c>
      <c r="M40" s="84">
        <v>2000</v>
      </c>
    </row>
    <row r="41" spans="1:13" x14ac:dyDescent="0.2">
      <c r="L41" s="56">
        <v>10155</v>
      </c>
      <c r="M41" s="84">
        <v>12000</v>
      </c>
    </row>
    <row r="42" spans="1:13" x14ac:dyDescent="0.2">
      <c r="L42" s="56">
        <v>10156</v>
      </c>
      <c r="M42" s="84">
        <v>5175</v>
      </c>
    </row>
    <row r="43" spans="1:13" x14ac:dyDescent="0.2">
      <c r="L43" s="56">
        <v>10160</v>
      </c>
      <c r="M43" s="84">
        <v>26500</v>
      </c>
    </row>
    <row r="44" spans="1:13" x14ac:dyDescent="0.2">
      <c r="L44" s="56">
        <v>10165</v>
      </c>
      <c r="M44" s="84">
        <v>1500</v>
      </c>
    </row>
    <row r="45" spans="1:13" x14ac:dyDescent="0.2">
      <c r="L45" s="56">
        <v>10180</v>
      </c>
      <c r="M45" s="84">
        <v>26052</v>
      </c>
    </row>
    <row r="46" spans="1:13" x14ac:dyDescent="0.2">
      <c r="L46" s="56">
        <v>10181</v>
      </c>
      <c r="M46" s="84">
        <v>948</v>
      </c>
    </row>
    <row r="47" spans="1:13" x14ac:dyDescent="0.2">
      <c r="L47" s="56">
        <v>10183</v>
      </c>
      <c r="M47" s="84">
        <v>4320</v>
      </c>
    </row>
    <row r="48" spans="1:13" x14ac:dyDescent="0.2">
      <c r="L48" s="56">
        <v>10185</v>
      </c>
      <c r="M48" s="84">
        <v>15000</v>
      </c>
    </row>
    <row r="49" spans="12:13" x14ac:dyDescent="0.2">
      <c r="L49" s="56">
        <v>10186</v>
      </c>
      <c r="M49" s="84">
        <v>7000</v>
      </c>
    </row>
    <row r="50" spans="12:13" x14ac:dyDescent="0.2">
      <c r="L50" s="56">
        <v>10188</v>
      </c>
      <c r="M50" s="84">
        <v>25000</v>
      </c>
    </row>
    <row r="51" spans="12:13" x14ac:dyDescent="0.2">
      <c r="L51" s="56">
        <v>10190</v>
      </c>
      <c r="M51" s="84">
        <v>5000</v>
      </c>
    </row>
    <row r="52" spans="12:13" x14ac:dyDescent="0.2">
      <c r="L52" s="56">
        <v>10191</v>
      </c>
      <c r="M52" s="84">
        <v>15000</v>
      </c>
    </row>
    <row r="53" spans="12:13" x14ac:dyDescent="0.2">
      <c r="L53" s="56">
        <v>10192</v>
      </c>
      <c r="M53" s="84">
        <v>3999</v>
      </c>
    </row>
    <row r="54" spans="12:13" x14ac:dyDescent="0.2">
      <c r="L54" s="56">
        <v>10193</v>
      </c>
      <c r="M54" s="84">
        <v>4800</v>
      </c>
    </row>
    <row r="55" spans="12:13" x14ac:dyDescent="0.2">
      <c r="L55" s="56">
        <v>10195</v>
      </c>
      <c r="M55" s="84">
        <v>57500</v>
      </c>
    </row>
    <row r="56" spans="12:13" x14ac:dyDescent="0.2">
      <c r="L56" s="56">
        <v>10196</v>
      </c>
      <c r="M56" s="84">
        <v>42120</v>
      </c>
    </row>
    <row r="57" spans="12:13" x14ac:dyDescent="0.2">
      <c r="L57" s="56">
        <v>10198</v>
      </c>
      <c r="M57" s="84">
        <v>17600</v>
      </c>
    </row>
    <row r="58" spans="12:13" x14ac:dyDescent="0.2">
      <c r="L58" s="56">
        <v>10200</v>
      </c>
      <c r="M58" s="84">
        <v>200000</v>
      </c>
    </row>
    <row r="59" spans="12:13" x14ac:dyDescent="0.2">
      <c r="L59" s="56">
        <v>10205</v>
      </c>
      <c r="M59" s="84">
        <v>2400</v>
      </c>
    </row>
    <row r="60" spans="12:13" x14ac:dyDescent="0.2">
      <c r="L60" s="56">
        <v>10206</v>
      </c>
      <c r="M60" s="84">
        <v>18000</v>
      </c>
    </row>
    <row r="61" spans="12:13" x14ac:dyDescent="0.2">
      <c r="L61" s="56">
        <v>10207</v>
      </c>
      <c r="M61" s="84">
        <v>8888.8888888888887</v>
      </c>
    </row>
    <row r="62" spans="12:13" x14ac:dyDescent="0.2">
      <c r="L62" s="56">
        <v>10208</v>
      </c>
      <c r="M62" s="84">
        <v>5000</v>
      </c>
    </row>
    <row r="63" spans="12:13" x14ac:dyDescent="0.2">
      <c r="L63" s="56">
        <v>10210</v>
      </c>
      <c r="M63" s="84">
        <v>18000</v>
      </c>
    </row>
    <row r="64" spans="12:13" x14ac:dyDescent="0.2">
      <c r="L64" s="56">
        <v>10213</v>
      </c>
      <c r="M64" s="84">
        <v>14000</v>
      </c>
    </row>
    <row r="65" spans="12:13" x14ac:dyDescent="0.2">
      <c r="L65" s="56">
        <v>10215</v>
      </c>
      <c r="M65" s="84">
        <v>2000</v>
      </c>
    </row>
    <row r="66" spans="12:13" x14ac:dyDescent="0.2">
      <c r="L66" s="56">
        <v>10216</v>
      </c>
      <c r="M66" s="84">
        <v>18000</v>
      </c>
    </row>
    <row r="67" spans="12:13" x14ac:dyDescent="0.2">
      <c r="L67" s="56">
        <v>10221</v>
      </c>
      <c r="M67" s="84">
        <v>29000</v>
      </c>
    </row>
    <row r="68" spans="12:13" x14ac:dyDescent="0.2">
      <c r="L68" s="56">
        <v>10222</v>
      </c>
      <c r="M68" s="84">
        <v>6000</v>
      </c>
    </row>
    <row r="69" spans="12:13" x14ac:dyDescent="0.2">
      <c r="L69" s="56">
        <v>10225</v>
      </c>
      <c r="M69" s="84">
        <v>8500</v>
      </c>
    </row>
    <row r="70" spans="12:13" x14ac:dyDescent="0.2">
      <c r="L70" s="56">
        <v>10226</v>
      </c>
      <c r="M70" s="84">
        <v>9000</v>
      </c>
    </row>
    <row r="71" spans="12:13" x14ac:dyDescent="0.2">
      <c r="L71" s="56">
        <v>10230</v>
      </c>
      <c r="M71" s="84">
        <v>5500</v>
      </c>
    </row>
    <row r="72" spans="12:13" x14ac:dyDescent="0.2">
      <c r="L72" s="56">
        <v>10232</v>
      </c>
      <c r="M72" s="84">
        <v>13400</v>
      </c>
    </row>
    <row r="73" spans="12:13" x14ac:dyDescent="0.2">
      <c r="L73" s="56">
        <v>10233</v>
      </c>
      <c r="M73" s="84">
        <v>6600</v>
      </c>
    </row>
    <row r="74" spans="12:13" x14ac:dyDescent="0.2">
      <c r="L74" s="56">
        <v>10235</v>
      </c>
      <c r="M74" s="84">
        <v>4320</v>
      </c>
    </row>
    <row r="75" spans="12:13" x14ac:dyDescent="0.2">
      <c r="L75" s="56">
        <v>10236</v>
      </c>
      <c r="M75" s="84">
        <v>12000</v>
      </c>
    </row>
    <row r="76" spans="12:13" x14ac:dyDescent="0.2">
      <c r="L76" s="56">
        <v>10237</v>
      </c>
      <c r="M76" s="84">
        <v>10200</v>
      </c>
    </row>
    <row r="77" spans="12:13" x14ac:dyDescent="0.2">
      <c r="L77" s="56">
        <v>10240</v>
      </c>
      <c r="M77" s="84">
        <v>4815</v>
      </c>
    </row>
    <row r="78" spans="12:13" x14ac:dyDescent="0.2">
      <c r="L78" s="56">
        <v>10241</v>
      </c>
      <c r="M78" s="84">
        <v>7000</v>
      </c>
    </row>
    <row r="79" spans="12:13" x14ac:dyDescent="0.2">
      <c r="L79" s="56">
        <v>10245</v>
      </c>
      <c r="M79" s="84">
        <v>3000</v>
      </c>
    </row>
    <row r="80" spans="12:13" x14ac:dyDescent="0.2">
      <c r="L80" s="56">
        <v>10246</v>
      </c>
      <c r="M80" s="84">
        <v>7200</v>
      </c>
    </row>
    <row r="81" spans="12:13" x14ac:dyDescent="0.2">
      <c r="L81" s="56">
        <v>10260</v>
      </c>
      <c r="M81" s="84">
        <v>12500</v>
      </c>
    </row>
    <row r="82" spans="12:13" x14ac:dyDescent="0.2">
      <c r="L82" s="56">
        <v>10265</v>
      </c>
      <c r="M82" s="84">
        <v>15000</v>
      </c>
    </row>
    <row r="83" spans="12:13" x14ac:dyDescent="0.2">
      <c r="L83" s="56">
        <v>10266</v>
      </c>
      <c r="M83" s="84">
        <v>6000</v>
      </c>
    </row>
    <row r="84" spans="12:13" x14ac:dyDescent="0.2">
      <c r="L84" s="56">
        <v>10270</v>
      </c>
      <c r="M84" s="84">
        <v>9750</v>
      </c>
    </row>
    <row r="85" spans="12:13" x14ac:dyDescent="0.2">
      <c r="L85" s="56">
        <v>10271</v>
      </c>
      <c r="M85" s="84">
        <v>12000</v>
      </c>
    </row>
    <row r="86" spans="12:13" x14ac:dyDescent="0.2">
      <c r="L86" s="56">
        <v>10272</v>
      </c>
      <c r="M86" s="84">
        <v>600</v>
      </c>
    </row>
    <row r="87" spans="12:13" x14ac:dyDescent="0.2">
      <c r="L87" s="56">
        <v>10276</v>
      </c>
      <c r="M87" s="84">
        <v>14412</v>
      </c>
    </row>
    <row r="88" spans="12:13" x14ac:dyDescent="0.2">
      <c r="L88" s="56">
        <v>10277</v>
      </c>
      <c r="M88" s="84">
        <v>15000</v>
      </c>
    </row>
    <row r="89" spans="12:13" x14ac:dyDescent="0.2">
      <c r="L89" s="56">
        <v>10280</v>
      </c>
      <c r="M89" s="84">
        <v>5000</v>
      </c>
    </row>
    <row r="90" spans="12:13" x14ac:dyDescent="0.2">
      <c r="L90" s="56">
        <v>10281</v>
      </c>
      <c r="M90" s="84">
        <v>5114.67</v>
      </c>
    </row>
    <row r="91" spans="12:13" x14ac:dyDescent="0.2">
      <c r="L91" s="56">
        <v>10282</v>
      </c>
      <c r="M91" s="84">
        <v>2196.333333333333</v>
      </c>
    </row>
    <row r="92" spans="12:13" x14ac:dyDescent="0.2">
      <c r="L92" s="56">
        <v>10285</v>
      </c>
      <c r="M92" s="84">
        <v>5000</v>
      </c>
    </row>
    <row r="93" spans="12:13" x14ac:dyDescent="0.2">
      <c r="L93" s="56">
        <v>10286</v>
      </c>
      <c r="M93" s="84">
        <v>6240</v>
      </c>
    </row>
    <row r="94" spans="12:13" x14ac:dyDescent="0.2">
      <c r="L94" s="56">
        <v>10287</v>
      </c>
      <c r="M94" s="84">
        <v>2880</v>
      </c>
    </row>
    <row r="95" spans="12:13" x14ac:dyDescent="0.2">
      <c r="L95" s="56">
        <v>10288</v>
      </c>
      <c r="M95" s="84">
        <v>10500</v>
      </c>
    </row>
    <row r="96" spans="12:13" x14ac:dyDescent="0.2">
      <c r="L96" s="56">
        <v>10290</v>
      </c>
      <c r="M96" s="84">
        <v>64000</v>
      </c>
    </row>
    <row r="97" spans="12:13" x14ac:dyDescent="0.2">
      <c r="L97" s="56">
        <v>10291</v>
      </c>
      <c r="M97" s="84">
        <v>34000</v>
      </c>
    </row>
    <row r="98" spans="12:13" x14ac:dyDescent="0.2">
      <c r="L98" s="56">
        <v>10293</v>
      </c>
      <c r="M98" s="84">
        <v>6000</v>
      </c>
    </row>
    <row r="99" spans="12:13" x14ac:dyDescent="0.2">
      <c r="L99" s="56">
        <v>10295</v>
      </c>
      <c r="M99" s="84">
        <v>15400</v>
      </c>
    </row>
    <row r="100" spans="12:13" x14ac:dyDescent="0.2">
      <c r="L100" s="56">
        <v>10296</v>
      </c>
      <c r="M100" s="84">
        <v>20000</v>
      </c>
    </row>
    <row r="101" spans="12:13" x14ac:dyDescent="0.2">
      <c r="L101" s="56">
        <v>10297</v>
      </c>
      <c r="M101" s="84">
        <v>17980</v>
      </c>
    </row>
    <row r="102" spans="12:13" x14ac:dyDescent="0.2">
      <c r="L102" s="56">
        <v>10298</v>
      </c>
      <c r="M102" s="84">
        <v>10812</v>
      </c>
    </row>
    <row r="103" spans="12:13" x14ac:dyDescent="0.2">
      <c r="L103" s="56">
        <v>10300</v>
      </c>
      <c r="M103" s="84">
        <v>6000</v>
      </c>
    </row>
    <row r="104" spans="12:13" x14ac:dyDescent="0.2">
      <c r="L104" s="56">
        <v>10301</v>
      </c>
      <c r="M104" s="84">
        <v>6000</v>
      </c>
    </row>
    <row r="105" spans="12:13" x14ac:dyDescent="0.2">
      <c r="L105" s="56">
        <v>10302</v>
      </c>
      <c r="M105" s="84">
        <v>215000</v>
      </c>
    </row>
    <row r="106" spans="12:13" x14ac:dyDescent="0.2">
      <c r="L106" s="56">
        <v>10303</v>
      </c>
      <c r="M106" s="84">
        <v>12000</v>
      </c>
    </row>
    <row r="107" spans="12:13" x14ac:dyDescent="0.2">
      <c r="L107" s="56">
        <v>10305</v>
      </c>
      <c r="M107" s="84">
        <v>15600</v>
      </c>
    </row>
    <row r="108" spans="12:13" x14ac:dyDescent="0.2">
      <c r="L108" s="56">
        <v>10306</v>
      </c>
      <c r="M108" s="84">
        <v>9000</v>
      </c>
    </row>
    <row r="109" spans="12:13" x14ac:dyDescent="0.2">
      <c r="L109" s="56">
        <v>10307</v>
      </c>
      <c r="M109" s="84">
        <v>7200</v>
      </c>
    </row>
    <row r="110" spans="12:13" x14ac:dyDescent="0.2">
      <c r="L110" s="56">
        <v>10308</v>
      </c>
      <c r="M110" s="84">
        <v>75000</v>
      </c>
    </row>
    <row r="111" spans="12:13" x14ac:dyDescent="0.2">
      <c r="L111" s="56">
        <v>10310</v>
      </c>
      <c r="M111" s="84">
        <v>90000</v>
      </c>
    </row>
    <row r="112" spans="12:13" x14ac:dyDescent="0.2">
      <c r="L112" s="56">
        <v>10311</v>
      </c>
      <c r="M112" s="84">
        <v>27500</v>
      </c>
    </row>
    <row r="113" spans="12:13" x14ac:dyDescent="0.2">
      <c r="L113" s="56">
        <v>10312</v>
      </c>
      <c r="M113" s="84">
        <v>14400</v>
      </c>
    </row>
    <row r="114" spans="12:13" x14ac:dyDescent="0.2">
      <c r="L114" s="56">
        <v>10313</v>
      </c>
      <c r="M114" s="84">
        <v>24000</v>
      </c>
    </row>
    <row r="115" spans="12:13" x14ac:dyDescent="0.2">
      <c r="L115" s="56">
        <v>10315</v>
      </c>
      <c r="M115" s="84">
        <v>34000</v>
      </c>
    </row>
    <row r="116" spans="12:13" x14ac:dyDescent="0.2">
      <c r="L116" s="56">
        <v>10316</v>
      </c>
      <c r="M116" s="84">
        <v>3221.25</v>
      </c>
    </row>
    <row r="117" spans="12:13" x14ac:dyDescent="0.2">
      <c r="L117" s="56">
        <v>10317</v>
      </c>
      <c r="M117" s="84">
        <v>5000</v>
      </c>
    </row>
    <row r="118" spans="12:13" x14ac:dyDescent="0.2">
      <c r="L118" s="56">
        <v>10318</v>
      </c>
      <c r="M118" s="84">
        <v>64000</v>
      </c>
    </row>
    <row r="119" spans="12:13" x14ac:dyDescent="0.2">
      <c r="L119" s="56" t="s">
        <v>36</v>
      </c>
      <c r="M119" s="84">
        <v>2239401.2755555557</v>
      </c>
    </row>
  </sheetData>
  <conditionalFormatting sqref="B3:B6">
    <cfRule type="containsText" dxfId="33" priority="5" operator="containsText" text="Qualified">
      <formula>NOT(ISERROR(SEARCH("Qualified",B3)))</formula>
    </cfRule>
  </conditionalFormatting>
  <conditionalFormatting sqref="C3:H6">
    <cfRule type="cellIs" dxfId="32" priority="1" operator="equal">
      <formula>"Qualified"</formula>
    </cfRule>
    <cfRule type="cellIs" dxfId="31" priority="3" operator="equal">
      <formula>"Not Qualified"</formula>
    </cfRule>
  </conditionalFormatting>
  <hyperlinks>
    <hyperlink ref="E2" r:id="rId5" display="Q@ Multiplier" xr:uid="{52D6AAA9-B0C8-4453-8F09-98FD6BE8E7CB}"/>
  </hyperlink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F65C-6ED1-40C4-9CCB-C67B3D2F6122}">
  <dimension ref="A1:P77"/>
  <sheetViews>
    <sheetView topLeftCell="E1" workbookViewId="0">
      <selection activeCell="A3" sqref="A3"/>
    </sheetView>
  </sheetViews>
  <sheetFormatPr defaultRowHeight="12.75" x14ac:dyDescent="0.2"/>
  <cols>
    <col min="1" max="1" width="27.140625" bestFit="1" customWidth="1"/>
    <col min="2" max="2" width="29.85546875" bestFit="1" customWidth="1"/>
    <col min="3" max="3" width="27.140625" bestFit="1" customWidth="1"/>
    <col min="4" max="4" width="37.140625" bestFit="1" customWidth="1"/>
    <col min="5" max="5" width="33" bestFit="1" customWidth="1"/>
    <col min="6" max="6" width="31.42578125" bestFit="1" customWidth="1"/>
    <col min="7" max="7" width="31.5703125" bestFit="1" customWidth="1"/>
    <col min="8" max="8" width="33.85546875" bestFit="1" customWidth="1"/>
    <col min="9" max="9" width="29.7109375" bestFit="1" customWidth="1"/>
    <col min="10" max="10" width="26.85546875" bestFit="1" customWidth="1"/>
    <col min="11" max="11" width="26" bestFit="1" customWidth="1"/>
    <col min="12" max="12" width="31" bestFit="1" customWidth="1"/>
    <col min="13" max="13" width="35.42578125" bestFit="1" customWidth="1"/>
    <col min="14" max="14" width="26.140625" style="81" bestFit="1" customWidth="1"/>
    <col min="15" max="15" width="9.140625" style="9"/>
    <col min="16" max="16" width="11.28515625" bestFit="1" customWidth="1"/>
  </cols>
  <sheetData>
    <row r="1" spans="1:15" x14ac:dyDescent="0.2">
      <c r="A1" t="s">
        <v>119</v>
      </c>
    </row>
    <row r="3" spans="1:15" x14ac:dyDescent="0.2">
      <c r="A3" t="s">
        <v>53</v>
      </c>
      <c r="B3" t="s">
        <v>54</v>
      </c>
      <c r="C3" t="s">
        <v>55</v>
      </c>
      <c r="D3" t="s">
        <v>56</v>
      </c>
      <c r="E3" t="s">
        <v>57</v>
      </c>
      <c r="F3" t="s">
        <v>58</v>
      </c>
      <c r="G3" t="s">
        <v>59</v>
      </c>
      <c r="H3" s="16" t="s">
        <v>126</v>
      </c>
      <c r="I3" t="s">
        <v>61</v>
      </c>
      <c r="J3" t="s">
        <v>62</v>
      </c>
      <c r="K3" t="s">
        <v>63</v>
      </c>
      <c r="L3" t="s">
        <v>120</v>
      </c>
      <c r="M3" s="16" t="s">
        <v>122</v>
      </c>
      <c r="N3" s="82" t="s">
        <v>123</v>
      </c>
      <c r="O3" s="54" t="s">
        <v>144</v>
      </c>
    </row>
    <row r="4" spans="1:15" x14ac:dyDescent="0.2">
      <c r="A4">
        <v>10286</v>
      </c>
      <c r="B4" s="7">
        <v>44562</v>
      </c>
      <c r="C4" t="s">
        <v>6</v>
      </c>
      <c r="D4">
        <v>30</v>
      </c>
      <c r="E4">
        <v>15600</v>
      </c>
      <c r="F4" t="s">
        <v>64</v>
      </c>
      <c r="G4" t="s">
        <v>20</v>
      </c>
      <c r="H4" s="81">
        <v>6240</v>
      </c>
      <c r="I4" t="s">
        <v>20</v>
      </c>
      <c r="J4" t="s">
        <v>65</v>
      </c>
      <c r="K4" t="s">
        <v>14</v>
      </c>
      <c r="L4" s="9">
        <v>6240</v>
      </c>
      <c r="M4"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4"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624</v>
      </c>
      <c r="O4" s="9">
        <f>IF(Q1_Comm_Detail[[#This Row],[Deal_Data'[Payment Date']]]="First Payment Pending",0,Q1_Comm_Detail[[#This Row],[Commission Calculation ]])</f>
        <v>624</v>
      </c>
    </row>
    <row r="5" spans="1:15" x14ac:dyDescent="0.2">
      <c r="A5">
        <v>10281</v>
      </c>
      <c r="B5" s="7">
        <v>44587</v>
      </c>
      <c r="C5" t="s">
        <v>6</v>
      </c>
      <c r="D5">
        <v>12</v>
      </c>
      <c r="E5">
        <v>5114.67</v>
      </c>
      <c r="F5" t="s">
        <v>66</v>
      </c>
      <c r="G5" t="s">
        <v>20</v>
      </c>
      <c r="H5" s="81">
        <v>5114.67</v>
      </c>
      <c r="I5" t="s">
        <v>20</v>
      </c>
      <c r="J5" t="s">
        <v>65</v>
      </c>
      <c r="K5" t="s">
        <v>14</v>
      </c>
      <c r="L5" s="9">
        <v>11354.67</v>
      </c>
      <c r="M5"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511.46700000000004</v>
      </c>
      <c r="O5" s="9">
        <f>IF(Q1_Comm_Detail[[#This Row],[Deal_Data'[Payment Date']]]="First Payment Pending",0,Q1_Comm_Detail[[#This Row],[Commission Calculation ]])</f>
        <v>511.46700000000004</v>
      </c>
    </row>
    <row r="6" spans="1:15" x14ac:dyDescent="0.2">
      <c r="A6">
        <v>10276</v>
      </c>
      <c r="B6" s="7">
        <v>44588</v>
      </c>
      <c r="C6" t="s">
        <v>6</v>
      </c>
      <c r="D6">
        <v>12</v>
      </c>
      <c r="E6">
        <v>14412</v>
      </c>
      <c r="F6" t="s">
        <v>67</v>
      </c>
      <c r="G6" t="s">
        <v>20</v>
      </c>
      <c r="H6" s="81">
        <v>14412</v>
      </c>
      <c r="I6" t="s">
        <v>20</v>
      </c>
      <c r="J6" t="s">
        <v>65</v>
      </c>
      <c r="K6" t="s">
        <v>14</v>
      </c>
      <c r="L6" s="9">
        <v>25766.67</v>
      </c>
      <c r="M6"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1441.2</v>
      </c>
      <c r="O6" s="9">
        <f>IF(Q1_Comm_Detail[[#This Row],[Deal_Data'[Payment Date']]]="First Payment Pending",0,Q1_Comm_Detail[[#This Row],[Commission Calculation ]])</f>
        <v>1441.2</v>
      </c>
    </row>
    <row r="7" spans="1:15" x14ac:dyDescent="0.2">
      <c r="A7">
        <v>10271</v>
      </c>
      <c r="B7" s="7">
        <v>44592</v>
      </c>
      <c r="C7" t="s">
        <v>6</v>
      </c>
      <c r="D7">
        <v>12</v>
      </c>
      <c r="E7">
        <v>12000</v>
      </c>
      <c r="F7" t="s">
        <v>68</v>
      </c>
      <c r="G7" t="s">
        <v>20</v>
      </c>
      <c r="H7" s="81">
        <v>12000</v>
      </c>
      <c r="I7" t="s">
        <v>20</v>
      </c>
      <c r="J7" t="s">
        <v>65</v>
      </c>
      <c r="K7" t="s">
        <v>14</v>
      </c>
      <c r="L7" s="9">
        <v>37766.67</v>
      </c>
      <c r="M7"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7"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1200</v>
      </c>
      <c r="O7" s="9">
        <f>IF(Q1_Comm_Detail[[#This Row],[Deal_Data'[Payment Date']]]="First Payment Pending",0,Q1_Comm_Detail[[#This Row],[Commission Calculation ]])</f>
        <v>1200</v>
      </c>
    </row>
    <row r="8" spans="1:15" x14ac:dyDescent="0.2">
      <c r="A8">
        <v>10266</v>
      </c>
      <c r="B8" s="7">
        <v>44595</v>
      </c>
      <c r="C8" t="s">
        <v>6</v>
      </c>
      <c r="D8">
        <v>36</v>
      </c>
      <c r="E8">
        <v>18000</v>
      </c>
      <c r="F8" t="s">
        <v>69</v>
      </c>
      <c r="G8" t="s">
        <v>20</v>
      </c>
      <c r="H8" s="81">
        <v>6000</v>
      </c>
      <c r="I8" t="s">
        <v>20</v>
      </c>
      <c r="J8" t="s">
        <v>65</v>
      </c>
      <c r="K8" t="s">
        <v>14</v>
      </c>
      <c r="L8" s="9">
        <v>43766.67</v>
      </c>
      <c r="M8"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8"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600</v>
      </c>
      <c r="O8" s="9">
        <f>IF(Q1_Comm_Detail[[#This Row],[Deal_Data'[Payment Date']]]="First Payment Pending",0,Q1_Comm_Detail[[#This Row],[Commission Calculation ]])</f>
        <v>600</v>
      </c>
    </row>
    <row r="9" spans="1:15" x14ac:dyDescent="0.2">
      <c r="A9">
        <v>10131</v>
      </c>
      <c r="B9" s="7">
        <v>44606</v>
      </c>
      <c r="C9" t="s">
        <v>6</v>
      </c>
      <c r="D9">
        <v>12</v>
      </c>
      <c r="E9">
        <v>24000</v>
      </c>
      <c r="F9" t="s">
        <v>10</v>
      </c>
      <c r="G9" t="s">
        <v>20</v>
      </c>
      <c r="H9" s="81">
        <v>24000</v>
      </c>
      <c r="I9" t="s">
        <v>70</v>
      </c>
      <c r="J9" t="s">
        <v>70</v>
      </c>
      <c r="K9" t="s">
        <v>14</v>
      </c>
      <c r="L9" s="9">
        <v>67766.67</v>
      </c>
      <c r="M9"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9"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2400</v>
      </c>
      <c r="O9" s="9">
        <f>IF(Q1_Comm_Detail[[#This Row],[Deal_Data'[Payment Date']]]="First Payment Pending",0,Q1_Comm_Detail[[#This Row],[Commission Calculation ]])</f>
        <v>0</v>
      </c>
    </row>
    <row r="10" spans="1:15" x14ac:dyDescent="0.2">
      <c r="A10">
        <v>10151</v>
      </c>
      <c r="B10" s="7">
        <v>44620</v>
      </c>
      <c r="C10" t="s">
        <v>6</v>
      </c>
      <c r="D10">
        <v>24</v>
      </c>
      <c r="E10">
        <v>4000</v>
      </c>
      <c r="F10" t="s">
        <v>71</v>
      </c>
      <c r="G10" t="s">
        <v>20</v>
      </c>
      <c r="H10" s="81">
        <v>2000</v>
      </c>
      <c r="I10" t="s">
        <v>21</v>
      </c>
      <c r="J10" t="s">
        <v>72</v>
      </c>
      <c r="K10" t="s">
        <v>14</v>
      </c>
      <c r="L10" s="9">
        <v>69766.67</v>
      </c>
      <c r="M10"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10"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200</v>
      </c>
      <c r="O10" s="9">
        <f>IF(Q1_Comm_Detail[[#This Row],[Deal_Data'[Payment Date']]]="First Payment Pending",0,Q1_Comm_Detail[[#This Row],[Commission Calculation ]])</f>
        <v>200</v>
      </c>
    </row>
    <row r="11" spans="1:15" x14ac:dyDescent="0.2">
      <c r="A11">
        <v>10156</v>
      </c>
      <c r="B11" s="7">
        <v>44620</v>
      </c>
      <c r="C11" t="s">
        <v>6</v>
      </c>
      <c r="D11">
        <v>12</v>
      </c>
      <c r="E11">
        <v>5175</v>
      </c>
      <c r="F11" t="s">
        <v>73</v>
      </c>
      <c r="G11" t="s">
        <v>20</v>
      </c>
      <c r="H11" s="81">
        <v>5175</v>
      </c>
      <c r="I11" t="s">
        <v>21</v>
      </c>
      <c r="J11" t="s">
        <v>72</v>
      </c>
      <c r="K11" t="s">
        <v>14</v>
      </c>
      <c r="L11" s="9">
        <v>74941.67</v>
      </c>
      <c r="M11"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11"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517.5</v>
      </c>
      <c r="O11" s="9">
        <f>IF(Q1_Comm_Detail[[#This Row],[Deal_Data'[Payment Date']]]="First Payment Pending",0,Q1_Comm_Detail[[#This Row],[Commission Calculation ]])</f>
        <v>517.5</v>
      </c>
    </row>
    <row r="12" spans="1:15" x14ac:dyDescent="0.2">
      <c r="A12">
        <v>10291</v>
      </c>
      <c r="B12" s="7">
        <v>44622</v>
      </c>
      <c r="C12" t="s">
        <v>6</v>
      </c>
      <c r="D12">
        <v>30</v>
      </c>
      <c r="E12">
        <v>85000</v>
      </c>
      <c r="F12" t="s">
        <v>74</v>
      </c>
      <c r="G12" t="s">
        <v>20</v>
      </c>
      <c r="H12" s="81">
        <v>34000</v>
      </c>
      <c r="I12" t="s">
        <v>21</v>
      </c>
      <c r="J12" t="s">
        <v>72</v>
      </c>
      <c r="K12" t="s">
        <v>14</v>
      </c>
      <c r="L12" s="9">
        <v>108941.67</v>
      </c>
      <c r="M12"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12"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3400</v>
      </c>
      <c r="O12" s="9">
        <f>IF(Q1_Comm_Detail[[#This Row],[Deal_Data'[Payment Date']]]="First Payment Pending",0,Q1_Comm_Detail[[#This Row],[Commission Calculation ]])</f>
        <v>3400</v>
      </c>
    </row>
    <row r="13" spans="1:15" x14ac:dyDescent="0.2">
      <c r="A13">
        <v>10141</v>
      </c>
      <c r="B13" s="7">
        <v>44625</v>
      </c>
      <c r="C13" t="s">
        <v>6</v>
      </c>
      <c r="D13">
        <v>12</v>
      </c>
      <c r="E13">
        <v>20000</v>
      </c>
      <c r="F13" t="s">
        <v>75</v>
      </c>
      <c r="G13" t="s">
        <v>20</v>
      </c>
      <c r="H13" s="81">
        <v>20000</v>
      </c>
      <c r="I13" t="s">
        <v>21</v>
      </c>
      <c r="J13" t="s">
        <v>72</v>
      </c>
      <c r="K13" t="s">
        <v>14</v>
      </c>
      <c r="L13" s="9">
        <v>128941.67</v>
      </c>
      <c r="M13"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13"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2000</v>
      </c>
      <c r="O13" s="9">
        <f>IF(Q1_Comm_Detail[[#This Row],[Deal_Data'[Payment Date']]]="First Payment Pending",0,Q1_Comm_Detail[[#This Row],[Commission Calculation ]])</f>
        <v>2000</v>
      </c>
    </row>
    <row r="14" spans="1:15" x14ac:dyDescent="0.2">
      <c r="A14">
        <v>10001</v>
      </c>
      <c r="B14" s="7">
        <v>44633</v>
      </c>
      <c r="C14" t="s">
        <v>6</v>
      </c>
      <c r="D14">
        <v>12</v>
      </c>
      <c r="E14">
        <v>45000</v>
      </c>
      <c r="F14" t="s">
        <v>10</v>
      </c>
      <c r="G14" t="s">
        <v>20</v>
      </c>
      <c r="H14" s="81">
        <v>45000</v>
      </c>
      <c r="I14" t="s">
        <v>70</v>
      </c>
      <c r="J14" t="s">
        <v>70</v>
      </c>
      <c r="K14" t="s">
        <v>14</v>
      </c>
      <c r="L14" s="9">
        <v>173941.66999999998</v>
      </c>
      <c r="M14"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14"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4500</v>
      </c>
      <c r="O14" s="9">
        <f>IF(Q1_Comm_Detail[[#This Row],[Deal_Data'[Payment Date']]]="First Payment Pending",0,Q1_Comm_Detail[[#This Row],[Commission Calculation ]])</f>
        <v>0</v>
      </c>
    </row>
    <row r="15" spans="1:15" x14ac:dyDescent="0.2">
      <c r="A15">
        <v>10046</v>
      </c>
      <c r="B15" s="7">
        <v>44636</v>
      </c>
      <c r="C15" t="s">
        <v>6</v>
      </c>
      <c r="D15">
        <v>12</v>
      </c>
      <c r="E15">
        <v>3000</v>
      </c>
      <c r="F15" t="s">
        <v>76</v>
      </c>
      <c r="G15" t="s">
        <v>20</v>
      </c>
      <c r="H15" s="81">
        <v>3000</v>
      </c>
      <c r="I15" t="s">
        <v>20</v>
      </c>
      <c r="J15" t="s">
        <v>65</v>
      </c>
      <c r="K15" t="s">
        <v>14</v>
      </c>
      <c r="L15" s="9">
        <v>176941.66999999998</v>
      </c>
      <c r="M15"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15"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300</v>
      </c>
      <c r="O15" s="9">
        <f>IF(Q1_Comm_Detail[[#This Row],[Deal_Data'[Payment Date']]]="First Payment Pending",0,Q1_Comm_Detail[[#This Row],[Commission Calculation ]])</f>
        <v>300</v>
      </c>
    </row>
    <row r="16" spans="1:15" x14ac:dyDescent="0.2">
      <c r="A16">
        <v>10051</v>
      </c>
      <c r="B16" s="7">
        <v>44636</v>
      </c>
      <c r="C16" t="s">
        <v>6</v>
      </c>
      <c r="D16">
        <v>30</v>
      </c>
      <c r="E16">
        <v>24000</v>
      </c>
      <c r="F16" t="s">
        <v>10</v>
      </c>
      <c r="G16" t="s">
        <v>20</v>
      </c>
      <c r="H16" s="81">
        <v>9600</v>
      </c>
      <c r="I16" t="s">
        <v>70</v>
      </c>
      <c r="J16" t="s">
        <v>70</v>
      </c>
      <c r="K16" t="s">
        <v>14</v>
      </c>
      <c r="L16" s="9">
        <v>186541.66999999998</v>
      </c>
      <c r="M16"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16"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960</v>
      </c>
      <c r="O16" s="9">
        <f>IF(Q1_Comm_Detail[[#This Row],[Deal_Data'[Payment Date']]]="First Payment Pending",0,Q1_Comm_Detail[[#This Row],[Commission Calculation ]])</f>
        <v>0</v>
      </c>
    </row>
    <row r="17" spans="1:16" x14ac:dyDescent="0.2">
      <c r="A17">
        <v>10246</v>
      </c>
      <c r="B17" s="7">
        <v>44640</v>
      </c>
      <c r="C17" t="s">
        <v>6</v>
      </c>
      <c r="D17">
        <v>12</v>
      </c>
      <c r="E17">
        <v>7200</v>
      </c>
      <c r="F17" t="s">
        <v>77</v>
      </c>
      <c r="G17" t="s">
        <v>20</v>
      </c>
      <c r="H17" s="81">
        <v>7200</v>
      </c>
      <c r="I17" t="s">
        <v>20</v>
      </c>
      <c r="J17" t="s">
        <v>65</v>
      </c>
      <c r="K17" t="s">
        <v>14</v>
      </c>
      <c r="L17" s="9">
        <v>193741.66999999998</v>
      </c>
      <c r="M17"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17"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720</v>
      </c>
      <c r="O17" s="9">
        <f>IF(Q1_Comm_Detail[[#This Row],[Deal_Data'[Payment Date']]]="First Payment Pending",0,Q1_Comm_Detail[[#This Row],[Commission Calculation ]])</f>
        <v>720</v>
      </c>
    </row>
    <row r="18" spans="1:16" x14ac:dyDescent="0.2">
      <c r="A18">
        <v>10241</v>
      </c>
      <c r="B18" s="7">
        <v>44642</v>
      </c>
      <c r="C18" t="s">
        <v>6</v>
      </c>
      <c r="D18">
        <v>12</v>
      </c>
      <c r="E18">
        <v>7000</v>
      </c>
      <c r="F18" t="s">
        <v>78</v>
      </c>
      <c r="G18" t="s">
        <v>20</v>
      </c>
      <c r="H18" s="81">
        <v>7000</v>
      </c>
      <c r="I18" t="s">
        <v>21</v>
      </c>
      <c r="J18" t="s">
        <v>72</v>
      </c>
      <c r="K18" t="s">
        <v>14</v>
      </c>
      <c r="L18" s="9">
        <v>200741.66999999998</v>
      </c>
      <c r="M18"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2</v>
      </c>
      <c r="N18"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1050.0000000000002</v>
      </c>
      <c r="O18" s="9">
        <f>IF(Q1_Comm_Detail[[#This Row],[Deal_Data'[Payment Date']]]="First Payment Pending",0,Q1_Comm_Detail[[#This Row],[Commission Calculation ]])</f>
        <v>1050.0000000000002</v>
      </c>
      <c r="P18" s="83"/>
    </row>
    <row r="19" spans="1:16" x14ac:dyDescent="0.2">
      <c r="A19">
        <v>10036</v>
      </c>
      <c r="B19" s="7">
        <v>44646</v>
      </c>
      <c r="C19" t="s">
        <v>6</v>
      </c>
      <c r="D19">
        <v>30</v>
      </c>
      <c r="E19">
        <v>12000</v>
      </c>
      <c r="F19" t="s">
        <v>79</v>
      </c>
      <c r="G19" t="s">
        <v>20</v>
      </c>
      <c r="H19" s="81">
        <v>4800</v>
      </c>
      <c r="I19" t="s">
        <v>21</v>
      </c>
      <c r="J19" t="s">
        <v>72</v>
      </c>
      <c r="K19" t="s">
        <v>14</v>
      </c>
      <c r="L19" s="9">
        <v>205541.66999999998</v>
      </c>
      <c r="M19"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2</v>
      </c>
      <c r="N19"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720.00000000000011</v>
      </c>
      <c r="O19" s="9">
        <f>IF(Q1_Comm_Detail[[#This Row],[Deal_Data'[Payment Date']]]="First Payment Pending",0,Q1_Comm_Detail[[#This Row],[Commission Calculation ]])</f>
        <v>720.00000000000011</v>
      </c>
      <c r="P19" s="83"/>
    </row>
    <row r="20" spans="1:16" x14ac:dyDescent="0.2">
      <c r="A20">
        <v>10206</v>
      </c>
      <c r="B20" s="7">
        <v>44649</v>
      </c>
      <c r="C20" t="s">
        <v>6</v>
      </c>
      <c r="D20">
        <v>12</v>
      </c>
      <c r="E20">
        <v>18000</v>
      </c>
      <c r="F20" t="s">
        <v>80</v>
      </c>
      <c r="G20" t="s">
        <v>20</v>
      </c>
      <c r="H20" s="81">
        <v>18000</v>
      </c>
      <c r="I20" t="s">
        <v>21</v>
      </c>
      <c r="J20" t="s">
        <v>72</v>
      </c>
      <c r="K20" t="s">
        <v>14</v>
      </c>
      <c r="L20" s="9">
        <v>223541.66999999998</v>
      </c>
      <c r="M20"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2</v>
      </c>
      <c r="N20"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2700.0000000000005</v>
      </c>
      <c r="O20" s="9">
        <f>IF(Q1_Comm_Detail[[#This Row],[Deal_Data'[Payment Date']]]="First Payment Pending",0,Q1_Comm_Detail[[#This Row],[Commission Calculation ]])</f>
        <v>2700.0000000000005</v>
      </c>
      <c r="P20" s="83"/>
    </row>
    <row r="21" spans="1:16" x14ac:dyDescent="0.2">
      <c r="A21">
        <v>10216</v>
      </c>
      <c r="B21" s="7">
        <v>44649</v>
      </c>
      <c r="C21" t="s">
        <v>6</v>
      </c>
      <c r="D21">
        <v>12</v>
      </c>
      <c r="E21">
        <v>18000</v>
      </c>
      <c r="F21" t="s">
        <v>75</v>
      </c>
      <c r="G21" t="s">
        <v>20</v>
      </c>
      <c r="H21" s="81">
        <v>18000</v>
      </c>
      <c r="I21" t="s">
        <v>21</v>
      </c>
      <c r="J21" t="s">
        <v>72</v>
      </c>
      <c r="K21" t="s">
        <v>14</v>
      </c>
      <c r="L21" s="9">
        <v>241541.66999999998</v>
      </c>
      <c r="M21"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2</v>
      </c>
      <c r="N21"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2700.0000000000005</v>
      </c>
      <c r="O21" s="9">
        <f>IF(Q1_Comm_Detail[[#This Row],[Deal_Data'[Payment Date']]]="First Payment Pending",0,Q1_Comm_Detail[[#This Row],[Commission Calculation ]])</f>
        <v>2700.0000000000005</v>
      </c>
      <c r="P21" s="83"/>
    </row>
    <row r="22" spans="1:16" x14ac:dyDescent="0.2">
      <c r="A22">
        <v>10226</v>
      </c>
      <c r="B22" s="7">
        <v>44649</v>
      </c>
      <c r="C22" t="s">
        <v>6</v>
      </c>
      <c r="D22">
        <v>12</v>
      </c>
      <c r="E22">
        <v>9000</v>
      </c>
      <c r="F22" t="s">
        <v>10</v>
      </c>
      <c r="G22" t="s">
        <v>20</v>
      </c>
      <c r="H22" s="81">
        <v>9000</v>
      </c>
      <c r="I22" t="s">
        <v>70</v>
      </c>
      <c r="J22" t="s">
        <v>70</v>
      </c>
      <c r="K22" t="s">
        <v>14</v>
      </c>
      <c r="L22" s="9">
        <v>250541.66999999998</v>
      </c>
      <c r="M22"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2</v>
      </c>
      <c r="N22"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1350.0000000000002</v>
      </c>
      <c r="O22" s="9">
        <f>IF(Q1_Comm_Detail[[#This Row],[Deal_Data'[Payment Date']]]="First Payment Pending",0,Q1_Comm_Detail[[#This Row],[Commission Calculation ]])</f>
        <v>0</v>
      </c>
      <c r="P22" s="83"/>
    </row>
    <row r="23" spans="1:16" x14ac:dyDescent="0.2">
      <c r="A23">
        <v>10221</v>
      </c>
      <c r="B23" s="7">
        <v>44650</v>
      </c>
      <c r="C23" t="s">
        <v>6</v>
      </c>
      <c r="D23">
        <v>12</v>
      </c>
      <c r="E23">
        <v>29000</v>
      </c>
      <c r="F23" t="s">
        <v>81</v>
      </c>
      <c r="G23" t="s">
        <v>20</v>
      </c>
      <c r="H23" s="81">
        <v>29000</v>
      </c>
      <c r="I23" t="s">
        <v>21</v>
      </c>
      <c r="J23" t="s">
        <v>72</v>
      </c>
      <c r="K23" t="s">
        <v>14</v>
      </c>
      <c r="L23" s="9">
        <v>279541.67</v>
      </c>
      <c r="M23"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2</v>
      </c>
      <c r="N23"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4350.0000000000009</v>
      </c>
      <c r="O23" s="9">
        <f>IF(Q1_Comm_Detail[[#This Row],[Deal_Data'[Payment Date']]]="First Payment Pending",0,Q1_Comm_Detail[[#This Row],[Commission Calculation ]])</f>
        <v>4350.0000000000009</v>
      </c>
      <c r="P23" s="83"/>
    </row>
    <row r="24" spans="1:16" x14ac:dyDescent="0.2">
      <c r="A24">
        <v>10186</v>
      </c>
      <c r="B24" s="7">
        <v>44651</v>
      </c>
      <c r="C24" t="s">
        <v>6</v>
      </c>
      <c r="D24">
        <v>12</v>
      </c>
      <c r="E24">
        <v>7000</v>
      </c>
      <c r="F24" t="s">
        <v>82</v>
      </c>
      <c r="G24" t="s">
        <v>20</v>
      </c>
      <c r="H24" s="81">
        <v>7000</v>
      </c>
      <c r="I24" t="s">
        <v>21</v>
      </c>
      <c r="J24" t="s">
        <v>72</v>
      </c>
      <c r="K24" t="s">
        <v>14</v>
      </c>
      <c r="L24" s="9">
        <v>286541.67</v>
      </c>
      <c r="M24"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2</v>
      </c>
      <c r="N24"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1050.0000000000002</v>
      </c>
      <c r="O24" s="9">
        <f>IF(Q1_Comm_Detail[[#This Row],[Deal_Data'[Payment Date']]]="First Payment Pending",0,Q1_Comm_Detail[[#This Row],[Commission Calculation ]])</f>
        <v>1050.0000000000002</v>
      </c>
      <c r="P24" s="83"/>
    </row>
    <row r="25" spans="1:16" x14ac:dyDescent="0.2">
      <c r="A25">
        <v>10191</v>
      </c>
      <c r="B25" s="7">
        <v>44651</v>
      </c>
      <c r="C25" t="s">
        <v>6</v>
      </c>
      <c r="D25">
        <v>12</v>
      </c>
      <c r="E25">
        <v>15000</v>
      </c>
      <c r="F25" t="s">
        <v>83</v>
      </c>
      <c r="G25" t="s">
        <v>20</v>
      </c>
      <c r="H25" s="81">
        <v>15000</v>
      </c>
      <c r="I25" t="s">
        <v>21</v>
      </c>
      <c r="J25" t="s">
        <v>72</v>
      </c>
      <c r="K25" t="s">
        <v>14</v>
      </c>
      <c r="L25" s="9">
        <v>301541.67</v>
      </c>
      <c r="M25"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3</v>
      </c>
      <c r="N25"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3000</v>
      </c>
      <c r="O25" s="9">
        <f>IF(Q1_Comm_Detail[[#This Row],[Deal_Data'[Payment Date']]]="First Payment Pending",0,Q1_Comm_Detail[[#This Row],[Commission Calculation ]])</f>
        <v>3000</v>
      </c>
    </row>
    <row r="26" spans="1:16" x14ac:dyDescent="0.2">
      <c r="A26">
        <v>10272</v>
      </c>
      <c r="B26" s="7">
        <v>44572</v>
      </c>
      <c r="C26" t="s">
        <v>7</v>
      </c>
      <c r="D26">
        <v>36</v>
      </c>
      <c r="E26">
        <v>1800</v>
      </c>
      <c r="F26" t="s">
        <v>67</v>
      </c>
      <c r="G26" t="s">
        <v>20</v>
      </c>
      <c r="H26" s="81">
        <v>600</v>
      </c>
      <c r="I26" t="s">
        <v>20</v>
      </c>
      <c r="J26" t="s">
        <v>65</v>
      </c>
      <c r="K26" t="s">
        <v>15</v>
      </c>
      <c r="L26" s="9">
        <v>600</v>
      </c>
      <c r="M26"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26"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72</v>
      </c>
      <c r="O26" s="9">
        <f>IF(Q1_Comm_Detail[[#This Row],[Deal_Data'[Payment Date']]]="First Payment Pending",0,Q1_Comm_Detail[[#This Row],[Commission Calculation ]])</f>
        <v>72</v>
      </c>
      <c r="P26" s="83"/>
    </row>
    <row r="27" spans="1:16" x14ac:dyDescent="0.2">
      <c r="A27">
        <v>10237</v>
      </c>
      <c r="B27" s="7">
        <v>44581</v>
      </c>
      <c r="C27" t="s">
        <v>7</v>
      </c>
      <c r="D27">
        <v>20</v>
      </c>
      <c r="E27">
        <v>17000</v>
      </c>
      <c r="F27" t="s">
        <v>84</v>
      </c>
      <c r="G27" t="s">
        <v>20</v>
      </c>
      <c r="H27" s="81">
        <v>10200</v>
      </c>
      <c r="J27" t="s">
        <v>70</v>
      </c>
      <c r="K27" t="s">
        <v>15</v>
      </c>
      <c r="L27" s="9">
        <v>10800</v>
      </c>
      <c r="M27"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27"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1224</v>
      </c>
      <c r="O27" s="9">
        <f>IF(Q1_Comm_Detail[[#This Row],[Deal_Data'[Payment Date']]]="First Payment Pending",0,Q1_Comm_Detail[[#This Row],[Commission Calculation ]])</f>
        <v>0</v>
      </c>
      <c r="P27" s="83"/>
    </row>
    <row r="28" spans="1:16" x14ac:dyDescent="0.2">
      <c r="A28">
        <v>10282</v>
      </c>
      <c r="B28" s="7">
        <v>44593</v>
      </c>
      <c r="C28" t="s">
        <v>7</v>
      </c>
      <c r="D28">
        <v>36</v>
      </c>
      <c r="E28">
        <v>6589</v>
      </c>
      <c r="F28" t="s">
        <v>85</v>
      </c>
      <c r="G28" t="s">
        <v>20</v>
      </c>
      <c r="H28" s="81">
        <v>2196.333333333333</v>
      </c>
      <c r="I28" t="s">
        <v>20</v>
      </c>
      <c r="J28" t="s">
        <v>65</v>
      </c>
      <c r="K28" t="s">
        <v>15</v>
      </c>
      <c r="L28" s="9">
        <v>12996.333333333332</v>
      </c>
      <c r="M28"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28"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263.55999999999995</v>
      </c>
      <c r="O28" s="9">
        <f>IF(Q1_Comm_Detail[[#This Row],[Deal_Data'[Payment Date']]]="First Payment Pending",0,Q1_Comm_Detail[[#This Row],[Commission Calculation ]])</f>
        <v>263.55999999999995</v>
      </c>
      <c r="P28" s="83"/>
    </row>
    <row r="29" spans="1:16" x14ac:dyDescent="0.2">
      <c r="A29">
        <v>10277</v>
      </c>
      <c r="B29" s="7">
        <v>44595</v>
      </c>
      <c r="C29" t="s">
        <v>7</v>
      </c>
      <c r="D29">
        <v>12</v>
      </c>
      <c r="E29">
        <v>15000</v>
      </c>
      <c r="F29" t="s">
        <v>86</v>
      </c>
      <c r="G29" t="s">
        <v>20</v>
      </c>
      <c r="H29" s="81">
        <v>15000</v>
      </c>
      <c r="I29" t="s">
        <v>20</v>
      </c>
      <c r="J29" t="s">
        <v>65</v>
      </c>
      <c r="K29" t="s">
        <v>15</v>
      </c>
      <c r="L29" s="9">
        <v>27996.333333333332</v>
      </c>
      <c r="M29"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29"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1800</v>
      </c>
      <c r="O29" s="9">
        <f>IF(Q1_Comm_Detail[[#This Row],[Deal_Data'[Payment Date']]]="First Payment Pending",0,Q1_Comm_Detail[[#This Row],[Commission Calculation ]])</f>
        <v>1800</v>
      </c>
      <c r="P29" s="83"/>
    </row>
    <row r="30" spans="1:16" x14ac:dyDescent="0.2">
      <c r="A30">
        <v>10287</v>
      </c>
      <c r="B30" s="7">
        <v>44626</v>
      </c>
      <c r="C30" t="s">
        <v>7</v>
      </c>
      <c r="D30">
        <v>30</v>
      </c>
      <c r="E30">
        <v>7200</v>
      </c>
      <c r="F30" t="s">
        <v>87</v>
      </c>
      <c r="G30" t="s">
        <v>20</v>
      </c>
      <c r="H30" s="81">
        <v>2880</v>
      </c>
      <c r="I30" t="s">
        <v>21</v>
      </c>
      <c r="J30" t="s">
        <v>72</v>
      </c>
      <c r="K30" t="s">
        <v>15</v>
      </c>
      <c r="L30" s="9">
        <v>30876.333333333332</v>
      </c>
      <c r="M30"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0"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345.59999999999997</v>
      </c>
      <c r="O30" s="9">
        <f>IF(Q1_Comm_Detail[[#This Row],[Deal_Data'[Payment Date']]]="First Payment Pending",0,Q1_Comm_Detail[[#This Row],[Commission Calculation ]])</f>
        <v>345.59999999999997</v>
      </c>
      <c r="P30" s="83"/>
    </row>
    <row r="31" spans="1:16" x14ac:dyDescent="0.2">
      <c r="A31">
        <v>10052</v>
      </c>
      <c r="B31" s="7">
        <v>44635</v>
      </c>
      <c r="C31" t="s">
        <v>7</v>
      </c>
      <c r="D31">
        <v>12</v>
      </c>
      <c r="E31">
        <v>3360</v>
      </c>
      <c r="F31" t="s">
        <v>88</v>
      </c>
      <c r="G31" t="s">
        <v>20</v>
      </c>
      <c r="H31" s="81">
        <v>3360</v>
      </c>
      <c r="I31" t="s">
        <v>21</v>
      </c>
      <c r="J31" t="s">
        <v>72</v>
      </c>
      <c r="K31" t="s">
        <v>15</v>
      </c>
      <c r="L31" s="9">
        <v>34236.333333333328</v>
      </c>
      <c r="M31"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1"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403.2</v>
      </c>
      <c r="O31" s="9">
        <f>IF(Q1_Comm_Detail[[#This Row],[Deal_Data'[Payment Date']]]="First Payment Pending",0,Q1_Comm_Detail[[#This Row],[Commission Calculation ]])</f>
        <v>403.2</v>
      </c>
      <c r="P31" s="83"/>
    </row>
    <row r="32" spans="1:16" x14ac:dyDescent="0.2">
      <c r="A32">
        <v>10042</v>
      </c>
      <c r="B32" s="7">
        <v>44642</v>
      </c>
      <c r="C32" t="s">
        <v>7</v>
      </c>
      <c r="D32">
        <v>12</v>
      </c>
      <c r="E32">
        <v>1125</v>
      </c>
      <c r="F32" t="s">
        <v>89</v>
      </c>
      <c r="G32" t="s">
        <v>20</v>
      </c>
      <c r="H32" s="81">
        <v>1125</v>
      </c>
      <c r="I32" t="s">
        <v>21</v>
      </c>
      <c r="J32" t="s">
        <v>72</v>
      </c>
      <c r="K32" t="s">
        <v>15</v>
      </c>
      <c r="L32" s="9">
        <v>35361.333333333328</v>
      </c>
      <c r="M32"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2"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135</v>
      </c>
      <c r="O32" s="9">
        <f>IF(Q1_Comm_Detail[[#This Row],[Deal_Data'[Payment Date']]]="First Payment Pending",0,Q1_Comm_Detail[[#This Row],[Commission Calculation ]])</f>
        <v>135</v>
      </c>
      <c r="P32" s="83"/>
    </row>
    <row r="33" spans="1:16" x14ac:dyDescent="0.2">
      <c r="A33">
        <v>10027</v>
      </c>
      <c r="B33" s="7">
        <v>44643</v>
      </c>
      <c r="C33" t="s">
        <v>7</v>
      </c>
      <c r="D33">
        <v>12</v>
      </c>
      <c r="E33">
        <v>360</v>
      </c>
      <c r="F33" t="s">
        <v>90</v>
      </c>
      <c r="G33" t="s">
        <v>20</v>
      </c>
      <c r="H33" s="81">
        <v>360</v>
      </c>
      <c r="I33" t="s">
        <v>21</v>
      </c>
      <c r="J33" t="s">
        <v>72</v>
      </c>
      <c r="K33" t="s">
        <v>15</v>
      </c>
      <c r="L33" s="9">
        <v>35721.333333333328</v>
      </c>
      <c r="M33"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3"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43.199999999999996</v>
      </c>
      <c r="O33" s="9">
        <f>IF(Q1_Comm_Detail[[#This Row],[Deal_Data'[Payment Date']]]="First Payment Pending",0,Q1_Comm_Detail[[#This Row],[Commission Calculation ]])</f>
        <v>43.199999999999996</v>
      </c>
      <c r="P33" s="83"/>
    </row>
    <row r="34" spans="1:16" x14ac:dyDescent="0.2">
      <c r="A34">
        <v>10232</v>
      </c>
      <c r="B34" s="7">
        <v>44644</v>
      </c>
      <c r="C34" t="s">
        <v>7</v>
      </c>
      <c r="D34">
        <v>12</v>
      </c>
      <c r="E34">
        <v>13400</v>
      </c>
      <c r="F34" t="s">
        <v>91</v>
      </c>
      <c r="G34" t="s">
        <v>20</v>
      </c>
      <c r="H34" s="81">
        <v>13400</v>
      </c>
      <c r="I34" t="s">
        <v>21</v>
      </c>
      <c r="J34" t="s">
        <v>72</v>
      </c>
      <c r="K34" t="s">
        <v>15</v>
      </c>
      <c r="L34" s="9">
        <v>49121.333333333328</v>
      </c>
      <c r="M34"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4"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1608</v>
      </c>
      <c r="O34" s="9">
        <f>IF(Q1_Comm_Detail[[#This Row],[Deal_Data'[Payment Date']]]="First Payment Pending",0,Q1_Comm_Detail[[#This Row],[Commission Calculation ]])</f>
        <v>1608</v>
      </c>
      <c r="P34" s="83"/>
    </row>
    <row r="35" spans="1:16" x14ac:dyDescent="0.2">
      <c r="A35">
        <v>10222</v>
      </c>
      <c r="B35" s="7">
        <v>44650</v>
      </c>
      <c r="C35" t="s">
        <v>7</v>
      </c>
      <c r="D35">
        <v>12</v>
      </c>
      <c r="E35">
        <v>6000</v>
      </c>
      <c r="F35" t="s">
        <v>92</v>
      </c>
      <c r="G35" t="s">
        <v>20</v>
      </c>
      <c r="H35" s="81">
        <v>6000</v>
      </c>
      <c r="I35" t="s">
        <v>21</v>
      </c>
      <c r="J35" t="s">
        <v>72</v>
      </c>
      <c r="K35" t="s">
        <v>15</v>
      </c>
      <c r="L35" s="9">
        <v>55121.333333333328</v>
      </c>
      <c r="M35"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5"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720</v>
      </c>
      <c r="O35" s="9">
        <f>IF(Q1_Comm_Detail[[#This Row],[Deal_Data'[Payment Date']]]="First Payment Pending",0,Q1_Comm_Detail[[#This Row],[Commission Calculation ]])</f>
        <v>720</v>
      </c>
      <c r="P35" s="83"/>
    </row>
    <row r="36" spans="1:16" x14ac:dyDescent="0.2">
      <c r="A36">
        <v>10192</v>
      </c>
      <c r="B36" s="7">
        <v>44651</v>
      </c>
      <c r="C36" t="s">
        <v>7</v>
      </c>
      <c r="D36">
        <v>12</v>
      </c>
      <c r="E36">
        <v>3999</v>
      </c>
      <c r="F36" t="s">
        <v>93</v>
      </c>
      <c r="G36" t="s">
        <v>20</v>
      </c>
      <c r="H36" s="81">
        <v>3999</v>
      </c>
      <c r="I36" t="s">
        <v>21</v>
      </c>
      <c r="J36" t="s">
        <v>72</v>
      </c>
      <c r="K36" t="s">
        <v>15</v>
      </c>
      <c r="L36" s="9">
        <v>59120.333333333328</v>
      </c>
      <c r="M36"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6"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479.88</v>
      </c>
      <c r="O36" s="9">
        <f>IF(Q1_Comm_Detail[[#This Row],[Deal_Data'[Payment Date']]]="First Payment Pending",0,Q1_Comm_Detail[[#This Row],[Commission Calculation ]])</f>
        <v>479.88</v>
      </c>
      <c r="P36" s="83"/>
    </row>
    <row r="37" spans="1:16" x14ac:dyDescent="0.2">
      <c r="A37">
        <v>10133</v>
      </c>
      <c r="B37" s="7">
        <v>44592</v>
      </c>
      <c r="C37" t="s">
        <v>9</v>
      </c>
      <c r="D37">
        <v>36</v>
      </c>
      <c r="E37">
        <v>15260</v>
      </c>
      <c r="F37" t="s">
        <v>94</v>
      </c>
      <c r="G37" t="s">
        <v>20</v>
      </c>
      <c r="H37" s="81">
        <v>5086.666666666667</v>
      </c>
      <c r="I37" t="s">
        <v>20</v>
      </c>
      <c r="J37" t="s">
        <v>65</v>
      </c>
      <c r="K37" t="s">
        <v>16</v>
      </c>
      <c r="L37" s="9">
        <v>5086.666666666667</v>
      </c>
      <c r="M37"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7"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457.8</v>
      </c>
      <c r="O37" s="9">
        <f>IF(Q1_Comm_Detail[[#This Row],[Deal_Data'[Payment Date']]]="First Payment Pending",0,Q1_Comm_Detail[[#This Row],[Commission Calculation ]])</f>
        <v>457.8</v>
      </c>
      <c r="P37" s="83"/>
    </row>
    <row r="38" spans="1:16" x14ac:dyDescent="0.2">
      <c r="A38">
        <v>10128</v>
      </c>
      <c r="B38" s="7">
        <v>44597</v>
      </c>
      <c r="C38" t="s">
        <v>9</v>
      </c>
      <c r="D38">
        <v>12</v>
      </c>
      <c r="E38">
        <v>28800</v>
      </c>
      <c r="F38" t="s">
        <v>95</v>
      </c>
      <c r="G38" t="s">
        <v>20</v>
      </c>
      <c r="H38" s="81">
        <v>28800</v>
      </c>
      <c r="I38" t="s">
        <v>21</v>
      </c>
      <c r="J38" t="s">
        <v>72</v>
      </c>
      <c r="K38" t="s">
        <v>16</v>
      </c>
      <c r="L38" s="9">
        <v>33886.666666666664</v>
      </c>
      <c r="M38"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8"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2592</v>
      </c>
      <c r="O38" s="9">
        <f>IF(Q1_Comm_Detail[[#This Row],[Deal_Data'[Payment Date']]]="First Payment Pending",0,Q1_Comm_Detail[[#This Row],[Commission Calculation ]])</f>
        <v>2592</v>
      </c>
      <c r="P38" s="83"/>
    </row>
    <row r="39" spans="1:16" x14ac:dyDescent="0.2">
      <c r="A39">
        <v>10288</v>
      </c>
      <c r="B39" s="7">
        <v>44615</v>
      </c>
      <c r="C39" t="s">
        <v>9</v>
      </c>
      <c r="D39">
        <v>12</v>
      </c>
      <c r="E39">
        <v>10500</v>
      </c>
      <c r="F39" t="s">
        <v>96</v>
      </c>
      <c r="G39" t="s">
        <v>20</v>
      </c>
      <c r="H39" s="81">
        <v>10500</v>
      </c>
      <c r="I39" t="s">
        <v>20</v>
      </c>
      <c r="J39" t="s">
        <v>65</v>
      </c>
      <c r="K39" t="s">
        <v>16</v>
      </c>
      <c r="L39" s="9">
        <v>44386.666666666664</v>
      </c>
      <c r="M39"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39"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945</v>
      </c>
      <c r="O39" s="9">
        <f>IF(Q1_Comm_Detail[[#This Row],[Deal_Data'[Payment Date']]]="First Payment Pending",0,Q1_Comm_Detail[[#This Row],[Commission Calculation ]])</f>
        <v>945</v>
      </c>
      <c r="P39" s="83"/>
    </row>
    <row r="40" spans="1:16" x14ac:dyDescent="0.2">
      <c r="A40">
        <v>10058</v>
      </c>
      <c r="B40" s="7">
        <v>44641</v>
      </c>
      <c r="C40" t="s">
        <v>9</v>
      </c>
      <c r="D40">
        <v>20</v>
      </c>
      <c r="E40">
        <v>5000</v>
      </c>
      <c r="F40" t="s">
        <v>97</v>
      </c>
      <c r="G40" t="s">
        <v>20</v>
      </c>
      <c r="H40" s="81">
        <v>3000</v>
      </c>
      <c r="I40" t="s">
        <v>21</v>
      </c>
      <c r="J40" t="s">
        <v>72</v>
      </c>
      <c r="K40" t="s">
        <v>16</v>
      </c>
      <c r="L40" s="9">
        <v>47386.666666666664</v>
      </c>
      <c r="M40"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40"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270</v>
      </c>
      <c r="O40" s="9">
        <f>IF(Q1_Comm_Detail[[#This Row],[Deal_Data'[Payment Date']]]="First Payment Pending",0,Q1_Comm_Detail[[#This Row],[Commission Calculation ]])</f>
        <v>270</v>
      </c>
      <c r="P40" s="83"/>
    </row>
    <row r="41" spans="1:16" x14ac:dyDescent="0.2">
      <c r="A41">
        <v>10028</v>
      </c>
      <c r="B41" s="7">
        <v>44643</v>
      </c>
      <c r="C41" t="s">
        <v>9</v>
      </c>
      <c r="D41">
        <v>12</v>
      </c>
      <c r="E41">
        <v>7200</v>
      </c>
      <c r="F41" t="s">
        <v>98</v>
      </c>
      <c r="G41" t="s">
        <v>20</v>
      </c>
      <c r="H41" s="81">
        <v>7200</v>
      </c>
      <c r="I41" t="s">
        <v>21</v>
      </c>
      <c r="J41" t="s">
        <v>72</v>
      </c>
      <c r="K41" t="s">
        <v>16</v>
      </c>
      <c r="L41" s="9">
        <v>54586.666666666664</v>
      </c>
      <c r="M41"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41"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648</v>
      </c>
      <c r="O41" s="9">
        <f>IF(Q1_Comm_Detail[[#This Row],[Deal_Data'[Payment Date']]]="First Payment Pending",0,Q1_Comm_Detail[[#This Row],[Commission Calculation ]])</f>
        <v>648</v>
      </c>
      <c r="P41" s="83"/>
    </row>
    <row r="42" spans="1:16" x14ac:dyDescent="0.2">
      <c r="A42">
        <v>10233</v>
      </c>
      <c r="B42" s="7">
        <v>44644</v>
      </c>
      <c r="C42" t="s">
        <v>9</v>
      </c>
      <c r="D42">
        <v>12</v>
      </c>
      <c r="E42">
        <v>6600</v>
      </c>
      <c r="F42" t="s">
        <v>99</v>
      </c>
      <c r="G42" t="s">
        <v>20</v>
      </c>
      <c r="H42" s="81">
        <v>6600</v>
      </c>
      <c r="I42" t="s">
        <v>20</v>
      </c>
      <c r="J42" t="s">
        <v>65</v>
      </c>
      <c r="K42" t="s">
        <v>16</v>
      </c>
      <c r="L42" s="9">
        <v>61186.666666666664</v>
      </c>
      <c r="M42"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42"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594</v>
      </c>
      <c r="O42" s="9">
        <f>IF(Q1_Comm_Detail[[#This Row],[Deal_Data'[Payment Date']]]="First Payment Pending",0,Q1_Comm_Detail[[#This Row],[Commission Calculation ]])</f>
        <v>594</v>
      </c>
      <c r="P42" s="83"/>
    </row>
    <row r="43" spans="1:16" x14ac:dyDescent="0.2">
      <c r="A43">
        <v>10023</v>
      </c>
      <c r="B43" s="7">
        <v>44647</v>
      </c>
      <c r="C43" t="s">
        <v>9</v>
      </c>
      <c r="D43">
        <v>12</v>
      </c>
      <c r="E43">
        <v>88000</v>
      </c>
      <c r="F43" t="s">
        <v>100</v>
      </c>
      <c r="G43" t="s">
        <v>20</v>
      </c>
      <c r="H43" s="81">
        <v>88000</v>
      </c>
      <c r="I43" t="s">
        <v>21</v>
      </c>
      <c r="J43" t="s">
        <v>72</v>
      </c>
      <c r="K43" t="s">
        <v>16</v>
      </c>
      <c r="L43" s="9">
        <v>149186.66666666666</v>
      </c>
      <c r="M43"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43"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7920</v>
      </c>
      <c r="O43" s="9">
        <f>IF(Q1_Comm_Detail[[#This Row],[Deal_Data'[Payment Date']]]="First Payment Pending",0,Q1_Comm_Detail[[#This Row],[Commission Calculation ]])</f>
        <v>7920</v>
      </c>
      <c r="P43" s="83"/>
    </row>
    <row r="44" spans="1:16" x14ac:dyDescent="0.2">
      <c r="A44">
        <v>10033</v>
      </c>
      <c r="B44" s="7">
        <v>44647</v>
      </c>
      <c r="C44" t="s">
        <v>9</v>
      </c>
      <c r="D44">
        <v>12</v>
      </c>
      <c r="E44">
        <v>24000</v>
      </c>
      <c r="F44" t="s">
        <v>101</v>
      </c>
      <c r="G44" t="s">
        <v>20</v>
      </c>
      <c r="H44" s="81">
        <v>24000</v>
      </c>
      <c r="I44" t="s">
        <v>21</v>
      </c>
      <c r="J44" t="s">
        <v>72</v>
      </c>
      <c r="K44" t="s">
        <v>16</v>
      </c>
      <c r="L44" s="9">
        <v>173186.66666666666</v>
      </c>
      <c r="M44"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44"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2160</v>
      </c>
      <c r="O44" s="9">
        <f>IF(Q1_Comm_Detail[[#This Row],[Deal_Data'[Payment Date']]]="First Payment Pending",0,Q1_Comm_Detail[[#This Row],[Commission Calculation ]])</f>
        <v>2160</v>
      </c>
      <c r="P44" s="83"/>
    </row>
    <row r="45" spans="1:16" x14ac:dyDescent="0.2">
      <c r="A45">
        <v>10213</v>
      </c>
      <c r="B45" s="7">
        <v>44648</v>
      </c>
      <c r="C45" t="s">
        <v>9</v>
      </c>
      <c r="D45">
        <v>12</v>
      </c>
      <c r="E45">
        <v>14000</v>
      </c>
      <c r="F45" t="s">
        <v>102</v>
      </c>
      <c r="G45" t="s">
        <v>20</v>
      </c>
      <c r="H45" s="81">
        <v>14000</v>
      </c>
      <c r="I45" t="s">
        <v>21</v>
      </c>
      <c r="J45" t="s">
        <v>72</v>
      </c>
      <c r="K45" t="s">
        <v>16</v>
      </c>
      <c r="L45" s="9">
        <v>187186.66666666666</v>
      </c>
      <c r="M45"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45"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1260</v>
      </c>
      <c r="O45" s="9">
        <f>IF(Q1_Comm_Detail[[#This Row],[Deal_Data'[Payment Date']]]="First Payment Pending",0,Q1_Comm_Detail[[#This Row],[Commission Calculation ]])</f>
        <v>1260</v>
      </c>
      <c r="P45" s="83"/>
    </row>
    <row r="46" spans="1:16" x14ac:dyDescent="0.2">
      <c r="A46">
        <v>10183</v>
      </c>
      <c r="B46" s="7">
        <v>44649</v>
      </c>
      <c r="C46" t="s">
        <v>9</v>
      </c>
      <c r="D46">
        <v>20</v>
      </c>
      <c r="E46">
        <v>7200</v>
      </c>
      <c r="F46" t="s">
        <v>73</v>
      </c>
      <c r="G46" t="s">
        <v>20</v>
      </c>
      <c r="H46" s="81">
        <v>4320</v>
      </c>
      <c r="I46" t="s">
        <v>21</v>
      </c>
      <c r="J46" t="s">
        <v>72</v>
      </c>
      <c r="K46" t="s">
        <v>16</v>
      </c>
      <c r="L46" s="9">
        <v>191506.66666666666</v>
      </c>
      <c r="M46"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46"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388.8</v>
      </c>
      <c r="O46" s="9">
        <f>IF(Q1_Comm_Detail[[#This Row],[Deal_Data'[Payment Date']]]="First Payment Pending",0,Q1_Comm_Detail[[#This Row],[Commission Calculation ]])</f>
        <v>388.8</v>
      </c>
      <c r="P46" s="83"/>
    </row>
    <row r="47" spans="1:16" x14ac:dyDescent="0.2">
      <c r="A47">
        <v>10208</v>
      </c>
      <c r="B47" s="7">
        <v>44649</v>
      </c>
      <c r="C47" t="s">
        <v>9</v>
      </c>
      <c r="D47">
        <v>12</v>
      </c>
      <c r="E47">
        <v>5000</v>
      </c>
      <c r="F47" t="s">
        <v>103</v>
      </c>
      <c r="G47" t="s">
        <v>20</v>
      </c>
      <c r="H47" s="81">
        <v>5000</v>
      </c>
      <c r="I47" t="s">
        <v>21</v>
      </c>
      <c r="J47" t="s">
        <v>72</v>
      </c>
      <c r="K47" t="s">
        <v>16</v>
      </c>
      <c r="L47" s="9">
        <v>196506.66666666666</v>
      </c>
      <c r="M47"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47"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450</v>
      </c>
      <c r="O47" s="9">
        <f>IF(Q1_Comm_Detail[[#This Row],[Deal_Data'[Payment Date']]]="First Payment Pending",0,Q1_Comm_Detail[[#This Row],[Commission Calculation ]])</f>
        <v>450</v>
      </c>
      <c r="P47" s="83"/>
    </row>
    <row r="48" spans="1:16" x14ac:dyDescent="0.2">
      <c r="A48">
        <v>10188</v>
      </c>
      <c r="B48" s="7">
        <v>44651</v>
      </c>
      <c r="C48" t="s">
        <v>9</v>
      </c>
      <c r="D48">
        <v>12</v>
      </c>
      <c r="E48">
        <v>25000</v>
      </c>
      <c r="F48" t="s">
        <v>80</v>
      </c>
      <c r="G48" t="s">
        <v>20</v>
      </c>
      <c r="H48" s="81">
        <v>25000</v>
      </c>
      <c r="I48" t="s">
        <v>21</v>
      </c>
      <c r="J48" t="s">
        <v>72</v>
      </c>
      <c r="K48" t="s">
        <v>16</v>
      </c>
      <c r="L48" s="9">
        <v>221506.66666666666</v>
      </c>
      <c r="M48"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2</v>
      </c>
      <c r="N48"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3375</v>
      </c>
      <c r="O48" s="9">
        <f>IF(Q1_Comm_Detail[[#This Row],[Deal_Data'[Payment Date']]]="First Payment Pending",0,Q1_Comm_Detail[[#This Row],[Commission Calculation ]])</f>
        <v>3375</v>
      </c>
      <c r="P48" s="83"/>
    </row>
    <row r="49" spans="1:16" x14ac:dyDescent="0.2">
      <c r="A49">
        <v>10198</v>
      </c>
      <c r="B49" s="7">
        <v>44651</v>
      </c>
      <c r="C49" t="s">
        <v>9</v>
      </c>
      <c r="D49">
        <v>12</v>
      </c>
      <c r="E49">
        <v>17600</v>
      </c>
      <c r="F49" t="s">
        <v>93</v>
      </c>
      <c r="G49" t="s">
        <v>20</v>
      </c>
      <c r="H49" s="81">
        <v>17600</v>
      </c>
      <c r="I49" t="s">
        <v>21</v>
      </c>
      <c r="J49" t="s">
        <v>72</v>
      </c>
      <c r="K49" t="s">
        <v>16</v>
      </c>
      <c r="L49" s="9">
        <v>239106.66666666666</v>
      </c>
      <c r="M49"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2</v>
      </c>
      <c r="N49"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2376</v>
      </c>
      <c r="O49" s="9">
        <f>IF(Q1_Comm_Detail[[#This Row],[Deal_Data'[Payment Date']]]="First Payment Pending",0,Q1_Comm_Detail[[#This Row],[Commission Calculation ]])</f>
        <v>2376</v>
      </c>
      <c r="P49" s="83"/>
    </row>
    <row r="50" spans="1:16" x14ac:dyDescent="0.2">
      <c r="A50">
        <v>10230</v>
      </c>
      <c r="B50" s="7">
        <v>44577</v>
      </c>
      <c r="C50" t="s">
        <v>8</v>
      </c>
      <c r="D50">
        <v>12</v>
      </c>
      <c r="E50">
        <v>5500</v>
      </c>
      <c r="F50" t="s">
        <v>64</v>
      </c>
      <c r="G50" t="s">
        <v>20</v>
      </c>
      <c r="H50" s="81">
        <v>5500</v>
      </c>
      <c r="I50" t="s">
        <v>20</v>
      </c>
      <c r="J50" t="s">
        <v>65</v>
      </c>
      <c r="K50" t="s">
        <v>17</v>
      </c>
      <c r="L50" s="9">
        <v>5500</v>
      </c>
      <c r="M50"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0"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495</v>
      </c>
      <c r="O50" s="9">
        <f>IF(Q1_Comm_Detail[[#This Row],[Deal_Data'[Payment Date']]]="First Payment Pending",0,Q1_Comm_Detail[[#This Row],[Commission Calculation ]])</f>
        <v>495</v>
      </c>
      <c r="P50" s="83"/>
    </row>
    <row r="51" spans="1:16" x14ac:dyDescent="0.2">
      <c r="A51">
        <v>10110</v>
      </c>
      <c r="B51" s="7">
        <v>44583</v>
      </c>
      <c r="C51" t="s">
        <v>8</v>
      </c>
      <c r="D51">
        <v>12</v>
      </c>
      <c r="E51">
        <v>6000</v>
      </c>
      <c r="F51" t="s">
        <v>104</v>
      </c>
      <c r="G51" t="s">
        <v>20</v>
      </c>
      <c r="H51" s="81">
        <v>6000</v>
      </c>
      <c r="I51" t="s">
        <v>20</v>
      </c>
      <c r="J51" t="s">
        <v>65</v>
      </c>
      <c r="K51" t="s">
        <v>17</v>
      </c>
      <c r="L51" s="9">
        <v>11500</v>
      </c>
      <c r="M51"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1"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540</v>
      </c>
      <c r="O51" s="9">
        <f>IF(Q1_Comm_Detail[[#This Row],[Deal_Data'[Payment Date']]]="First Payment Pending",0,Q1_Comm_Detail[[#This Row],[Commission Calculation ]])</f>
        <v>540</v>
      </c>
      <c r="P51" s="83"/>
    </row>
    <row r="52" spans="1:16" x14ac:dyDescent="0.2">
      <c r="A52">
        <v>10265</v>
      </c>
      <c r="B52" s="7">
        <v>44595</v>
      </c>
      <c r="C52" t="s">
        <v>8</v>
      </c>
      <c r="D52">
        <v>12</v>
      </c>
      <c r="E52">
        <v>15000</v>
      </c>
      <c r="F52" t="s">
        <v>105</v>
      </c>
      <c r="G52" t="s">
        <v>20</v>
      </c>
      <c r="H52" s="81">
        <v>15000</v>
      </c>
      <c r="I52" t="s">
        <v>20</v>
      </c>
      <c r="J52" t="s">
        <v>65</v>
      </c>
      <c r="K52" t="s">
        <v>17</v>
      </c>
      <c r="L52" s="9">
        <v>26500</v>
      </c>
      <c r="M52"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2"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1350</v>
      </c>
      <c r="O52" s="9">
        <f>IF(Q1_Comm_Detail[[#This Row],[Deal_Data'[Payment Date']]]="First Payment Pending",0,Q1_Comm_Detail[[#This Row],[Commission Calculation ]])</f>
        <v>1350</v>
      </c>
      <c r="P52" s="83"/>
    </row>
    <row r="53" spans="1:16" x14ac:dyDescent="0.2">
      <c r="A53">
        <v>10270</v>
      </c>
      <c r="B53" s="7">
        <v>44600</v>
      </c>
      <c r="C53" t="s">
        <v>8</v>
      </c>
      <c r="D53">
        <v>36</v>
      </c>
      <c r="E53">
        <v>29250</v>
      </c>
      <c r="F53" t="s">
        <v>106</v>
      </c>
      <c r="G53" t="s">
        <v>20</v>
      </c>
      <c r="H53" s="81">
        <v>9750</v>
      </c>
      <c r="I53" t="s">
        <v>20</v>
      </c>
      <c r="J53" t="s">
        <v>65</v>
      </c>
      <c r="K53" t="s">
        <v>17</v>
      </c>
      <c r="L53" s="9">
        <v>36250</v>
      </c>
      <c r="M53"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3"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877.5</v>
      </c>
      <c r="O53" s="9">
        <f>IF(Q1_Comm_Detail[[#This Row],[Deal_Data'[Payment Date']]]="First Payment Pending",0,Q1_Comm_Detail[[#This Row],[Commission Calculation ]])</f>
        <v>877.5</v>
      </c>
      <c r="P53" s="83"/>
    </row>
    <row r="54" spans="1:16" x14ac:dyDescent="0.2">
      <c r="A54">
        <v>10150</v>
      </c>
      <c r="B54" s="7">
        <v>44613</v>
      </c>
      <c r="C54" t="s">
        <v>8</v>
      </c>
      <c r="D54">
        <v>12</v>
      </c>
      <c r="E54">
        <v>31140</v>
      </c>
      <c r="F54" t="s">
        <v>107</v>
      </c>
      <c r="G54" t="s">
        <v>20</v>
      </c>
      <c r="H54" s="81">
        <v>31140</v>
      </c>
      <c r="I54" t="s">
        <v>20</v>
      </c>
      <c r="J54" t="s">
        <v>65</v>
      </c>
      <c r="K54" t="s">
        <v>17</v>
      </c>
      <c r="L54" s="9">
        <v>67390</v>
      </c>
      <c r="M54"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4"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2802.6</v>
      </c>
      <c r="O54" s="9">
        <f>IF(Q1_Comm_Detail[[#This Row],[Deal_Data'[Payment Date']]]="First Payment Pending",0,Q1_Comm_Detail[[#This Row],[Commission Calculation ]])</f>
        <v>2802.6</v>
      </c>
      <c r="P54" s="83"/>
    </row>
    <row r="55" spans="1:16" x14ac:dyDescent="0.2">
      <c r="A55">
        <v>10260</v>
      </c>
      <c r="B55" s="7">
        <v>44616</v>
      </c>
      <c r="C55" t="s">
        <v>8</v>
      </c>
      <c r="D55">
        <v>12</v>
      </c>
      <c r="E55">
        <v>12500</v>
      </c>
      <c r="F55" t="s">
        <v>108</v>
      </c>
      <c r="G55" t="s">
        <v>20</v>
      </c>
      <c r="H55" s="81">
        <v>12500</v>
      </c>
      <c r="I55" t="s">
        <v>21</v>
      </c>
      <c r="J55" t="s">
        <v>72</v>
      </c>
      <c r="K55" t="s">
        <v>17</v>
      </c>
      <c r="L55" s="9">
        <v>79890</v>
      </c>
      <c r="M55"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5"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1125</v>
      </c>
      <c r="O55" s="9">
        <f>IF(Q1_Comm_Detail[[#This Row],[Deal_Data'[Payment Date']]]="First Payment Pending",0,Q1_Comm_Detail[[#This Row],[Commission Calculation ]])</f>
        <v>1125</v>
      </c>
      <c r="P55" s="83"/>
    </row>
    <row r="56" spans="1:16" x14ac:dyDescent="0.2">
      <c r="A56">
        <v>10160</v>
      </c>
      <c r="B56" s="7">
        <v>44618</v>
      </c>
      <c r="C56" t="s">
        <v>8</v>
      </c>
      <c r="D56">
        <v>12</v>
      </c>
      <c r="E56">
        <v>26500</v>
      </c>
      <c r="F56" t="s">
        <v>104</v>
      </c>
      <c r="G56" t="s">
        <v>20</v>
      </c>
      <c r="H56" s="81">
        <v>26500</v>
      </c>
      <c r="I56" t="s">
        <v>20</v>
      </c>
      <c r="J56" t="s">
        <v>65</v>
      </c>
      <c r="K56" t="s">
        <v>17</v>
      </c>
      <c r="L56" s="9">
        <v>106390</v>
      </c>
      <c r="M56"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6"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2385</v>
      </c>
      <c r="O56" s="9">
        <f>IF(Q1_Comm_Detail[[#This Row],[Deal_Data'[Payment Date']]]="First Payment Pending",0,Q1_Comm_Detail[[#This Row],[Commission Calculation ]])</f>
        <v>2385</v>
      </c>
      <c r="P56" s="83"/>
    </row>
    <row r="57" spans="1:16" x14ac:dyDescent="0.2">
      <c r="A57">
        <v>10165</v>
      </c>
      <c r="B57" s="7">
        <v>44618</v>
      </c>
      <c r="C57" t="s">
        <v>8</v>
      </c>
      <c r="D57">
        <v>12</v>
      </c>
      <c r="E57">
        <v>1500</v>
      </c>
      <c r="F57" t="s">
        <v>109</v>
      </c>
      <c r="G57" t="s">
        <v>20</v>
      </c>
      <c r="H57" s="81">
        <v>1500</v>
      </c>
      <c r="I57" t="s">
        <v>20</v>
      </c>
      <c r="J57" t="s">
        <v>65</v>
      </c>
      <c r="K57" t="s">
        <v>17</v>
      </c>
      <c r="L57" s="9">
        <v>107890</v>
      </c>
      <c r="M57"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7"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135</v>
      </c>
      <c r="O57" s="9">
        <f>IF(Q1_Comm_Detail[[#This Row],[Deal_Data'[Payment Date']]]="First Payment Pending",0,Q1_Comm_Detail[[#This Row],[Commission Calculation ]])</f>
        <v>135</v>
      </c>
      <c r="P57" s="83"/>
    </row>
    <row r="58" spans="1:16" x14ac:dyDescent="0.2">
      <c r="A58">
        <v>10145</v>
      </c>
      <c r="B58" s="7">
        <v>44619</v>
      </c>
      <c r="C58" t="s">
        <v>8</v>
      </c>
      <c r="D58">
        <v>20</v>
      </c>
      <c r="E58">
        <v>8750</v>
      </c>
      <c r="F58" t="s">
        <v>102</v>
      </c>
      <c r="G58" t="s">
        <v>20</v>
      </c>
      <c r="H58" s="81">
        <v>5250</v>
      </c>
      <c r="I58" t="s">
        <v>21</v>
      </c>
      <c r="J58" t="s">
        <v>72</v>
      </c>
      <c r="K58" t="s">
        <v>17</v>
      </c>
      <c r="L58" s="9">
        <v>113140</v>
      </c>
      <c r="M58"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8"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472.5</v>
      </c>
      <c r="O58" s="9">
        <f>IF(Q1_Comm_Detail[[#This Row],[Deal_Data'[Payment Date']]]="First Payment Pending",0,Q1_Comm_Detail[[#This Row],[Commission Calculation ]])</f>
        <v>472.5</v>
      </c>
      <c r="P58" s="83"/>
    </row>
    <row r="59" spans="1:16" x14ac:dyDescent="0.2">
      <c r="A59">
        <v>10155</v>
      </c>
      <c r="B59" s="7">
        <v>44622</v>
      </c>
      <c r="C59" t="s">
        <v>8</v>
      </c>
      <c r="D59">
        <v>12</v>
      </c>
      <c r="E59">
        <v>12000</v>
      </c>
      <c r="F59" t="s">
        <v>110</v>
      </c>
      <c r="G59" t="s">
        <v>20</v>
      </c>
      <c r="H59" s="81">
        <v>12000</v>
      </c>
      <c r="I59" t="s">
        <v>20</v>
      </c>
      <c r="J59" t="s">
        <v>65</v>
      </c>
      <c r="K59" t="s">
        <v>17</v>
      </c>
      <c r="L59" s="9">
        <v>125140</v>
      </c>
      <c r="M59"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59"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1080</v>
      </c>
      <c r="O59" s="9">
        <f>IF(Q1_Comm_Detail[[#This Row],[Deal_Data'[Payment Date']]]="First Payment Pending",0,Q1_Comm_Detail[[#This Row],[Commission Calculation ]])</f>
        <v>1080</v>
      </c>
      <c r="P59" s="83"/>
    </row>
    <row r="60" spans="1:16" x14ac:dyDescent="0.2">
      <c r="A60">
        <v>10140</v>
      </c>
      <c r="B60" s="7">
        <v>44625</v>
      </c>
      <c r="C60" t="s">
        <v>8</v>
      </c>
      <c r="D60">
        <v>12</v>
      </c>
      <c r="E60">
        <v>5600</v>
      </c>
      <c r="F60" t="s">
        <v>111</v>
      </c>
      <c r="G60" t="s">
        <v>20</v>
      </c>
      <c r="H60" s="81">
        <v>5600</v>
      </c>
      <c r="I60" t="s">
        <v>21</v>
      </c>
      <c r="J60" t="s">
        <v>72</v>
      </c>
      <c r="K60" t="s">
        <v>17</v>
      </c>
      <c r="L60" s="9">
        <v>130740</v>
      </c>
      <c r="M60"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0"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504</v>
      </c>
      <c r="O60" s="9">
        <f>IF(Q1_Comm_Detail[[#This Row],[Deal_Data'[Payment Date']]]="First Payment Pending",0,Q1_Comm_Detail[[#This Row],[Commission Calculation ]])</f>
        <v>504</v>
      </c>
      <c r="P60" s="83"/>
    </row>
    <row r="61" spans="1:16" x14ac:dyDescent="0.2">
      <c r="A61">
        <v>10285</v>
      </c>
      <c r="B61" s="7">
        <v>44626</v>
      </c>
      <c r="C61" t="s">
        <v>8</v>
      </c>
      <c r="D61">
        <v>36</v>
      </c>
      <c r="E61">
        <v>15000</v>
      </c>
      <c r="F61" t="s">
        <v>95</v>
      </c>
      <c r="G61" t="s">
        <v>20</v>
      </c>
      <c r="H61" s="81">
        <v>5000</v>
      </c>
      <c r="I61" t="s">
        <v>21</v>
      </c>
      <c r="J61" t="s">
        <v>72</v>
      </c>
      <c r="K61" t="s">
        <v>17</v>
      </c>
      <c r="L61" s="9">
        <v>135740</v>
      </c>
      <c r="M61"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1"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450</v>
      </c>
      <c r="O61" s="9">
        <f>IF(Q1_Comm_Detail[[#This Row],[Deal_Data'[Payment Date']]]="First Payment Pending",0,Q1_Comm_Detail[[#This Row],[Commission Calculation ]])</f>
        <v>450</v>
      </c>
      <c r="P61" s="83"/>
    </row>
    <row r="62" spans="1:16" x14ac:dyDescent="0.2">
      <c r="A62">
        <v>10290</v>
      </c>
      <c r="B62" s="7">
        <v>44629</v>
      </c>
      <c r="C62" t="s">
        <v>8</v>
      </c>
      <c r="D62">
        <v>12</v>
      </c>
      <c r="E62">
        <v>64000</v>
      </c>
      <c r="F62" t="s">
        <v>93</v>
      </c>
      <c r="G62" t="s">
        <v>20</v>
      </c>
      <c r="H62" s="81">
        <v>64000</v>
      </c>
      <c r="I62" t="s">
        <v>21</v>
      </c>
      <c r="J62" t="s">
        <v>72</v>
      </c>
      <c r="K62" t="s">
        <v>17</v>
      </c>
      <c r="L62" s="9">
        <v>199740</v>
      </c>
      <c r="M62"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2"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5760</v>
      </c>
      <c r="O62" s="9">
        <f>IF(Q1_Comm_Detail[[#This Row],[Deal_Data'[Payment Date']]]="First Payment Pending",0,Q1_Comm_Detail[[#This Row],[Commission Calculation ]])</f>
        <v>5760</v>
      </c>
      <c r="P62" s="83"/>
    </row>
    <row r="63" spans="1:16" x14ac:dyDescent="0.2">
      <c r="A63">
        <v>10280</v>
      </c>
      <c r="B63" s="7">
        <v>44633</v>
      </c>
      <c r="C63" t="s">
        <v>8</v>
      </c>
      <c r="D63">
        <v>36</v>
      </c>
      <c r="E63">
        <v>15000</v>
      </c>
      <c r="F63" t="s">
        <v>112</v>
      </c>
      <c r="G63" t="s">
        <v>20</v>
      </c>
      <c r="H63" s="81">
        <v>5000</v>
      </c>
      <c r="I63" t="s">
        <v>20</v>
      </c>
      <c r="J63" t="s">
        <v>65</v>
      </c>
      <c r="K63" t="s">
        <v>17</v>
      </c>
      <c r="L63" s="9">
        <v>204740</v>
      </c>
      <c r="M63"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3"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450</v>
      </c>
      <c r="O63" s="9">
        <f>IF(Q1_Comm_Detail[[#This Row],[Deal_Data'[Payment Date']]]="First Payment Pending",0,Q1_Comm_Detail[[#This Row],[Commission Calculation ]])</f>
        <v>450</v>
      </c>
      <c r="P63" s="83"/>
    </row>
    <row r="64" spans="1:16" x14ac:dyDescent="0.2">
      <c r="A64">
        <v>10215</v>
      </c>
      <c r="B64" s="7">
        <v>44636</v>
      </c>
      <c r="C64" t="s">
        <v>8</v>
      </c>
      <c r="D64">
        <v>12</v>
      </c>
      <c r="E64">
        <v>2000</v>
      </c>
      <c r="F64" t="s">
        <v>113</v>
      </c>
      <c r="G64" t="s">
        <v>20</v>
      </c>
      <c r="H64" s="81">
        <v>2000</v>
      </c>
      <c r="I64" t="s">
        <v>21</v>
      </c>
      <c r="J64" t="s">
        <v>72</v>
      </c>
      <c r="K64" t="s">
        <v>17</v>
      </c>
      <c r="L64" s="9">
        <v>206740</v>
      </c>
      <c r="M64"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4"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180</v>
      </c>
      <c r="O64" s="9">
        <f>IF(Q1_Comm_Detail[[#This Row],[Deal_Data'[Payment Date']]]="First Payment Pending",0,Q1_Comm_Detail[[#This Row],[Commission Calculation ]])</f>
        <v>180</v>
      </c>
      <c r="P64" s="83"/>
    </row>
    <row r="65" spans="1:16" x14ac:dyDescent="0.2">
      <c r="A65">
        <v>10045</v>
      </c>
      <c r="B65" s="7">
        <v>44641</v>
      </c>
      <c r="C65" t="s">
        <v>8</v>
      </c>
      <c r="D65">
        <v>30</v>
      </c>
      <c r="E65">
        <v>18000</v>
      </c>
      <c r="F65" t="s">
        <v>114</v>
      </c>
      <c r="G65" t="s">
        <v>20</v>
      </c>
      <c r="H65" s="81">
        <v>7200</v>
      </c>
      <c r="I65" t="s">
        <v>21</v>
      </c>
      <c r="J65" t="s">
        <v>72</v>
      </c>
      <c r="K65" t="s">
        <v>17</v>
      </c>
      <c r="L65" s="9">
        <v>213940</v>
      </c>
      <c r="M65"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5"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648</v>
      </c>
      <c r="O65" s="9">
        <f>IF(Q1_Comm_Detail[[#This Row],[Deal_Data'[Payment Date']]]="First Payment Pending",0,Q1_Comm_Detail[[#This Row],[Commission Calculation ]])</f>
        <v>648</v>
      </c>
      <c r="P65" s="83"/>
    </row>
    <row r="66" spans="1:16" x14ac:dyDescent="0.2">
      <c r="A66">
        <v>10025</v>
      </c>
      <c r="B66" s="7">
        <v>44642</v>
      </c>
      <c r="C66" t="s">
        <v>8</v>
      </c>
      <c r="D66">
        <v>12</v>
      </c>
      <c r="E66">
        <v>25000</v>
      </c>
      <c r="F66" t="s">
        <v>115</v>
      </c>
      <c r="G66" t="s">
        <v>20</v>
      </c>
      <c r="H66" s="81">
        <v>25000</v>
      </c>
      <c r="I66" t="s">
        <v>21</v>
      </c>
      <c r="J66" t="s">
        <v>72</v>
      </c>
      <c r="K66" t="s">
        <v>17</v>
      </c>
      <c r="L66" s="9">
        <v>238940</v>
      </c>
      <c r="M66"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6"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2250</v>
      </c>
      <c r="O66" s="9">
        <f>IF(Q1_Comm_Detail[[#This Row],[Deal_Data'[Payment Date']]]="First Payment Pending",0,Q1_Comm_Detail[[#This Row],[Commission Calculation ]])</f>
        <v>2250</v>
      </c>
      <c r="P66" s="83"/>
    </row>
    <row r="67" spans="1:16" x14ac:dyDescent="0.2">
      <c r="A67">
        <v>10245</v>
      </c>
      <c r="B67" s="7">
        <v>44643</v>
      </c>
      <c r="C67" t="s">
        <v>8</v>
      </c>
      <c r="D67">
        <v>12</v>
      </c>
      <c r="E67">
        <v>3000</v>
      </c>
      <c r="F67" t="s">
        <v>82</v>
      </c>
      <c r="G67" t="s">
        <v>20</v>
      </c>
      <c r="H67" s="81">
        <v>3000</v>
      </c>
      <c r="I67" t="s">
        <v>21</v>
      </c>
      <c r="J67" t="s">
        <v>72</v>
      </c>
      <c r="K67" t="s">
        <v>17</v>
      </c>
      <c r="L67" s="9">
        <v>241940</v>
      </c>
      <c r="M67"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7"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270</v>
      </c>
      <c r="O67" s="9">
        <f>IF(Q1_Comm_Detail[[#This Row],[Deal_Data'[Payment Date']]]="First Payment Pending",0,Q1_Comm_Detail[[#This Row],[Commission Calculation ]])</f>
        <v>270</v>
      </c>
      <c r="P67" s="83"/>
    </row>
    <row r="68" spans="1:16" x14ac:dyDescent="0.2">
      <c r="A68">
        <v>10020</v>
      </c>
      <c r="B68" s="7">
        <v>44646</v>
      </c>
      <c r="C68" t="s">
        <v>8</v>
      </c>
      <c r="D68">
        <v>12</v>
      </c>
      <c r="E68">
        <v>12000</v>
      </c>
      <c r="F68" t="s">
        <v>73</v>
      </c>
      <c r="G68" t="s">
        <v>20</v>
      </c>
      <c r="H68" s="81">
        <v>12000</v>
      </c>
      <c r="I68" t="s">
        <v>21</v>
      </c>
      <c r="J68" t="s">
        <v>72</v>
      </c>
      <c r="K68" t="s">
        <v>17</v>
      </c>
      <c r="L68" s="9">
        <v>253940</v>
      </c>
      <c r="M68"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8"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1080</v>
      </c>
      <c r="O68" s="9">
        <f>IF(Q1_Comm_Detail[[#This Row],[Deal_Data'[Payment Date']]]="First Payment Pending",0,Q1_Comm_Detail[[#This Row],[Commission Calculation ]])</f>
        <v>1080</v>
      </c>
      <c r="P68" s="83"/>
    </row>
    <row r="69" spans="1:16" x14ac:dyDescent="0.2">
      <c r="A69">
        <v>10035</v>
      </c>
      <c r="B69" s="7">
        <v>44646</v>
      </c>
      <c r="C69" t="s">
        <v>8</v>
      </c>
      <c r="D69">
        <v>30</v>
      </c>
      <c r="E69">
        <v>3000</v>
      </c>
      <c r="F69" t="s">
        <v>91</v>
      </c>
      <c r="G69" t="s">
        <v>20</v>
      </c>
      <c r="H69" s="81">
        <v>1200</v>
      </c>
      <c r="I69" t="s">
        <v>21</v>
      </c>
      <c r="J69" t="s">
        <v>72</v>
      </c>
      <c r="K69" t="s">
        <v>17</v>
      </c>
      <c r="L69" s="9">
        <v>255140</v>
      </c>
      <c r="M69"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69"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108</v>
      </c>
      <c r="O69" s="9">
        <f>IF(Q1_Comm_Detail[[#This Row],[Deal_Data'[Payment Date']]]="First Payment Pending",0,Q1_Comm_Detail[[#This Row],[Commission Calculation ]])</f>
        <v>108</v>
      </c>
      <c r="P69" s="83"/>
    </row>
    <row r="70" spans="1:16" x14ac:dyDescent="0.2">
      <c r="A70">
        <v>10240</v>
      </c>
      <c r="B70" s="7">
        <v>44647</v>
      </c>
      <c r="C70" t="s">
        <v>8</v>
      </c>
      <c r="D70">
        <v>20</v>
      </c>
      <c r="E70">
        <v>8025</v>
      </c>
      <c r="F70" t="s">
        <v>90</v>
      </c>
      <c r="G70" t="s">
        <v>20</v>
      </c>
      <c r="H70" s="81">
        <v>4815</v>
      </c>
      <c r="I70" t="s">
        <v>21</v>
      </c>
      <c r="J70" t="s">
        <v>72</v>
      </c>
      <c r="K70" t="s">
        <v>17</v>
      </c>
      <c r="L70" s="9">
        <v>259955</v>
      </c>
      <c r="M70"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70"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433.34999999999997</v>
      </c>
      <c r="O70" s="9">
        <f>IF(Q1_Comm_Detail[[#This Row],[Deal_Data'[Payment Date']]]="First Payment Pending",0,Q1_Comm_Detail[[#This Row],[Commission Calculation ]])</f>
        <v>433.34999999999997</v>
      </c>
      <c r="P70" s="83"/>
    </row>
    <row r="71" spans="1:16" x14ac:dyDescent="0.2">
      <c r="A71">
        <v>10030</v>
      </c>
      <c r="B71" s="7">
        <v>44648</v>
      </c>
      <c r="C71" t="s">
        <v>8</v>
      </c>
      <c r="D71">
        <v>30</v>
      </c>
      <c r="E71">
        <v>27500</v>
      </c>
      <c r="F71" t="s">
        <v>95</v>
      </c>
      <c r="G71" t="s">
        <v>20</v>
      </c>
      <c r="H71" s="81">
        <v>11000</v>
      </c>
      <c r="I71" t="s">
        <v>21</v>
      </c>
      <c r="J71" t="s">
        <v>72</v>
      </c>
      <c r="K71" t="s">
        <v>17</v>
      </c>
      <c r="L71" s="9">
        <v>270955</v>
      </c>
      <c r="M71"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71"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990</v>
      </c>
      <c r="O71" s="9">
        <f>IF(Q1_Comm_Detail[[#This Row],[Deal_Data'[Payment Date']]]="First Payment Pending",0,Q1_Comm_Detail[[#This Row],[Commission Calculation ]])</f>
        <v>990</v>
      </c>
      <c r="P71" s="83"/>
    </row>
    <row r="72" spans="1:16" x14ac:dyDescent="0.2">
      <c r="A72">
        <v>10210</v>
      </c>
      <c r="B72" s="7">
        <v>44648</v>
      </c>
      <c r="C72" t="s">
        <v>8</v>
      </c>
      <c r="D72">
        <v>12</v>
      </c>
      <c r="E72">
        <v>18000</v>
      </c>
      <c r="F72" t="s">
        <v>116</v>
      </c>
      <c r="G72" t="s">
        <v>20</v>
      </c>
      <c r="H72" s="81">
        <v>18000</v>
      </c>
      <c r="I72" t="s">
        <v>21</v>
      </c>
      <c r="J72" t="s">
        <v>72</v>
      </c>
      <c r="K72" t="s">
        <v>17</v>
      </c>
      <c r="L72" s="9">
        <v>288955</v>
      </c>
      <c r="M72"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72"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1620</v>
      </c>
      <c r="O72" s="9">
        <f>IF(Q1_Comm_Detail[[#This Row],[Deal_Data'[Payment Date']]]="First Payment Pending",0,Q1_Comm_Detail[[#This Row],[Commission Calculation ]])</f>
        <v>1620</v>
      </c>
      <c r="P72" s="83"/>
    </row>
    <row r="73" spans="1:16" x14ac:dyDescent="0.2">
      <c r="A73">
        <v>10205</v>
      </c>
      <c r="B73" s="7">
        <v>44649</v>
      </c>
      <c r="C73" t="s">
        <v>8</v>
      </c>
      <c r="D73">
        <v>12</v>
      </c>
      <c r="E73">
        <v>2400</v>
      </c>
      <c r="F73" t="s">
        <v>116</v>
      </c>
      <c r="G73" t="s">
        <v>20</v>
      </c>
      <c r="H73" s="81">
        <v>2400</v>
      </c>
      <c r="I73" t="s">
        <v>21</v>
      </c>
      <c r="J73" t="s">
        <v>72</v>
      </c>
      <c r="K73" t="s">
        <v>17</v>
      </c>
      <c r="L73" s="9">
        <v>291355</v>
      </c>
      <c r="M73"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73"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216</v>
      </c>
      <c r="O73" s="9">
        <f>IF(Q1_Comm_Detail[[#This Row],[Deal_Data'[Payment Date']]]="First Payment Pending",0,Q1_Comm_Detail[[#This Row],[Commission Calculation ]])</f>
        <v>216</v>
      </c>
      <c r="P73" s="83"/>
    </row>
    <row r="74" spans="1:16" x14ac:dyDescent="0.2">
      <c r="A74">
        <v>10225</v>
      </c>
      <c r="B74" s="7">
        <v>44649</v>
      </c>
      <c r="C74" t="s">
        <v>8</v>
      </c>
      <c r="D74">
        <v>12</v>
      </c>
      <c r="E74">
        <v>8500</v>
      </c>
      <c r="F74" t="s">
        <v>117</v>
      </c>
      <c r="G74" t="s">
        <v>20</v>
      </c>
      <c r="H74" s="81">
        <v>8500</v>
      </c>
      <c r="I74" t="s">
        <v>21</v>
      </c>
      <c r="J74" t="s">
        <v>72</v>
      </c>
      <c r="K74" t="s">
        <v>17</v>
      </c>
      <c r="L74" s="9">
        <v>299855</v>
      </c>
      <c r="M74"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74"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765</v>
      </c>
      <c r="O74" s="9">
        <f>IF(Q1_Comm_Detail[[#This Row],[Deal_Data'[Payment Date']]]="First Payment Pending",0,Q1_Comm_Detail[[#This Row],[Commission Calculation ]])</f>
        <v>765</v>
      </c>
      <c r="P74" s="83"/>
    </row>
    <row r="75" spans="1:16" x14ac:dyDescent="0.2">
      <c r="A75">
        <v>10185</v>
      </c>
      <c r="B75" s="7">
        <v>44651</v>
      </c>
      <c r="C75" t="s">
        <v>8</v>
      </c>
      <c r="D75">
        <v>12</v>
      </c>
      <c r="E75">
        <v>15000</v>
      </c>
      <c r="F75" t="s">
        <v>87</v>
      </c>
      <c r="G75" t="s">
        <v>20</v>
      </c>
      <c r="H75" s="81">
        <v>15000</v>
      </c>
      <c r="I75" t="s">
        <v>21</v>
      </c>
      <c r="J75" t="s">
        <v>72</v>
      </c>
      <c r="K75" t="s">
        <v>17</v>
      </c>
      <c r="L75" s="9">
        <v>314855</v>
      </c>
      <c r="M75"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75"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1350</v>
      </c>
      <c r="O75" s="9">
        <f>IF(Q1_Comm_Detail[[#This Row],[Deal_Data'[Payment Date']]]="First Payment Pending",0,Q1_Comm_Detail[[#This Row],[Commission Calculation ]])</f>
        <v>1350</v>
      </c>
      <c r="P75" s="83"/>
    </row>
    <row r="76" spans="1:16" x14ac:dyDescent="0.2">
      <c r="A76">
        <v>10190</v>
      </c>
      <c r="B76" s="7">
        <v>44651</v>
      </c>
      <c r="C76" t="s">
        <v>8</v>
      </c>
      <c r="D76">
        <v>12</v>
      </c>
      <c r="E76">
        <v>5000</v>
      </c>
      <c r="F76" t="s">
        <v>118</v>
      </c>
      <c r="G76" t="s">
        <v>20</v>
      </c>
      <c r="H76" s="81">
        <v>5000</v>
      </c>
      <c r="I76" t="s">
        <v>21</v>
      </c>
      <c r="J76" t="s">
        <v>72</v>
      </c>
      <c r="K76" t="s">
        <v>17</v>
      </c>
      <c r="L76" s="9">
        <v>319855</v>
      </c>
      <c r="M76"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76"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450</v>
      </c>
      <c r="O76" s="9">
        <f>IF(Q1_Comm_Detail[[#This Row],[Deal_Data'[Payment Date']]]="First Payment Pending",0,Q1_Comm_Detail[[#This Row],[Commission Calculation ]])</f>
        <v>450</v>
      </c>
      <c r="P76" s="83"/>
    </row>
    <row r="77" spans="1:16" x14ac:dyDescent="0.2">
      <c r="A77">
        <v>10195</v>
      </c>
      <c r="B77" s="7">
        <v>44651</v>
      </c>
      <c r="C77" t="s">
        <v>8</v>
      </c>
      <c r="D77">
        <v>12</v>
      </c>
      <c r="E77">
        <v>57500</v>
      </c>
      <c r="F77" t="s">
        <v>108</v>
      </c>
      <c r="G77" t="s">
        <v>20</v>
      </c>
      <c r="H77" s="81">
        <v>57500</v>
      </c>
      <c r="I77" t="s">
        <v>21</v>
      </c>
      <c r="J77" t="s">
        <v>72</v>
      </c>
      <c r="K77" t="s">
        <v>17</v>
      </c>
      <c r="L77" s="9">
        <v>377355</v>
      </c>
      <c r="M77" s="16" t="str">
        <f>IF(Q1_Comm_Detail[[#This Row],[Deal_Data'[Accumulative ARR']]]&lt;=VLOOKUP(Q1_Comm_Detail[[#This Row],[Deal_Data'[Owner Name']]],'Reference Data'!$A$13:$B$16,2,FALSE),"Tier 1",IF(Q1_Comm_Detail[[#This Row],[Deal_Data'[Accumulative ARR']]]&lt;=VLOOKUP(Q1_Comm_Detail[[#This Row],[Deal_Data'[Owner Name']]],'Reference Data'!$A$22:$B$25,2,FALSE),"Tier 2",IF(Q1_Comm_Detail[[#This Row],[Deal_Data'[Accumulative ARR']]]&gt;=VLOOKUP(Q1_Comm_Detail[[#This Row],[Deal_Data'[Owner Name']]],'Reference Data'!$A$31:$B$34,2,FALSE),"Tier 3")))</f>
        <v>Tier 1</v>
      </c>
      <c r="N77" s="81">
        <f>IF(Q1_Comm_Detail[[#This Row],[Deal_Data'[Commission Tier']]]="Tier 1",Q1_Comm_Detail[[#This Row],[Deal_Data'[Commissionable ARR']]]*VLOOKUP(Q1_Comm_Detail[[#This Row],[Deal_Data'[Owner Name']]],'Reference Data'!$A$39:$B$42,2,FALSE),IF(Q1_Comm_Detail[[#This Row],[Deal_Data'[Commission Tier']]]="Tier 2",Q1_Comm_Detail[[#This Row],[Deal_Data'[Commissionable ARR']]]*VLOOKUP(Q1_Comm_Detail[[#This Row],[Deal_Data'[Owner Name']]],'Reference Data'!$A$47:$B$50,2,FALSE),IF(Q1_Comm_Detail[[#This Row],[Deal_Data'[Commission Tier']]]="Tier 3",Q1_Comm_Detail[[#This Row],[Deal_Data'[Commissionable ARR']]]*VLOOKUP(Q1_Comm_Detail[[#This Row],[Deal_Data'[Owner Name']]],'Reference Data'!$A$55:$B$58,2,FALSE))))</f>
        <v>5175</v>
      </c>
      <c r="O77" s="9">
        <f>IF(Q1_Comm_Detail[[#This Row],[Deal_Data'[Payment Date']]]="First Payment Pending",0,Q1_Comm_Detail[[#This Row],[Commission Calculation ]])</f>
        <v>5175</v>
      </c>
      <c r="P77" s="8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611B-247A-4AFD-8265-D59B7997C558}">
  <dimension ref="A1:O45"/>
  <sheetViews>
    <sheetView workbookViewId="0">
      <selection activeCell="A3" sqref="A3:O45"/>
    </sheetView>
  </sheetViews>
  <sheetFormatPr defaultRowHeight="12.75" x14ac:dyDescent="0.2"/>
  <cols>
    <col min="1" max="1" width="27.140625" bestFit="1" customWidth="1"/>
    <col min="2" max="2" width="29.85546875" bestFit="1" customWidth="1"/>
    <col min="3" max="3" width="27.140625" bestFit="1" customWidth="1"/>
    <col min="4" max="4" width="37.140625" bestFit="1" customWidth="1"/>
    <col min="5" max="5" width="33" bestFit="1" customWidth="1"/>
    <col min="6" max="6" width="31.42578125" bestFit="1" customWidth="1"/>
    <col min="7" max="7" width="31.5703125" bestFit="1" customWidth="1"/>
    <col min="8" max="8" width="33.85546875" bestFit="1" customWidth="1"/>
    <col min="9" max="9" width="29.7109375" bestFit="1" customWidth="1"/>
    <col min="10" max="10" width="26.85546875" bestFit="1" customWidth="1"/>
    <col min="11" max="11" width="26" bestFit="1" customWidth="1"/>
    <col min="12" max="12" width="31" bestFit="1" customWidth="1"/>
    <col min="13" max="13" width="35.42578125" bestFit="1" customWidth="1"/>
    <col min="14" max="14" width="27.28515625" bestFit="1" customWidth="1"/>
    <col min="15" max="15" width="10.28515625" bestFit="1" customWidth="1"/>
  </cols>
  <sheetData>
    <row r="1" spans="1:15" x14ac:dyDescent="0.2">
      <c r="A1" t="s">
        <v>141</v>
      </c>
    </row>
    <row r="3" spans="1:15" x14ac:dyDescent="0.2">
      <c r="A3" t="s">
        <v>53</v>
      </c>
      <c r="B3" t="s">
        <v>54</v>
      </c>
      <c r="C3" t="s">
        <v>55</v>
      </c>
      <c r="D3" t="s">
        <v>56</v>
      </c>
      <c r="E3" t="s">
        <v>57</v>
      </c>
      <c r="F3" t="s">
        <v>58</v>
      </c>
      <c r="G3" t="s">
        <v>59</v>
      </c>
      <c r="H3" t="s">
        <v>60</v>
      </c>
      <c r="I3" t="s">
        <v>61</v>
      </c>
      <c r="J3" t="s">
        <v>62</v>
      </c>
      <c r="K3" t="s">
        <v>63</v>
      </c>
      <c r="L3" t="s">
        <v>120</v>
      </c>
      <c r="M3" s="16" t="s">
        <v>121</v>
      </c>
      <c r="N3" s="82" t="s">
        <v>123</v>
      </c>
      <c r="O3" s="16" t="s">
        <v>144</v>
      </c>
    </row>
    <row r="4" spans="1:15" x14ac:dyDescent="0.2">
      <c r="A4">
        <v>10196</v>
      </c>
      <c r="B4" s="7">
        <v>44652</v>
      </c>
      <c r="C4" t="s">
        <v>6</v>
      </c>
      <c r="D4">
        <v>20</v>
      </c>
      <c r="E4" s="81">
        <v>70200</v>
      </c>
      <c r="F4" t="s">
        <v>82</v>
      </c>
      <c r="G4" t="s">
        <v>21</v>
      </c>
      <c r="H4" s="81">
        <v>42120</v>
      </c>
      <c r="I4" t="s">
        <v>21</v>
      </c>
      <c r="J4" t="s">
        <v>72</v>
      </c>
      <c r="K4" t="s">
        <v>14</v>
      </c>
      <c r="L4" s="81">
        <v>42120</v>
      </c>
      <c r="M4"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4"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3369.6</v>
      </c>
      <c r="O4" s="9">
        <f>IF(Q2_Comm_Detail[[#This Row],[Deal_Data'[Payment Date']]]="First payment Pending",0,Q2_Comm_Detail[[#This Row],[Commission Calculation ]])</f>
        <v>3369.6</v>
      </c>
    </row>
    <row r="5" spans="1:15" x14ac:dyDescent="0.2">
      <c r="A5">
        <v>10181</v>
      </c>
      <c r="B5" s="7">
        <v>44668</v>
      </c>
      <c r="C5" t="s">
        <v>6</v>
      </c>
      <c r="D5">
        <v>12</v>
      </c>
      <c r="E5" s="81">
        <v>948</v>
      </c>
      <c r="F5" t="s">
        <v>128</v>
      </c>
      <c r="G5" t="s">
        <v>21</v>
      </c>
      <c r="H5" s="81">
        <v>948</v>
      </c>
      <c r="I5" t="s">
        <v>21</v>
      </c>
      <c r="J5" t="s">
        <v>72</v>
      </c>
      <c r="K5" t="s">
        <v>14</v>
      </c>
      <c r="L5" s="81">
        <v>43068</v>
      </c>
      <c r="M5"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5"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75.84</v>
      </c>
      <c r="O5" s="9">
        <f>IF(Q2_Comm_Detail[[#This Row],[Deal_Data'[Payment Date']]]="First payment Pending",0,Q2_Comm_Detail[[#This Row],[Commission Calculation ]])</f>
        <v>75.84</v>
      </c>
    </row>
    <row r="6" spans="1:15" x14ac:dyDescent="0.2">
      <c r="A6">
        <v>10011</v>
      </c>
      <c r="B6" s="7">
        <v>44675</v>
      </c>
      <c r="C6" t="s">
        <v>6</v>
      </c>
      <c r="D6">
        <v>36</v>
      </c>
      <c r="E6" s="81">
        <v>30000</v>
      </c>
      <c r="F6" t="s">
        <v>10</v>
      </c>
      <c r="G6" t="s">
        <v>21</v>
      </c>
      <c r="H6" s="81">
        <v>10000</v>
      </c>
      <c r="I6" t="s">
        <v>70</v>
      </c>
      <c r="J6" t="s">
        <v>70</v>
      </c>
      <c r="K6" t="s">
        <v>14</v>
      </c>
      <c r="L6" s="81">
        <v>53068</v>
      </c>
      <c r="M6"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6"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800</v>
      </c>
      <c r="O6" s="9">
        <f>IF(Q2_Comm_Detail[[#This Row],[Deal_Data'[Payment Date']]]="First payment Pending",0,Q2_Comm_Detail[[#This Row],[Commission Calculation ]])</f>
        <v>0</v>
      </c>
    </row>
    <row r="7" spans="1:15" x14ac:dyDescent="0.2">
      <c r="A7">
        <v>10016</v>
      </c>
      <c r="B7" s="7">
        <v>44678</v>
      </c>
      <c r="C7" t="s">
        <v>6</v>
      </c>
      <c r="D7">
        <v>36</v>
      </c>
      <c r="E7" s="81">
        <v>15000</v>
      </c>
      <c r="F7" t="s">
        <v>10</v>
      </c>
      <c r="G7" t="s">
        <v>21</v>
      </c>
      <c r="H7" s="81">
        <v>5000</v>
      </c>
      <c r="I7" t="s">
        <v>70</v>
      </c>
      <c r="J7" t="s">
        <v>70</v>
      </c>
      <c r="K7" t="s">
        <v>14</v>
      </c>
      <c r="L7" s="81">
        <v>58068</v>
      </c>
      <c r="M7"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7"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400</v>
      </c>
      <c r="O7" s="9">
        <f>IF(Q2_Comm_Detail[[#This Row],[Deal_Data'[Payment Date']]]="First payment Pending",0,Q2_Comm_Detail[[#This Row],[Commission Calculation ]])</f>
        <v>0</v>
      </c>
    </row>
    <row r="8" spans="1:15" x14ac:dyDescent="0.2">
      <c r="A8">
        <v>10296</v>
      </c>
      <c r="B8" s="7">
        <v>44679</v>
      </c>
      <c r="C8" t="s">
        <v>6</v>
      </c>
      <c r="D8">
        <v>12</v>
      </c>
      <c r="E8" s="81">
        <v>20000</v>
      </c>
      <c r="F8" t="s">
        <v>117</v>
      </c>
      <c r="G8" t="s">
        <v>21</v>
      </c>
      <c r="H8" s="81">
        <v>20000</v>
      </c>
      <c r="I8" t="s">
        <v>21</v>
      </c>
      <c r="J8" t="s">
        <v>72</v>
      </c>
      <c r="K8" t="s">
        <v>14</v>
      </c>
      <c r="L8" s="81">
        <v>78068</v>
      </c>
      <c r="M8"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8"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1600</v>
      </c>
      <c r="O8" s="9">
        <f>IF(Q2_Comm_Detail[[#This Row],[Deal_Data'[Payment Date']]]="First payment Pending",0,Q2_Comm_Detail[[#This Row],[Commission Calculation ]])</f>
        <v>1600</v>
      </c>
    </row>
    <row r="9" spans="1:15" x14ac:dyDescent="0.2">
      <c r="A9">
        <v>10006</v>
      </c>
      <c r="B9" s="7">
        <v>44682</v>
      </c>
      <c r="C9" t="s">
        <v>6</v>
      </c>
      <c r="D9">
        <v>12</v>
      </c>
      <c r="E9" s="81">
        <v>4500</v>
      </c>
      <c r="F9" t="s">
        <v>10</v>
      </c>
      <c r="G9" t="s">
        <v>21</v>
      </c>
      <c r="H9" s="81">
        <v>4500</v>
      </c>
      <c r="I9" t="s">
        <v>70</v>
      </c>
      <c r="J9" t="s">
        <v>70</v>
      </c>
      <c r="K9" t="s">
        <v>14</v>
      </c>
      <c r="L9" s="81">
        <v>82568</v>
      </c>
      <c r="M9"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9"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360</v>
      </c>
      <c r="O9" s="9">
        <f>IF(Q2_Comm_Detail[[#This Row],[Deal_Data'[Payment Date']]]="First payment Pending",0,Q2_Comm_Detail[[#This Row],[Commission Calculation ]])</f>
        <v>0</v>
      </c>
    </row>
    <row r="10" spans="1:15" x14ac:dyDescent="0.2">
      <c r="A10">
        <v>10301</v>
      </c>
      <c r="B10" s="7">
        <v>44692</v>
      </c>
      <c r="C10" t="s">
        <v>6</v>
      </c>
      <c r="D10">
        <v>30</v>
      </c>
      <c r="E10" s="81">
        <v>15000</v>
      </c>
      <c r="F10" t="s">
        <v>129</v>
      </c>
      <c r="G10" t="s">
        <v>21</v>
      </c>
      <c r="H10" s="81">
        <v>6000</v>
      </c>
      <c r="I10" t="s">
        <v>21</v>
      </c>
      <c r="J10" t="s">
        <v>72</v>
      </c>
      <c r="K10" t="s">
        <v>14</v>
      </c>
      <c r="L10" s="81">
        <v>88568</v>
      </c>
      <c r="M10"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0"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480</v>
      </c>
      <c r="O10" s="9">
        <f>IF(Q2_Comm_Detail[[#This Row],[Deal_Data'[Payment Date']]]="First payment Pending",0,Q2_Comm_Detail[[#This Row],[Commission Calculation ]])</f>
        <v>480</v>
      </c>
    </row>
    <row r="11" spans="1:15" x14ac:dyDescent="0.2">
      <c r="A11">
        <v>10236</v>
      </c>
      <c r="B11" s="7">
        <v>44707</v>
      </c>
      <c r="C11" t="s">
        <v>6</v>
      </c>
      <c r="D11">
        <v>20</v>
      </c>
      <c r="E11" s="81">
        <v>20000</v>
      </c>
      <c r="F11" t="s">
        <v>83</v>
      </c>
      <c r="G11" t="s">
        <v>21</v>
      </c>
      <c r="H11" s="81">
        <v>12000</v>
      </c>
      <c r="I11" t="s">
        <v>21</v>
      </c>
      <c r="J11" t="s">
        <v>72</v>
      </c>
      <c r="K11" t="s">
        <v>14</v>
      </c>
      <c r="L11" s="81">
        <v>100568</v>
      </c>
      <c r="M11"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1"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960</v>
      </c>
      <c r="O11" s="9">
        <f>IF(Q2_Comm_Detail[[#This Row],[Deal_Data'[Payment Date']]]="First payment Pending",0,Q2_Comm_Detail[[#This Row],[Commission Calculation ]])</f>
        <v>960</v>
      </c>
    </row>
    <row r="12" spans="1:15" x14ac:dyDescent="0.2">
      <c r="A12">
        <v>10316</v>
      </c>
      <c r="B12" s="7">
        <v>44714</v>
      </c>
      <c r="C12" t="s">
        <v>6</v>
      </c>
      <c r="D12">
        <v>16</v>
      </c>
      <c r="E12" s="81">
        <v>4295</v>
      </c>
      <c r="F12" t="s">
        <v>130</v>
      </c>
      <c r="G12" t="s">
        <v>21</v>
      </c>
      <c r="H12" s="81">
        <v>3221.25</v>
      </c>
      <c r="I12" t="s">
        <v>21</v>
      </c>
      <c r="J12" t="s">
        <v>72</v>
      </c>
      <c r="K12" t="s">
        <v>14</v>
      </c>
      <c r="L12" s="81">
        <v>103789.25</v>
      </c>
      <c r="M12"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2"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257.7</v>
      </c>
      <c r="O12" s="9">
        <f>IF(Q2_Comm_Detail[[#This Row],[Deal_Data'[Payment Date']]]="First payment Pending",0,Q2_Comm_Detail[[#This Row],[Commission Calculation ]])</f>
        <v>257.7</v>
      </c>
    </row>
    <row r="13" spans="1:15" x14ac:dyDescent="0.2">
      <c r="A13">
        <v>10306</v>
      </c>
      <c r="B13" s="7">
        <v>44732</v>
      </c>
      <c r="C13" t="s">
        <v>6</v>
      </c>
      <c r="D13">
        <v>12</v>
      </c>
      <c r="E13" s="81">
        <v>9000</v>
      </c>
      <c r="F13" t="s">
        <v>131</v>
      </c>
      <c r="G13" t="s">
        <v>21</v>
      </c>
      <c r="H13" s="81">
        <v>9000</v>
      </c>
      <c r="I13" t="s">
        <v>21</v>
      </c>
      <c r="J13" t="s">
        <v>72</v>
      </c>
      <c r="K13" t="s">
        <v>14</v>
      </c>
      <c r="L13" s="81">
        <v>112789.25</v>
      </c>
      <c r="M13"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3"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720</v>
      </c>
      <c r="O13" s="9">
        <f>IF(Q2_Comm_Detail[[#This Row],[Deal_Data'[Payment Date']]]="First payment Pending",0,Q2_Comm_Detail[[#This Row],[Commission Calculation ]])</f>
        <v>720</v>
      </c>
    </row>
    <row r="14" spans="1:15" x14ac:dyDescent="0.2">
      <c r="A14">
        <v>10311</v>
      </c>
      <c r="B14" s="7">
        <v>44732</v>
      </c>
      <c r="C14" t="s">
        <v>6</v>
      </c>
      <c r="D14">
        <v>12</v>
      </c>
      <c r="E14" s="81">
        <v>27500</v>
      </c>
      <c r="F14" t="s">
        <v>93</v>
      </c>
      <c r="G14" t="s">
        <v>21</v>
      </c>
      <c r="H14" s="81">
        <v>27500</v>
      </c>
      <c r="I14" t="s">
        <v>21</v>
      </c>
      <c r="J14" t="s">
        <v>72</v>
      </c>
      <c r="K14" t="s">
        <v>14</v>
      </c>
      <c r="L14" s="81">
        <v>140289.25</v>
      </c>
      <c r="M14"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4"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2200</v>
      </c>
      <c r="O14" s="9">
        <f>IF(Q2_Comm_Detail[[#This Row],[Deal_Data'[Payment Date']]]="First payment Pending",0,Q2_Comm_Detail[[#This Row],[Commission Calculation ]])</f>
        <v>2200</v>
      </c>
    </row>
    <row r="15" spans="1:15" x14ac:dyDescent="0.2">
      <c r="A15">
        <v>10012</v>
      </c>
      <c r="B15" s="7">
        <v>44671</v>
      </c>
      <c r="C15" t="s">
        <v>7</v>
      </c>
      <c r="D15">
        <v>12</v>
      </c>
      <c r="E15" s="81">
        <v>15996</v>
      </c>
      <c r="F15" t="s">
        <v>101</v>
      </c>
      <c r="G15" t="s">
        <v>21</v>
      </c>
      <c r="H15" s="81">
        <v>15996</v>
      </c>
      <c r="I15" t="s">
        <v>21</v>
      </c>
      <c r="J15" t="s">
        <v>72</v>
      </c>
      <c r="K15" t="s">
        <v>15</v>
      </c>
      <c r="L15" s="81">
        <v>15996</v>
      </c>
      <c r="M15"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5"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1759.56</v>
      </c>
      <c r="O15" s="9">
        <f>IF(Q2_Comm_Detail[[#This Row],[Deal_Data'[Payment Date']]]="First payment Pending",0,Q2_Comm_Detail[[#This Row],[Commission Calculation ]])</f>
        <v>1759.56</v>
      </c>
    </row>
    <row r="16" spans="1:15" x14ac:dyDescent="0.2">
      <c r="A16">
        <v>10207</v>
      </c>
      <c r="B16" s="7">
        <v>44672</v>
      </c>
      <c r="C16" t="s">
        <v>7</v>
      </c>
      <c r="D16">
        <v>27</v>
      </c>
      <c r="E16" s="81">
        <v>20000</v>
      </c>
      <c r="F16" t="s">
        <v>92</v>
      </c>
      <c r="G16" t="s">
        <v>21</v>
      </c>
      <c r="H16" s="81">
        <v>8888.8888888888887</v>
      </c>
      <c r="I16" t="s">
        <v>21</v>
      </c>
      <c r="J16" t="s">
        <v>72</v>
      </c>
      <c r="K16" t="s">
        <v>15</v>
      </c>
      <c r="L16" s="81">
        <v>24884.888888888891</v>
      </c>
      <c r="M16"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6"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977.77777777777771</v>
      </c>
      <c r="O16" s="9">
        <f>IF(Q2_Comm_Detail[[#This Row],[Deal_Data'[Payment Date']]]="First payment Pending",0,Q2_Comm_Detail[[#This Row],[Commission Calculation ]])</f>
        <v>977.77777777777771</v>
      </c>
    </row>
    <row r="17" spans="1:15" x14ac:dyDescent="0.2">
      <c r="A17">
        <v>10017</v>
      </c>
      <c r="B17" s="7">
        <v>44677</v>
      </c>
      <c r="C17" t="s">
        <v>7</v>
      </c>
      <c r="D17">
        <v>36</v>
      </c>
      <c r="E17" s="81">
        <v>85000.5</v>
      </c>
      <c r="F17" t="s">
        <v>10</v>
      </c>
      <c r="G17" t="s">
        <v>21</v>
      </c>
      <c r="H17" s="81">
        <v>28333.5</v>
      </c>
      <c r="I17" t="s">
        <v>70</v>
      </c>
      <c r="J17" t="s">
        <v>70</v>
      </c>
      <c r="K17" t="s">
        <v>15</v>
      </c>
      <c r="L17" s="81">
        <v>53218.388888888891</v>
      </c>
      <c r="M17"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7"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3116.6849999999999</v>
      </c>
      <c r="O17" s="9">
        <f>IF(Q2_Comm_Detail[[#This Row],[Deal_Data'[Payment Date']]]="First payment Pending",0,Q2_Comm_Detail[[#This Row],[Commission Calculation ]])</f>
        <v>0</v>
      </c>
    </row>
    <row r="18" spans="1:15" x14ac:dyDescent="0.2">
      <c r="A18">
        <v>10007</v>
      </c>
      <c r="B18" s="7">
        <v>44682</v>
      </c>
      <c r="C18" t="s">
        <v>7</v>
      </c>
      <c r="D18">
        <v>12</v>
      </c>
      <c r="E18" s="81">
        <v>27000</v>
      </c>
      <c r="F18" t="s">
        <v>72</v>
      </c>
      <c r="G18" t="s">
        <v>21</v>
      </c>
      <c r="H18" s="81">
        <v>27000</v>
      </c>
      <c r="I18" t="s">
        <v>21</v>
      </c>
      <c r="J18" t="s">
        <v>72</v>
      </c>
      <c r="K18" t="s">
        <v>15</v>
      </c>
      <c r="L18" s="81">
        <v>80218.388888888891</v>
      </c>
      <c r="M18"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8"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2970</v>
      </c>
      <c r="O18" s="9">
        <f>IF(Q2_Comm_Detail[[#This Row],[Deal_Data'[Payment Date']]]="First payment Pending",0,Q2_Comm_Detail[[#This Row],[Commission Calculation ]])</f>
        <v>2970</v>
      </c>
    </row>
    <row r="19" spans="1:15" x14ac:dyDescent="0.2">
      <c r="A19">
        <v>10002</v>
      </c>
      <c r="B19" s="7">
        <v>44684</v>
      </c>
      <c r="C19" t="s">
        <v>7</v>
      </c>
      <c r="D19">
        <v>36</v>
      </c>
      <c r="E19" s="81">
        <v>23333</v>
      </c>
      <c r="F19" t="s">
        <v>132</v>
      </c>
      <c r="G19" t="s">
        <v>21</v>
      </c>
      <c r="H19" s="81">
        <v>7777.666666666667</v>
      </c>
      <c r="I19" t="s">
        <v>21</v>
      </c>
      <c r="J19" t="s">
        <v>72</v>
      </c>
      <c r="K19" t="s">
        <v>15</v>
      </c>
      <c r="L19" s="81">
        <v>87996.055555555562</v>
      </c>
      <c r="M19"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19"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855.54333333333341</v>
      </c>
      <c r="O19" s="9">
        <f>IF(Q2_Comm_Detail[[#This Row],[Deal_Data'[Payment Date']]]="First payment Pending",0,Q2_Comm_Detail[[#This Row],[Commission Calculation ]])</f>
        <v>855.54333333333341</v>
      </c>
    </row>
    <row r="20" spans="1:15" x14ac:dyDescent="0.2">
      <c r="A20">
        <v>10297</v>
      </c>
      <c r="B20" s="7">
        <v>44684</v>
      </c>
      <c r="C20" t="s">
        <v>7</v>
      </c>
      <c r="D20">
        <v>12</v>
      </c>
      <c r="E20" s="81">
        <v>17980</v>
      </c>
      <c r="F20" t="s">
        <v>133</v>
      </c>
      <c r="G20" t="s">
        <v>21</v>
      </c>
      <c r="H20" s="81">
        <v>17980</v>
      </c>
      <c r="I20" t="s">
        <v>21</v>
      </c>
      <c r="J20" t="s">
        <v>72</v>
      </c>
      <c r="K20" t="s">
        <v>15</v>
      </c>
      <c r="L20" s="81">
        <v>105976.05555555556</v>
      </c>
      <c r="M20"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20"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1977.8</v>
      </c>
      <c r="O20" s="9">
        <f>IF(Q2_Comm_Detail[[#This Row],[Deal_Data'[Payment Date']]]="First payment Pending",0,Q2_Comm_Detail[[#This Row],[Commission Calculation ]])</f>
        <v>1977.8</v>
      </c>
    </row>
    <row r="21" spans="1:15" x14ac:dyDescent="0.2">
      <c r="A21">
        <v>10302</v>
      </c>
      <c r="B21" s="7">
        <v>44712</v>
      </c>
      <c r="C21" t="s">
        <v>7</v>
      </c>
      <c r="D21">
        <v>12</v>
      </c>
      <c r="E21" s="81">
        <v>215000</v>
      </c>
      <c r="F21" t="s">
        <v>79</v>
      </c>
      <c r="G21" t="s">
        <v>21</v>
      </c>
      <c r="H21" s="81">
        <v>215000</v>
      </c>
      <c r="I21" t="s">
        <v>21</v>
      </c>
      <c r="J21" t="s">
        <v>72</v>
      </c>
      <c r="K21" t="s">
        <v>15</v>
      </c>
      <c r="L21" s="81">
        <v>320976.05555555556</v>
      </c>
      <c r="M21"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3</v>
      </c>
      <c r="N21"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23650</v>
      </c>
      <c r="O21" s="9">
        <f>IF(Q2_Comm_Detail[[#This Row],[Deal_Data'[Payment Date']]]="First payment Pending",0,Q2_Comm_Detail[[#This Row],[Commission Calculation ]])</f>
        <v>23650</v>
      </c>
    </row>
    <row r="22" spans="1:15" x14ac:dyDescent="0.2">
      <c r="A22">
        <v>10312</v>
      </c>
      <c r="B22" s="7">
        <v>44734</v>
      </c>
      <c r="C22" t="s">
        <v>7</v>
      </c>
      <c r="D22">
        <v>12</v>
      </c>
      <c r="E22" s="81">
        <v>14400</v>
      </c>
      <c r="F22" t="s">
        <v>10</v>
      </c>
      <c r="G22" t="s">
        <v>21</v>
      </c>
      <c r="H22" s="81">
        <v>14400</v>
      </c>
      <c r="I22" t="s">
        <v>70</v>
      </c>
      <c r="J22" t="s">
        <v>70</v>
      </c>
      <c r="K22" t="s">
        <v>15</v>
      </c>
      <c r="L22" s="81">
        <v>335376.05555555556</v>
      </c>
      <c r="M22"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3</v>
      </c>
      <c r="N22"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1584</v>
      </c>
      <c r="O22" s="9">
        <f>IF(Q2_Comm_Detail[[#This Row],[Deal_Data'[Payment Date']]]="First payment Pending",0,Q2_Comm_Detail[[#This Row],[Commission Calculation ]])</f>
        <v>0</v>
      </c>
    </row>
    <row r="23" spans="1:15" x14ac:dyDescent="0.2">
      <c r="A23">
        <v>10307</v>
      </c>
      <c r="B23" s="7">
        <v>44739</v>
      </c>
      <c r="C23" t="s">
        <v>7</v>
      </c>
      <c r="D23">
        <v>30</v>
      </c>
      <c r="E23" s="81">
        <v>18000</v>
      </c>
      <c r="F23" t="s">
        <v>10</v>
      </c>
      <c r="G23" t="s">
        <v>21</v>
      </c>
      <c r="H23" s="81">
        <v>7200</v>
      </c>
      <c r="I23" t="s">
        <v>70</v>
      </c>
      <c r="J23" t="s">
        <v>70</v>
      </c>
      <c r="K23" t="s">
        <v>15</v>
      </c>
      <c r="L23" s="81">
        <v>342576.05555555556</v>
      </c>
      <c r="M23"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3</v>
      </c>
      <c r="N23"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792</v>
      </c>
      <c r="O23" s="9">
        <f>IF(Q2_Comm_Detail[[#This Row],[Deal_Data'[Payment Date']]]="First payment Pending",0,Q2_Comm_Detail[[#This Row],[Commission Calculation ]])</f>
        <v>0</v>
      </c>
    </row>
    <row r="24" spans="1:15" x14ac:dyDescent="0.2">
      <c r="A24">
        <v>10317</v>
      </c>
      <c r="B24" s="7">
        <v>44742</v>
      </c>
      <c r="C24" t="s">
        <v>7</v>
      </c>
      <c r="D24">
        <v>36</v>
      </c>
      <c r="E24" s="81">
        <v>15000</v>
      </c>
      <c r="F24" t="s">
        <v>10</v>
      </c>
      <c r="G24" t="s">
        <v>21</v>
      </c>
      <c r="H24" s="81">
        <v>5000</v>
      </c>
      <c r="I24" t="s">
        <v>70</v>
      </c>
      <c r="J24" t="s">
        <v>70</v>
      </c>
      <c r="K24" t="s">
        <v>15</v>
      </c>
      <c r="L24" s="81">
        <v>347576.05555555556</v>
      </c>
      <c r="M24"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3</v>
      </c>
      <c r="N24"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550</v>
      </c>
      <c r="O24" s="9">
        <f>IF(Q2_Comm_Detail[[#This Row],[Deal_Data'[Payment Date']]]="First payment Pending",0,Q2_Comm_Detail[[#This Row],[Commission Calculation ]])</f>
        <v>0</v>
      </c>
    </row>
    <row r="25" spans="1:15" x14ac:dyDescent="0.2">
      <c r="A25">
        <v>10193</v>
      </c>
      <c r="B25" s="7">
        <v>44669</v>
      </c>
      <c r="C25" t="s">
        <v>9</v>
      </c>
      <c r="D25">
        <v>12</v>
      </c>
      <c r="E25" s="81">
        <v>4800</v>
      </c>
      <c r="F25" t="s">
        <v>93</v>
      </c>
      <c r="G25" t="s">
        <v>21</v>
      </c>
      <c r="H25" s="81">
        <v>4800</v>
      </c>
      <c r="I25" t="s">
        <v>21</v>
      </c>
      <c r="J25" t="s">
        <v>72</v>
      </c>
      <c r="K25" t="s">
        <v>16</v>
      </c>
      <c r="L25" s="81">
        <v>4800</v>
      </c>
      <c r="M25"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25"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336.00000000000006</v>
      </c>
      <c r="O25" s="9">
        <f>IF(Q2_Comm_Detail[[#This Row],[Deal_Data'[Payment Date']]]="First payment Pending",0,Q2_Comm_Detail[[#This Row],[Commission Calculation ]])</f>
        <v>336.00000000000006</v>
      </c>
    </row>
    <row r="26" spans="1:15" x14ac:dyDescent="0.2">
      <c r="A26">
        <v>10013</v>
      </c>
      <c r="B26" s="7">
        <v>44674</v>
      </c>
      <c r="C26" t="s">
        <v>9</v>
      </c>
      <c r="D26">
        <v>12</v>
      </c>
      <c r="E26" s="81">
        <v>1575</v>
      </c>
      <c r="F26" t="s">
        <v>134</v>
      </c>
      <c r="G26" t="s">
        <v>21</v>
      </c>
      <c r="H26" s="81">
        <v>1575</v>
      </c>
      <c r="I26" t="s">
        <v>21</v>
      </c>
      <c r="J26" t="s">
        <v>72</v>
      </c>
      <c r="K26" t="s">
        <v>16</v>
      </c>
      <c r="L26" s="81">
        <v>6375</v>
      </c>
      <c r="M26"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26"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110.25000000000001</v>
      </c>
      <c r="O26" s="9">
        <f>IF(Q2_Comm_Detail[[#This Row],[Deal_Data'[Payment Date']]]="First payment Pending",0,Q2_Comm_Detail[[#This Row],[Commission Calculation ]])</f>
        <v>110.25000000000001</v>
      </c>
    </row>
    <row r="27" spans="1:15" x14ac:dyDescent="0.2">
      <c r="A27">
        <v>10008</v>
      </c>
      <c r="B27" s="7">
        <v>44676</v>
      </c>
      <c r="C27" t="s">
        <v>9</v>
      </c>
      <c r="D27">
        <v>12</v>
      </c>
      <c r="E27" s="81">
        <v>32686.3</v>
      </c>
      <c r="F27" t="s">
        <v>98</v>
      </c>
      <c r="G27" t="s">
        <v>21</v>
      </c>
      <c r="H27" s="81">
        <v>32686.3</v>
      </c>
      <c r="I27" t="s">
        <v>21</v>
      </c>
      <c r="J27" t="s">
        <v>72</v>
      </c>
      <c r="K27" t="s">
        <v>16</v>
      </c>
      <c r="L27" s="81">
        <v>39061.300000000003</v>
      </c>
      <c r="M27"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27"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2288.0410000000002</v>
      </c>
      <c r="O27" s="9">
        <f>IF(Q2_Comm_Detail[[#This Row],[Deal_Data'[Payment Date']]]="First payment Pending",0,Q2_Comm_Detail[[#This Row],[Commission Calculation ]])</f>
        <v>2288.0410000000002</v>
      </c>
    </row>
    <row r="28" spans="1:15" x14ac:dyDescent="0.2">
      <c r="A28">
        <v>10003</v>
      </c>
      <c r="B28" s="7">
        <v>44681</v>
      </c>
      <c r="C28" t="s">
        <v>9</v>
      </c>
      <c r="D28">
        <v>12</v>
      </c>
      <c r="E28" s="81">
        <v>46667</v>
      </c>
      <c r="F28" t="s">
        <v>130</v>
      </c>
      <c r="G28" t="s">
        <v>21</v>
      </c>
      <c r="H28" s="81">
        <v>46667</v>
      </c>
      <c r="I28" t="s">
        <v>21</v>
      </c>
      <c r="J28" t="s">
        <v>72</v>
      </c>
      <c r="K28" t="s">
        <v>16</v>
      </c>
      <c r="L28" s="81">
        <v>85728.3</v>
      </c>
      <c r="M28"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28"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3266.6900000000005</v>
      </c>
      <c r="O28" s="9">
        <f>IF(Q2_Comm_Detail[[#This Row],[Deal_Data'[Payment Date']]]="First payment Pending",0,Q2_Comm_Detail[[#This Row],[Commission Calculation ]])</f>
        <v>3266.6900000000005</v>
      </c>
    </row>
    <row r="29" spans="1:15" x14ac:dyDescent="0.2">
      <c r="A29">
        <v>10303</v>
      </c>
      <c r="B29" s="7">
        <v>44681</v>
      </c>
      <c r="C29" t="s">
        <v>9</v>
      </c>
      <c r="D29">
        <v>12</v>
      </c>
      <c r="E29" s="81">
        <v>12000</v>
      </c>
      <c r="F29" t="s">
        <v>71</v>
      </c>
      <c r="G29" t="s">
        <v>21</v>
      </c>
      <c r="H29" s="81">
        <v>12000</v>
      </c>
      <c r="I29" t="s">
        <v>21</v>
      </c>
      <c r="J29" t="s">
        <v>72</v>
      </c>
      <c r="K29" t="s">
        <v>16</v>
      </c>
      <c r="L29" s="81">
        <v>97728.3</v>
      </c>
      <c r="M29"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29"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840.00000000000011</v>
      </c>
      <c r="O29" s="9">
        <f>IF(Q2_Comm_Detail[[#This Row],[Deal_Data'[Payment Date']]]="First payment Pending",0,Q2_Comm_Detail[[#This Row],[Commission Calculation ]])</f>
        <v>840.00000000000011</v>
      </c>
    </row>
    <row r="30" spans="1:15" x14ac:dyDescent="0.2">
      <c r="A30">
        <v>10293</v>
      </c>
      <c r="B30" s="7">
        <v>44687</v>
      </c>
      <c r="C30" t="s">
        <v>9</v>
      </c>
      <c r="D30">
        <v>30</v>
      </c>
      <c r="E30" s="81">
        <v>15000</v>
      </c>
      <c r="F30" t="s">
        <v>128</v>
      </c>
      <c r="G30" t="s">
        <v>21</v>
      </c>
      <c r="H30" s="81">
        <v>6000</v>
      </c>
      <c r="I30" t="s">
        <v>21</v>
      </c>
      <c r="J30" t="s">
        <v>72</v>
      </c>
      <c r="K30" t="s">
        <v>16</v>
      </c>
      <c r="L30" s="81">
        <v>103728.3</v>
      </c>
      <c r="M30"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30"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420.00000000000006</v>
      </c>
      <c r="O30" s="9">
        <f>IF(Q2_Comm_Detail[[#This Row],[Deal_Data'[Payment Date']]]="First payment Pending",0,Q2_Comm_Detail[[#This Row],[Commission Calculation ]])</f>
        <v>420.00000000000006</v>
      </c>
    </row>
    <row r="31" spans="1:15" x14ac:dyDescent="0.2">
      <c r="A31">
        <v>10298</v>
      </c>
      <c r="B31" s="7">
        <v>44690</v>
      </c>
      <c r="C31" t="s">
        <v>9</v>
      </c>
      <c r="D31">
        <v>12</v>
      </c>
      <c r="E31" s="81">
        <v>10812</v>
      </c>
      <c r="F31" t="s">
        <v>135</v>
      </c>
      <c r="G31" t="s">
        <v>21</v>
      </c>
      <c r="H31" s="81">
        <v>10812</v>
      </c>
      <c r="I31" t="s">
        <v>21</v>
      </c>
      <c r="J31" t="s">
        <v>72</v>
      </c>
      <c r="K31" t="s">
        <v>16</v>
      </c>
      <c r="L31" s="81">
        <v>114540.3</v>
      </c>
      <c r="M31"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31"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756.84</v>
      </c>
      <c r="O31" s="9">
        <f>IF(Q2_Comm_Detail[[#This Row],[Deal_Data'[Payment Date']]]="First payment Pending",0,Q2_Comm_Detail[[#This Row],[Commission Calculation ]])</f>
        <v>756.84</v>
      </c>
    </row>
    <row r="32" spans="1:15" x14ac:dyDescent="0.2">
      <c r="A32">
        <v>10308</v>
      </c>
      <c r="B32" s="7">
        <v>44742</v>
      </c>
      <c r="C32" t="s">
        <v>9</v>
      </c>
      <c r="D32">
        <v>12</v>
      </c>
      <c r="E32" s="81">
        <v>75000</v>
      </c>
      <c r="F32" t="s">
        <v>10</v>
      </c>
      <c r="G32" t="s">
        <v>21</v>
      </c>
      <c r="H32" s="81">
        <v>75000</v>
      </c>
      <c r="I32" t="s">
        <v>70</v>
      </c>
      <c r="J32" t="s">
        <v>70</v>
      </c>
      <c r="K32" t="s">
        <v>16</v>
      </c>
      <c r="L32" s="81">
        <v>189540.3</v>
      </c>
      <c r="M32"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32"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5250.0000000000009</v>
      </c>
      <c r="O32" s="9">
        <f>IF(Q2_Comm_Detail[[#This Row],[Deal_Data'[Payment Date']]]="First payment Pending",0,Q2_Comm_Detail[[#This Row],[Commission Calculation ]])</f>
        <v>0</v>
      </c>
    </row>
    <row r="33" spans="1:15" x14ac:dyDescent="0.2">
      <c r="A33">
        <v>10313</v>
      </c>
      <c r="B33" s="7">
        <v>44742</v>
      </c>
      <c r="C33" t="s">
        <v>9</v>
      </c>
      <c r="D33">
        <v>12</v>
      </c>
      <c r="E33" s="81">
        <v>24000</v>
      </c>
      <c r="F33" t="s">
        <v>10</v>
      </c>
      <c r="G33" t="s">
        <v>21</v>
      </c>
      <c r="H33" s="81">
        <v>24000</v>
      </c>
      <c r="I33" t="s">
        <v>70</v>
      </c>
      <c r="J33" t="s">
        <v>70</v>
      </c>
      <c r="K33" t="s">
        <v>16</v>
      </c>
      <c r="L33" s="81">
        <v>213540.3</v>
      </c>
      <c r="M33"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33"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1680.0000000000002</v>
      </c>
      <c r="O33" s="9">
        <f>IF(Q2_Comm_Detail[[#This Row],[Deal_Data'[Payment Date']]]="First payment Pending",0,Q2_Comm_Detail[[#This Row],[Commission Calculation ]])</f>
        <v>0</v>
      </c>
    </row>
    <row r="34" spans="1:15" x14ac:dyDescent="0.2">
      <c r="A34">
        <v>10318</v>
      </c>
      <c r="B34" s="7">
        <v>44742</v>
      </c>
      <c r="C34" t="s">
        <v>9</v>
      </c>
      <c r="D34">
        <v>12</v>
      </c>
      <c r="E34" s="81">
        <v>64000</v>
      </c>
      <c r="F34" t="s">
        <v>10</v>
      </c>
      <c r="G34" t="s">
        <v>21</v>
      </c>
      <c r="H34" s="81">
        <v>64000</v>
      </c>
      <c r="I34" t="s">
        <v>70</v>
      </c>
      <c r="J34" t="s">
        <v>70</v>
      </c>
      <c r="K34" t="s">
        <v>16</v>
      </c>
      <c r="L34" s="81">
        <v>277540.3</v>
      </c>
      <c r="M34"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2</v>
      </c>
      <c r="N34"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6720.0000000000009</v>
      </c>
      <c r="O34" s="9">
        <f>IF(Q2_Comm_Detail[[#This Row],[Deal_Data'[Payment Date']]]="First payment Pending",0,Q2_Comm_Detail[[#This Row],[Commission Calculation ]])</f>
        <v>0</v>
      </c>
    </row>
    <row r="35" spans="1:15" x14ac:dyDescent="0.2">
      <c r="A35">
        <v>10180</v>
      </c>
      <c r="B35" s="7">
        <v>44668</v>
      </c>
      <c r="C35" t="s">
        <v>8</v>
      </c>
      <c r="D35">
        <v>12</v>
      </c>
      <c r="E35" s="81">
        <v>26052</v>
      </c>
      <c r="F35" t="s">
        <v>128</v>
      </c>
      <c r="G35" t="s">
        <v>21</v>
      </c>
      <c r="H35" s="81">
        <v>26052</v>
      </c>
      <c r="I35" t="s">
        <v>21</v>
      </c>
      <c r="J35" t="s">
        <v>72</v>
      </c>
      <c r="K35" t="s">
        <v>17</v>
      </c>
      <c r="L35" s="81">
        <v>26052</v>
      </c>
      <c r="M35"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35"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2084.16</v>
      </c>
      <c r="O35" s="9">
        <f>IF(Q2_Comm_Detail[[#This Row],[Deal_Data'[Payment Date']]]="First payment Pending",0,Q2_Comm_Detail[[#This Row],[Commission Calculation ]])</f>
        <v>2084.16</v>
      </c>
    </row>
    <row r="36" spans="1:15" x14ac:dyDescent="0.2">
      <c r="A36">
        <v>10295</v>
      </c>
      <c r="B36" s="7">
        <v>44679</v>
      </c>
      <c r="C36" t="s">
        <v>8</v>
      </c>
      <c r="D36">
        <v>12</v>
      </c>
      <c r="E36" s="81">
        <v>15400</v>
      </c>
      <c r="F36" t="s">
        <v>136</v>
      </c>
      <c r="G36" t="s">
        <v>21</v>
      </c>
      <c r="H36" s="81">
        <v>15400</v>
      </c>
      <c r="I36" t="s">
        <v>21</v>
      </c>
      <c r="J36" t="s">
        <v>72</v>
      </c>
      <c r="K36" t="s">
        <v>17</v>
      </c>
      <c r="L36" s="81">
        <v>41452</v>
      </c>
      <c r="M36"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36"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1232</v>
      </c>
      <c r="O36" s="9">
        <f>IF(Q2_Comm_Detail[[#This Row],[Deal_Data'[Payment Date']]]="First payment Pending",0,Q2_Comm_Detail[[#This Row],[Commission Calculation ]])</f>
        <v>1232</v>
      </c>
    </row>
    <row r="37" spans="1:15" x14ac:dyDescent="0.2">
      <c r="A37">
        <v>10010</v>
      </c>
      <c r="B37" s="7">
        <v>44681</v>
      </c>
      <c r="C37" t="s">
        <v>8</v>
      </c>
      <c r="D37">
        <v>36</v>
      </c>
      <c r="E37" s="81">
        <v>28500</v>
      </c>
      <c r="F37" t="s">
        <v>137</v>
      </c>
      <c r="G37" t="s">
        <v>21</v>
      </c>
      <c r="H37" s="81">
        <v>9500</v>
      </c>
      <c r="I37" t="s">
        <v>21</v>
      </c>
      <c r="J37" t="s">
        <v>72</v>
      </c>
      <c r="K37" t="s">
        <v>17</v>
      </c>
      <c r="L37" s="81">
        <v>50952</v>
      </c>
      <c r="M37"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37"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760</v>
      </c>
      <c r="O37" s="9">
        <f>IF(Q2_Comm_Detail[[#This Row],[Deal_Data'[Payment Date']]]="First payment Pending",0,Q2_Comm_Detail[[#This Row],[Commission Calculation ]])</f>
        <v>760</v>
      </c>
    </row>
    <row r="38" spans="1:15" x14ac:dyDescent="0.2">
      <c r="A38">
        <v>10015</v>
      </c>
      <c r="B38" s="7">
        <v>44681</v>
      </c>
      <c r="C38" t="s">
        <v>8</v>
      </c>
      <c r="D38">
        <v>12</v>
      </c>
      <c r="E38" s="81">
        <v>72000</v>
      </c>
      <c r="F38" t="s">
        <v>138</v>
      </c>
      <c r="G38" t="s">
        <v>21</v>
      </c>
      <c r="H38" s="81">
        <v>72000</v>
      </c>
      <c r="I38" t="s">
        <v>21</v>
      </c>
      <c r="J38" t="s">
        <v>72</v>
      </c>
      <c r="K38" t="s">
        <v>17</v>
      </c>
      <c r="L38" s="81">
        <v>122952</v>
      </c>
      <c r="M38"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38"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5760</v>
      </c>
      <c r="O38" s="9">
        <f>IF(Q2_Comm_Detail[[#This Row],[Deal_Data'[Payment Date']]]="First payment Pending",0,Q2_Comm_Detail[[#This Row],[Commission Calculation ]])</f>
        <v>5760</v>
      </c>
    </row>
    <row r="39" spans="1:15" x14ac:dyDescent="0.2">
      <c r="A39">
        <v>10005</v>
      </c>
      <c r="B39" s="7">
        <v>44684</v>
      </c>
      <c r="C39" t="s">
        <v>8</v>
      </c>
      <c r="D39">
        <v>12</v>
      </c>
      <c r="E39" s="81">
        <v>24000</v>
      </c>
      <c r="F39" t="s">
        <v>102</v>
      </c>
      <c r="G39" t="s">
        <v>21</v>
      </c>
      <c r="H39" s="81">
        <v>24000</v>
      </c>
      <c r="I39" t="s">
        <v>21</v>
      </c>
      <c r="J39" t="s">
        <v>72</v>
      </c>
      <c r="K39" t="s">
        <v>17</v>
      </c>
      <c r="L39" s="81">
        <v>146952</v>
      </c>
      <c r="M39"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39"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1920</v>
      </c>
      <c r="O39" s="9">
        <f>IF(Q2_Comm_Detail[[#This Row],[Deal_Data'[Payment Date']]]="First payment Pending",0,Q2_Comm_Detail[[#This Row],[Commission Calculation ]])</f>
        <v>1920</v>
      </c>
    </row>
    <row r="40" spans="1:15" x14ac:dyDescent="0.2">
      <c r="A40">
        <v>10300</v>
      </c>
      <c r="B40" s="7">
        <v>44684</v>
      </c>
      <c r="C40" t="s">
        <v>8</v>
      </c>
      <c r="D40">
        <v>30</v>
      </c>
      <c r="E40" s="81">
        <v>15000</v>
      </c>
      <c r="F40" t="s">
        <v>92</v>
      </c>
      <c r="G40" t="s">
        <v>21</v>
      </c>
      <c r="H40" s="81">
        <v>6000</v>
      </c>
      <c r="I40" t="s">
        <v>21</v>
      </c>
      <c r="J40" t="s">
        <v>72</v>
      </c>
      <c r="K40" t="s">
        <v>17</v>
      </c>
      <c r="L40" s="81">
        <v>152952</v>
      </c>
      <c r="M40"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40"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480</v>
      </c>
      <c r="O40" s="9">
        <f>IF(Q2_Comm_Detail[[#This Row],[Deal_Data'[Payment Date']]]="First payment Pending",0,Q2_Comm_Detail[[#This Row],[Commission Calculation ]])</f>
        <v>480</v>
      </c>
    </row>
    <row r="41" spans="1:15" x14ac:dyDescent="0.2">
      <c r="A41">
        <v>10235</v>
      </c>
      <c r="B41" s="7">
        <v>44707</v>
      </c>
      <c r="C41" t="s">
        <v>8</v>
      </c>
      <c r="D41">
        <v>20</v>
      </c>
      <c r="E41" s="81">
        <v>7200</v>
      </c>
      <c r="F41" t="s">
        <v>139</v>
      </c>
      <c r="G41" t="s">
        <v>21</v>
      </c>
      <c r="H41" s="81">
        <v>4320</v>
      </c>
      <c r="I41" t="s">
        <v>21</v>
      </c>
      <c r="J41" t="s">
        <v>72</v>
      </c>
      <c r="K41" t="s">
        <v>17</v>
      </c>
      <c r="L41" s="81">
        <v>157272</v>
      </c>
      <c r="M41"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41"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345.6</v>
      </c>
      <c r="O41" s="9">
        <f>IF(Q2_Comm_Detail[[#This Row],[Deal_Data'[Payment Date']]]="First payment Pending",0,Q2_Comm_Detail[[#This Row],[Commission Calculation ]])</f>
        <v>345.6</v>
      </c>
    </row>
    <row r="42" spans="1:15" x14ac:dyDescent="0.2">
      <c r="A42">
        <v>10200</v>
      </c>
      <c r="B42" s="7">
        <v>44714</v>
      </c>
      <c r="C42" t="s">
        <v>8</v>
      </c>
      <c r="D42">
        <v>12</v>
      </c>
      <c r="E42" s="81">
        <v>200000</v>
      </c>
      <c r="F42" t="s">
        <v>140</v>
      </c>
      <c r="G42" t="s">
        <v>21</v>
      </c>
      <c r="H42" s="81">
        <v>200000</v>
      </c>
      <c r="I42" t="s">
        <v>21</v>
      </c>
      <c r="J42" t="s">
        <v>72</v>
      </c>
      <c r="K42" t="s">
        <v>17</v>
      </c>
      <c r="L42" s="81">
        <v>357272</v>
      </c>
      <c r="M42"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42"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16000</v>
      </c>
      <c r="O42" s="9">
        <f>IF(Q2_Comm_Detail[[#This Row],[Deal_Data'[Payment Date']]]="First payment Pending",0,Q2_Comm_Detail[[#This Row],[Commission Calculation ]])</f>
        <v>16000</v>
      </c>
    </row>
    <row r="43" spans="1:15" x14ac:dyDescent="0.2">
      <c r="A43">
        <v>10310</v>
      </c>
      <c r="B43" s="7">
        <v>44740</v>
      </c>
      <c r="C43" t="s">
        <v>8</v>
      </c>
      <c r="D43">
        <v>12</v>
      </c>
      <c r="E43" s="81">
        <v>90000</v>
      </c>
      <c r="F43" t="s">
        <v>10</v>
      </c>
      <c r="G43" t="s">
        <v>21</v>
      </c>
      <c r="H43" s="81">
        <v>90000</v>
      </c>
      <c r="I43" t="s">
        <v>70</v>
      </c>
      <c r="J43" t="s">
        <v>70</v>
      </c>
      <c r="K43" t="s">
        <v>17</v>
      </c>
      <c r="L43" s="81">
        <v>447272</v>
      </c>
      <c r="M43"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1</v>
      </c>
      <c r="N43"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7200</v>
      </c>
      <c r="O43" s="9">
        <f>IF(Q2_Comm_Detail[[#This Row],[Deal_Data'[Payment Date']]]="First payment Pending",0,Q2_Comm_Detail[[#This Row],[Commission Calculation ]])</f>
        <v>0</v>
      </c>
    </row>
    <row r="44" spans="1:15" x14ac:dyDescent="0.2">
      <c r="A44">
        <v>10305</v>
      </c>
      <c r="B44" s="7">
        <v>44742</v>
      </c>
      <c r="C44" t="s">
        <v>8</v>
      </c>
      <c r="D44">
        <v>12</v>
      </c>
      <c r="E44" s="81">
        <v>15600</v>
      </c>
      <c r="F44" t="s">
        <v>10</v>
      </c>
      <c r="G44" t="s">
        <v>21</v>
      </c>
      <c r="H44" s="81">
        <v>15600</v>
      </c>
      <c r="I44" t="s">
        <v>70</v>
      </c>
      <c r="J44" t="s">
        <v>70</v>
      </c>
      <c r="K44" t="s">
        <v>17</v>
      </c>
      <c r="L44" s="81">
        <v>462872</v>
      </c>
      <c r="M44"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2</v>
      </c>
      <c r="N44"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1872</v>
      </c>
      <c r="O44" s="9">
        <f>IF(Q2_Comm_Detail[[#This Row],[Deal_Data'[Payment Date']]]="First payment Pending",0,Q2_Comm_Detail[[#This Row],[Commission Calculation ]])</f>
        <v>0</v>
      </c>
    </row>
    <row r="45" spans="1:15" x14ac:dyDescent="0.2">
      <c r="A45">
        <v>10315</v>
      </c>
      <c r="B45" s="7">
        <v>44742</v>
      </c>
      <c r="C45" t="s">
        <v>8</v>
      </c>
      <c r="D45">
        <v>12</v>
      </c>
      <c r="E45" s="81">
        <v>34000</v>
      </c>
      <c r="F45" t="s">
        <v>10</v>
      </c>
      <c r="G45" t="s">
        <v>21</v>
      </c>
      <c r="H45" s="81">
        <v>34000</v>
      </c>
      <c r="I45" t="s">
        <v>70</v>
      </c>
      <c r="J45" t="s">
        <v>70</v>
      </c>
      <c r="K45" t="s">
        <v>17</v>
      </c>
      <c r="L45" s="81">
        <v>496872</v>
      </c>
      <c r="M45" s="81" t="str">
        <f>IF(Q2_Comm_Detail[[#This Row],[Deal_Data'[Accumulative ARR']]]&lt;=VLOOKUP(Q2_Comm_Detail[[#This Row],[Deal_Data'[Owner Name']]],'Reference Data'!$A$13:$C$16,3,FALSE),"Tier 1",IF(Q2_Comm_Detail[[#This Row],[Deal_Data'[Accumulative ARR']]]&lt;=VLOOKUP(Q2_Comm_Detail[[#This Row],[Deal_Data'[Owner Name']]],'Reference Data'!$A$22:$C$25,3,FALSE),"Tier 2",IF(Q2_Comm_Detail[[#This Row],[Deal_Data'[Accumulative ARR']]]&gt;=VLOOKUP(Q2_Comm_Detail[[#This Row],[Deal_Data'[Owner Name']]],'Reference Data'!$A$31:$C$34,3,FALSE),"Tier 3")))</f>
        <v>Tier 2</v>
      </c>
      <c r="N45" s="81">
        <f>IF(Q2_Comm_Detail[[#This Row],[Commission Tier]]="Tier 1",Q2_Comm_Detail[[#This Row],[Deal_Data'[Commissionable AAR']]]*VLOOKUP(Q2_Comm_Detail[[#This Row],[Deal_Data'[Owner Name']]],'Reference Data'!$A$39:$C$42,3,FALSE),IF(Q2_Comm_Detail[[#This Row],[Commission Tier]]="Tier 2",Q2_Comm_Detail[[#This Row],[Deal_Data'[Commissionable AAR']]]*VLOOKUP(Q2_Comm_Detail[[#This Row],[Deal_Data'[Owner Name']]],'Reference Data'!$A$47:$C$50,3,FALSE),IF(Q2_Comm_Detail[[#This Row],[Commission Tier]]="Tier 3",Q2_Comm_Detail[[#This Row],[Deal_Data'[Commissionable AAR']]]*VLOOKUP(Q2_Comm_Detail[[#This Row],[Deal_Data'[Owner Name']]],'Reference Data'!$A$55:$C$58,3,FALSE))))</f>
        <v>4080</v>
      </c>
      <c r="O45" s="9">
        <f>IF(Q2_Comm_Detail[[#This Row],[Deal_Data'[Payment Date']]]="First payment Pending",0,Q2_Comm_Detail[[#This Row],[Commission Calculation ]])</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1C1A-BD7A-4E52-A91C-F2446A77E40D}">
  <dimension ref="A3:D9"/>
  <sheetViews>
    <sheetView workbookViewId="0">
      <selection activeCell="F64" sqref="F64"/>
    </sheetView>
  </sheetViews>
  <sheetFormatPr defaultRowHeight="12.75" x14ac:dyDescent="0.2"/>
  <cols>
    <col min="1" max="1" width="28" bestFit="1" customWidth="1"/>
    <col min="2" max="2" width="17" bestFit="1" customWidth="1"/>
    <col min="3" max="4" width="12.85546875" bestFit="1" customWidth="1"/>
  </cols>
  <sheetData>
    <row r="3" spans="1:4" x14ac:dyDescent="0.2">
      <c r="A3" s="55" t="s">
        <v>37</v>
      </c>
      <c r="B3" s="55" t="s">
        <v>38</v>
      </c>
    </row>
    <row r="4" spans="1:4" x14ac:dyDescent="0.2">
      <c r="A4" s="55" t="s">
        <v>35</v>
      </c>
      <c r="B4" t="s">
        <v>20</v>
      </c>
      <c r="C4" t="s">
        <v>21</v>
      </c>
      <c r="D4" t="s">
        <v>36</v>
      </c>
    </row>
    <row r="5" spans="1:4" x14ac:dyDescent="0.2">
      <c r="A5" s="56" t="s">
        <v>14</v>
      </c>
      <c r="B5" s="57">
        <v>301541.67</v>
      </c>
      <c r="C5" s="57">
        <v>140289.25</v>
      </c>
      <c r="D5" s="57">
        <v>441830.92</v>
      </c>
    </row>
    <row r="6" spans="1:4" x14ac:dyDescent="0.2">
      <c r="A6" s="56" t="s">
        <v>15</v>
      </c>
      <c r="B6" s="57">
        <v>59120.333333333328</v>
      </c>
      <c r="C6" s="57">
        <v>347576.05555555556</v>
      </c>
      <c r="D6" s="57">
        <v>406696.38888888888</v>
      </c>
    </row>
    <row r="7" spans="1:4" x14ac:dyDescent="0.2">
      <c r="A7" s="56" t="s">
        <v>16</v>
      </c>
      <c r="B7" s="57">
        <v>239106.66666666666</v>
      </c>
      <c r="C7" s="57">
        <v>277540.3</v>
      </c>
      <c r="D7" s="57">
        <v>516646.96666666667</v>
      </c>
    </row>
    <row r="8" spans="1:4" x14ac:dyDescent="0.2">
      <c r="A8" s="56" t="s">
        <v>17</v>
      </c>
      <c r="B8" s="57">
        <v>377355</v>
      </c>
      <c r="C8" s="57">
        <v>496872</v>
      </c>
      <c r="D8" s="57">
        <v>874227</v>
      </c>
    </row>
    <row r="9" spans="1:4" x14ac:dyDescent="0.2">
      <c r="A9" s="56" t="s">
        <v>36</v>
      </c>
      <c r="B9" s="57">
        <v>977123.66999999993</v>
      </c>
      <c r="C9" s="57">
        <v>1262277.6055555556</v>
      </c>
      <c r="D9" s="57">
        <v>2239401.2755555557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L796"/>
  <sheetViews>
    <sheetView workbookViewId="0">
      <pane ySplit="1" topLeftCell="A2" activePane="bottomLeft" state="frozen"/>
      <selection pane="bottomLeft" activeCell="H1" sqref="H1"/>
    </sheetView>
  </sheetViews>
  <sheetFormatPr defaultColWidth="14.42578125" defaultRowHeight="15" customHeight="1" x14ac:dyDescent="0.2"/>
  <cols>
    <col min="1" max="1" width="16.7109375" customWidth="1"/>
    <col min="2" max="2" width="18.7109375" customWidth="1"/>
    <col min="3" max="3" width="16.7109375" customWidth="1"/>
    <col min="4" max="4" width="25.7109375" customWidth="1"/>
    <col min="5" max="5" width="21.7109375" customWidth="1"/>
    <col min="6" max="6" width="20.28515625" customWidth="1"/>
    <col min="7" max="7" width="20.42578125" customWidth="1"/>
    <col min="8" max="8" width="26" bestFit="1" customWidth="1"/>
    <col min="9" max="10" width="20.28515625" bestFit="1" customWidth="1"/>
    <col min="11" max="11" width="15" customWidth="1"/>
    <col min="12" max="12" width="14.42578125" style="9"/>
    <col min="13" max="13" width="16.28515625" bestFit="1" customWidth="1"/>
  </cols>
  <sheetData>
    <row r="1" spans="1:12" ht="25.5" x14ac:dyDescent="0.2">
      <c r="A1" s="47" t="s">
        <v>0</v>
      </c>
      <c r="B1" s="47" t="s">
        <v>1</v>
      </c>
      <c r="C1" s="47" t="s">
        <v>2</v>
      </c>
      <c r="D1" s="47" t="s">
        <v>3</v>
      </c>
      <c r="E1" s="47" t="s">
        <v>4</v>
      </c>
      <c r="F1" s="47" t="s">
        <v>5</v>
      </c>
      <c r="G1" s="47" t="s">
        <v>11</v>
      </c>
      <c r="H1" s="52" t="s">
        <v>127</v>
      </c>
      <c r="I1" s="47" t="s">
        <v>12</v>
      </c>
      <c r="J1" s="52" t="s">
        <v>31</v>
      </c>
      <c r="K1" s="52" t="s">
        <v>33</v>
      </c>
      <c r="L1" s="53" t="s">
        <v>44</v>
      </c>
    </row>
    <row r="2" spans="1:12" ht="15.75" customHeight="1" x14ac:dyDescent="0.2">
      <c r="A2" s="1">
        <v>10286</v>
      </c>
      <c r="B2" s="2">
        <v>44562</v>
      </c>
      <c r="C2" s="1" t="s">
        <v>6</v>
      </c>
      <c r="D2" s="1">
        <v>30</v>
      </c>
      <c r="E2" s="3">
        <v>15600</v>
      </c>
      <c r="F2" s="4">
        <v>44581</v>
      </c>
      <c r="G2" s="8" t="str">
        <f>"Q"&amp;ROUNDUP(MONTH(B2)/3,0)</f>
        <v>Q1</v>
      </c>
      <c r="H2" s="3">
        <f>IF(D2&gt;12,((E2/D2)*12),E2)</f>
        <v>6240</v>
      </c>
      <c r="I2" s="8" t="str">
        <f>IFERROR("Q"&amp;ROUNDUP(MONTH(F2)/3,0),"First Payment Pending")</f>
        <v>Q1</v>
      </c>
      <c r="J2" s="7">
        <f>_xlfn.IFNA(VLOOKUP(I2,'Reference Data'!$A$72:$B$75,2,FALSE),"First Payment Pending")</f>
        <v>44651</v>
      </c>
      <c r="K2" t="str">
        <f>VLOOKUP(C2,'Reference Data'!$A$4:$B$7,2,FALSE)</f>
        <v>Bob</v>
      </c>
      <c r="L2" s="54">
        <f>IF(G2=G1,SUMIFS($H$2:H2,$K$2:K2,K1,$G$2:G2,G1),Deal_Data[[#This Row],[ Commissionable ARR]])</f>
        <v>6240</v>
      </c>
    </row>
    <row r="3" spans="1:12" ht="15.75" customHeight="1" x14ac:dyDescent="0.2">
      <c r="A3" s="1">
        <v>10281</v>
      </c>
      <c r="B3" s="2">
        <v>44587</v>
      </c>
      <c r="C3" s="1" t="s">
        <v>6</v>
      </c>
      <c r="D3" s="1">
        <v>12</v>
      </c>
      <c r="E3" s="3">
        <v>5114.67</v>
      </c>
      <c r="F3" s="4">
        <v>44615</v>
      </c>
      <c r="G3" s="8" t="str">
        <f>"Q"&amp;ROUNDUP(MONTH(B3)/3,0)</f>
        <v>Q1</v>
      </c>
      <c r="H3" s="3">
        <f>IF(D3&gt;12,((E3/D3)*12),E3)</f>
        <v>5114.67</v>
      </c>
      <c r="I3" s="8" t="str">
        <f>IFERROR("Q"&amp;ROUNDUP(MONTH(F3)/3,0),"First Payment Pending")</f>
        <v>Q1</v>
      </c>
      <c r="J3" s="7">
        <f>_xlfn.IFNA(VLOOKUP(I3,'Reference Data'!$A$72:$B$75,2,FALSE),"First Payment Pending")</f>
        <v>44651</v>
      </c>
      <c r="K3" t="str">
        <f>VLOOKUP(C3,'Reference Data'!$A$4:$B$7,2,FALSE)</f>
        <v>Bob</v>
      </c>
      <c r="L3" s="54">
        <f>IF(G3=G2,SUMIFS($H$2:H3,$K$2:K3,K2,$G$2:G3,G2),Deal_Data[[#This Row],[ Commissionable ARR]])</f>
        <v>11354.67</v>
      </c>
    </row>
    <row r="4" spans="1:12" ht="15.75" customHeight="1" x14ac:dyDescent="0.2">
      <c r="A4" s="1">
        <v>10276</v>
      </c>
      <c r="B4" s="2">
        <v>44588</v>
      </c>
      <c r="C4" s="5" t="s">
        <v>6</v>
      </c>
      <c r="D4" s="1">
        <v>12</v>
      </c>
      <c r="E4" s="3">
        <v>14412</v>
      </c>
      <c r="F4" s="4">
        <v>44593</v>
      </c>
      <c r="G4" s="8" t="str">
        <f>"Q"&amp;ROUNDUP(MONTH(B4)/3,0)</f>
        <v>Q1</v>
      </c>
      <c r="H4" s="3">
        <f>IF(D4&gt;12,((E4/D4)*12),E4)</f>
        <v>14412</v>
      </c>
      <c r="I4" s="8" t="str">
        <f>IFERROR("Q"&amp;ROUNDUP(MONTH(F4)/3,0),"First Payment Pending")</f>
        <v>Q1</v>
      </c>
      <c r="J4" s="7">
        <f>_xlfn.IFNA(VLOOKUP(I4,'Reference Data'!$A$72:$B$75,2,FALSE),"First Payment Pending")</f>
        <v>44651</v>
      </c>
      <c r="K4" t="str">
        <f>VLOOKUP(C4,'Reference Data'!$A$4:$B$7,2,FALSE)</f>
        <v>Bob</v>
      </c>
      <c r="L4" s="54">
        <f>IF(G4=G3,SUMIFS($H$2:H4,$K$2:K4,K3,$G$2:G4,G3),Deal_Data[[#This Row],[ Commissionable ARR]])</f>
        <v>25766.67</v>
      </c>
    </row>
    <row r="5" spans="1:12" ht="15.75" customHeight="1" x14ac:dyDescent="0.2">
      <c r="A5" s="1">
        <v>10271</v>
      </c>
      <c r="B5" s="2">
        <v>44592</v>
      </c>
      <c r="C5" s="1" t="s">
        <v>6</v>
      </c>
      <c r="D5" s="1">
        <v>12</v>
      </c>
      <c r="E5" s="3">
        <v>12000</v>
      </c>
      <c r="F5" s="4">
        <v>44602</v>
      </c>
      <c r="G5" s="8" t="str">
        <f>"Q"&amp;ROUNDUP(MONTH(B5)/3,0)</f>
        <v>Q1</v>
      </c>
      <c r="H5" s="3">
        <f>IF(D5&gt;12,((E5/D5)*12),E5)</f>
        <v>12000</v>
      </c>
      <c r="I5" s="8" t="str">
        <f>IFERROR("Q"&amp;ROUNDUP(MONTH(F5)/3,0),"First Payment Pending")</f>
        <v>Q1</v>
      </c>
      <c r="J5" s="7">
        <f>_xlfn.IFNA(VLOOKUP(I5,'Reference Data'!$A$72:$B$75,2,FALSE),"First Payment Pending")</f>
        <v>44651</v>
      </c>
      <c r="K5" t="str">
        <f>VLOOKUP(C5,'Reference Data'!$A$4:$B$7,2,FALSE)</f>
        <v>Bob</v>
      </c>
      <c r="L5" s="54">
        <f>IF(G5=G4,SUMIFS($H$2:H5,$K$2:K5,K4,$G$2:G5,G4),Deal_Data[[#This Row],[ Commissionable ARR]])</f>
        <v>37766.67</v>
      </c>
    </row>
    <row r="6" spans="1:12" ht="15.75" customHeight="1" x14ac:dyDescent="0.2">
      <c r="A6" s="1">
        <v>10266</v>
      </c>
      <c r="B6" s="2">
        <v>44595</v>
      </c>
      <c r="C6" s="5" t="s">
        <v>6</v>
      </c>
      <c r="D6" s="1">
        <v>36</v>
      </c>
      <c r="E6" s="3">
        <v>18000</v>
      </c>
      <c r="F6" s="4">
        <v>44606</v>
      </c>
      <c r="G6" s="8" t="str">
        <f>"Q"&amp;ROUNDUP(MONTH(B6)/3,0)</f>
        <v>Q1</v>
      </c>
      <c r="H6" s="3">
        <f>IF(D6&gt;12,((E6/D6)*12),E6)</f>
        <v>6000</v>
      </c>
      <c r="I6" s="8" t="str">
        <f>IFERROR("Q"&amp;ROUNDUP(MONTH(F6)/3,0),"First Payment Pending")</f>
        <v>Q1</v>
      </c>
      <c r="J6" s="7">
        <f>_xlfn.IFNA(VLOOKUP(I6,'Reference Data'!$A$72:$B$75,2,FALSE),"First Payment Pending")</f>
        <v>44651</v>
      </c>
      <c r="K6" t="str">
        <f>VLOOKUP(C6,'Reference Data'!$A$4:$B$7,2,FALSE)</f>
        <v>Bob</v>
      </c>
      <c r="L6" s="54">
        <f>IF(G6=G5,SUMIFS($H$2:H6,$K$2:K6,K5,$G$2:G6,G5),Deal_Data[[#This Row],[ Commissionable ARR]])</f>
        <v>43766.67</v>
      </c>
    </row>
    <row r="7" spans="1:12" ht="15.75" customHeight="1" x14ac:dyDescent="0.2">
      <c r="A7" s="1">
        <v>10131</v>
      </c>
      <c r="B7" s="2">
        <v>44606</v>
      </c>
      <c r="C7" s="1" t="s">
        <v>6</v>
      </c>
      <c r="D7" s="1">
        <v>12</v>
      </c>
      <c r="E7" s="3">
        <v>24000</v>
      </c>
      <c r="F7" s="5" t="s">
        <v>10</v>
      </c>
      <c r="G7" s="8" t="str">
        <f>"Q"&amp;ROUNDUP(MONTH(B7)/3,0)</f>
        <v>Q1</v>
      </c>
      <c r="H7" s="3">
        <f>IF(D7&gt;12,((E7/D7)*12),E7)</f>
        <v>24000</v>
      </c>
      <c r="I7" s="8" t="str">
        <f>IFERROR("Q"&amp;ROUNDUP(MONTH(F7)/3,0),"First Payment Pending")</f>
        <v>First Payment Pending</v>
      </c>
      <c r="J7" s="7" t="str">
        <f>_xlfn.IFNA(VLOOKUP(I7,'Reference Data'!$A$72:$B$75,2,FALSE),"First Payment Pending")</f>
        <v>First Payment Pending</v>
      </c>
      <c r="K7" t="str">
        <f>VLOOKUP(C7,'Reference Data'!$A$4:$B$7,2,FALSE)</f>
        <v>Bob</v>
      </c>
      <c r="L7" s="54">
        <f>IF(G7=G6,SUMIFS($H$2:H7,$K$2:K7,K6,$G$2:G7,G6),Deal_Data[[#This Row],[ Commissionable ARR]])</f>
        <v>67766.67</v>
      </c>
    </row>
    <row r="8" spans="1:12" ht="15.75" customHeight="1" x14ac:dyDescent="0.2">
      <c r="A8" s="1">
        <v>10151</v>
      </c>
      <c r="B8" s="2">
        <v>44620</v>
      </c>
      <c r="C8" s="1" t="s">
        <v>6</v>
      </c>
      <c r="D8" s="1">
        <v>24</v>
      </c>
      <c r="E8" s="3">
        <v>4000</v>
      </c>
      <c r="F8" s="4">
        <v>44684</v>
      </c>
      <c r="G8" s="8" t="str">
        <f>"Q"&amp;ROUNDUP(MONTH(B8)/3,0)</f>
        <v>Q1</v>
      </c>
      <c r="H8" s="3">
        <f>IF(D8&gt;12,((E8/D8)*12),E8)</f>
        <v>2000</v>
      </c>
      <c r="I8" s="8" t="str">
        <f>IFERROR("Q"&amp;ROUNDUP(MONTH(F8)/3,0),"First Payment Pending")</f>
        <v>Q2</v>
      </c>
      <c r="J8" s="7">
        <f>_xlfn.IFNA(VLOOKUP(I8,'Reference Data'!$A$72:$B$75,2,FALSE),"First Payment Pending")</f>
        <v>44742</v>
      </c>
      <c r="K8" t="str">
        <f>VLOOKUP(C8,'Reference Data'!$A$4:$B$7,2,FALSE)</f>
        <v>Bob</v>
      </c>
      <c r="L8" s="54">
        <f>IF(G8=G7,SUMIFS($H$2:H8,$K$2:K8,K7,$G$2:G8,G7),Deal_Data[[#This Row],[ Commissionable ARR]])</f>
        <v>69766.67</v>
      </c>
    </row>
    <row r="9" spans="1:12" ht="15.75" customHeight="1" x14ac:dyDescent="0.2">
      <c r="A9" s="1">
        <v>10156</v>
      </c>
      <c r="B9" s="2">
        <v>44620</v>
      </c>
      <c r="C9" s="1" t="s">
        <v>6</v>
      </c>
      <c r="D9" s="1">
        <v>12</v>
      </c>
      <c r="E9" s="3">
        <v>5175</v>
      </c>
      <c r="F9" s="4">
        <v>44685</v>
      </c>
      <c r="G9" s="8" t="str">
        <f>"Q"&amp;ROUNDUP(MONTH(B9)/3,0)</f>
        <v>Q1</v>
      </c>
      <c r="H9" s="3">
        <f>IF(D9&gt;12,((E9/D9)*12),E9)</f>
        <v>5175</v>
      </c>
      <c r="I9" s="8" t="str">
        <f>IFERROR("Q"&amp;ROUNDUP(MONTH(F9)/3,0),"First Payment Pending")</f>
        <v>Q2</v>
      </c>
      <c r="J9" s="7">
        <f>_xlfn.IFNA(VLOOKUP(I9,'Reference Data'!$A$72:$B$75,2,FALSE),"First Payment Pending")</f>
        <v>44742</v>
      </c>
      <c r="K9" t="str">
        <f>VLOOKUP(C9,'Reference Data'!$A$4:$B$7,2,FALSE)</f>
        <v>Bob</v>
      </c>
      <c r="L9" s="54">
        <f>IF(G9=G8,SUMIFS($H$2:H9,$K$2:K9,K8,$G$2:G9,G8),Deal_Data[[#This Row],[ Commissionable ARR]])</f>
        <v>74941.67</v>
      </c>
    </row>
    <row r="10" spans="1:12" ht="15.75" customHeight="1" x14ac:dyDescent="0.2">
      <c r="A10" s="1">
        <v>10291</v>
      </c>
      <c r="B10" s="2">
        <v>44622</v>
      </c>
      <c r="C10" s="1" t="s">
        <v>6</v>
      </c>
      <c r="D10" s="1">
        <v>30</v>
      </c>
      <c r="E10" s="3">
        <v>85000</v>
      </c>
      <c r="F10" s="4">
        <v>44724</v>
      </c>
      <c r="G10" s="8" t="str">
        <f>"Q"&amp;ROUNDUP(MONTH(B10)/3,0)</f>
        <v>Q1</v>
      </c>
      <c r="H10" s="3">
        <f>IF(D10&gt;12,((E10/D10)*12),E10)</f>
        <v>34000</v>
      </c>
      <c r="I10" s="8" t="str">
        <f>IFERROR("Q"&amp;ROUNDUP(MONTH(F10)/3,0),"First Payment Pending")</f>
        <v>Q2</v>
      </c>
      <c r="J10" s="7">
        <f>_xlfn.IFNA(VLOOKUP(I10,'Reference Data'!$A$72:$B$75,2,FALSE),"First Payment Pending")</f>
        <v>44742</v>
      </c>
      <c r="K10" t="str">
        <f>VLOOKUP(C10,'Reference Data'!$A$4:$B$7,2,FALSE)</f>
        <v>Bob</v>
      </c>
      <c r="L10" s="54">
        <f>IF(G10=G9,SUMIFS($H$2:H10,$K$2:K10,K9,$G$2:G10,G9),Deal_Data[[#This Row],[ Commissionable ARR]])</f>
        <v>108941.67</v>
      </c>
    </row>
    <row r="11" spans="1:12" ht="15.75" customHeight="1" x14ac:dyDescent="0.2">
      <c r="A11" s="1">
        <v>10141</v>
      </c>
      <c r="B11" s="2">
        <v>44625</v>
      </c>
      <c r="C11" s="1" t="s">
        <v>6</v>
      </c>
      <c r="D11" s="1">
        <v>12</v>
      </c>
      <c r="E11" s="3">
        <v>20000</v>
      </c>
      <c r="F11" s="4">
        <v>44683</v>
      </c>
      <c r="G11" s="8" t="str">
        <f>"Q"&amp;ROUNDUP(MONTH(B11)/3,0)</f>
        <v>Q1</v>
      </c>
      <c r="H11" s="3">
        <f>IF(D11&gt;12,((E11/D11)*12),E11)</f>
        <v>20000</v>
      </c>
      <c r="I11" s="8" t="str">
        <f>IFERROR("Q"&amp;ROUNDUP(MONTH(F11)/3,0),"First Payment Pending")</f>
        <v>Q2</v>
      </c>
      <c r="J11" s="7">
        <f>_xlfn.IFNA(VLOOKUP(I11,'Reference Data'!$A$72:$B$75,2,FALSE),"First Payment Pending")</f>
        <v>44742</v>
      </c>
      <c r="K11" t="str">
        <f>VLOOKUP(C11,'Reference Data'!$A$4:$B$7,2,FALSE)</f>
        <v>Bob</v>
      </c>
      <c r="L11" s="54">
        <f>IF(G11=G10,SUMIFS($H$2:H11,$K$2:K11,K10,$G$2:G11,G10),Deal_Data[[#This Row],[ Commissionable ARR]])</f>
        <v>128941.67</v>
      </c>
    </row>
    <row r="12" spans="1:12" ht="15.75" customHeight="1" x14ac:dyDescent="0.2">
      <c r="A12" s="1">
        <v>10001</v>
      </c>
      <c r="B12" s="2">
        <v>44633</v>
      </c>
      <c r="C12" s="5" t="s">
        <v>6</v>
      </c>
      <c r="D12" s="1">
        <v>12</v>
      </c>
      <c r="E12" s="3">
        <v>45000</v>
      </c>
      <c r="F12" s="4" t="s">
        <v>10</v>
      </c>
      <c r="G12" s="8" t="str">
        <f>"Q"&amp;ROUNDUP(MONTH(B12)/3,0)</f>
        <v>Q1</v>
      </c>
      <c r="H12" s="3">
        <f>IF(D12&gt;12,((E12/D12)*12),E12)</f>
        <v>45000</v>
      </c>
      <c r="I12" s="8" t="str">
        <f>IFERROR("Q"&amp;ROUNDUP(MONTH(F12)/3,0),"First Payment Pending")</f>
        <v>First Payment Pending</v>
      </c>
      <c r="J12" s="7" t="str">
        <f>_xlfn.IFNA(VLOOKUP(I12,'Reference Data'!$A$72:$B$75,2,FALSE),"First Payment Pending")</f>
        <v>First Payment Pending</v>
      </c>
      <c r="K12" t="str">
        <f>VLOOKUP(C12,'Reference Data'!$A$4:$B$7,2,FALSE)</f>
        <v>Bob</v>
      </c>
      <c r="L12" s="54">
        <f>IF(G12=G11,SUMIFS($H$2:H12,$K$2:K12,K11,$G$2:G12,G11),Deal_Data[[#This Row],[ Commissionable ARR]])</f>
        <v>173941.66999999998</v>
      </c>
    </row>
    <row r="13" spans="1:12" ht="15.75" customHeight="1" x14ac:dyDescent="0.2">
      <c r="A13" s="1">
        <v>10046</v>
      </c>
      <c r="B13" s="2">
        <v>44636</v>
      </c>
      <c r="C13" s="1" t="s">
        <v>6</v>
      </c>
      <c r="D13" s="1">
        <v>12</v>
      </c>
      <c r="E13" s="3">
        <v>3000</v>
      </c>
      <c r="F13" s="4">
        <v>44644</v>
      </c>
      <c r="G13" s="8" t="str">
        <f>"Q"&amp;ROUNDUP(MONTH(B13)/3,0)</f>
        <v>Q1</v>
      </c>
      <c r="H13" s="3">
        <f>IF(D13&gt;12,((E13/D13)*12),E13)</f>
        <v>3000</v>
      </c>
      <c r="I13" s="8" t="str">
        <f>IFERROR("Q"&amp;ROUNDUP(MONTH(F13)/3,0),"First Payment Pending")</f>
        <v>Q1</v>
      </c>
      <c r="J13" s="7">
        <f>_xlfn.IFNA(VLOOKUP(I13,'Reference Data'!$A$72:$B$75,2,FALSE),"First Payment Pending")</f>
        <v>44651</v>
      </c>
      <c r="K13" t="str">
        <f>VLOOKUP(C13,'Reference Data'!$A$4:$B$7,2,FALSE)</f>
        <v>Bob</v>
      </c>
      <c r="L13" s="54">
        <f>IF(G13=G12,SUMIFS($H$2:H13,$K$2:K13,K12,$G$2:G13,G12),Deal_Data[[#This Row],[ Commissionable ARR]])</f>
        <v>176941.66999999998</v>
      </c>
    </row>
    <row r="14" spans="1:12" ht="15.75" customHeight="1" x14ac:dyDescent="0.2">
      <c r="A14" s="1">
        <v>10051</v>
      </c>
      <c r="B14" s="2">
        <v>44636</v>
      </c>
      <c r="C14" s="1" t="s">
        <v>6</v>
      </c>
      <c r="D14" s="1">
        <v>30</v>
      </c>
      <c r="E14" s="3">
        <v>24000</v>
      </c>
      <c r="F14" s="5" t="s">
        <v>10</v>
      </c>
      <c r="G14" s="8" t="str">
        <f>"Q"&amp;ROUNDUP(MONTH(B14)/3,0)</f>
        <v>Q1</v>
      </c>
      <c r="H14" s="3">
        <f>IF(D14&gt;12,((E14/D14)*12),E14)</f>
        <v>9600</v>
      </c>
      <c r="I14" s="8" t="str">
        <f>IFERROR("Q"&amp;ROUNDUP(MONTH(F14)/3,0),"First Payment Pending")</f>
        <v>First Payment Pending</v>
      </c>
      <c r="J14" s="7" t="str">
        <f>_xlfn.IFNA(VLOOKUP(I14,'Reference Data'!$A$72:$B$75,2,FALSE),"First Payment Pending")</f>
        <v>First Payment Pending</v>
      </c>
      <c r="K14" t="str">
        <f>VLOOKUP(C14,'Reference Data'!$A$4:$B$7,2,FALSE)</f>
        <v>Bob</v>
      </c>
      <c r="L14" s="54">
        <f>IF(G14=G13,SUMIFS($H$2:H14,$K$2:K14,K13,$G$2:G14,G13),Deal_Data[[#This Row],[ Commissionable ARR]])</f>
        <v>186541.66999999998</v>
      </c>
    </row>
    <row r="15" spans="1:12" ht="15.75" customHeight="1" x14ac:dyDescent="0.2">
      <c r="A15" s="1">
        <v>10246</v>
      </c>
      <c r="B15" s="2">
        <v>44640</v>
      </c>
      <c r="C15" s="1" t="s">
        <v>6</v>
      </c>
      <c r="D15" s="1">
        <v>12</v>
      </c>
      <c r="E15" s="3">
        <v>7200</v>
      </c>
      <c r="F15" s="4">
        <v>44642</v>
      </c>
      <c r="G15" s="8" t="str">
        <f>"Q"&amp;ROUNDUP(MONTH(B15)/3,0)</f>
        <v>Q1</v>
      </c>
      <c r="H15" s="3">
        <f>IF(D15&gt;12,((E15/D15)*12),E15)</f>
        <v>7200</v>
      </c>
      <c r="I15" s="8" t="str">
        <f>IFERROR("Q"&amp;ROUNDUP(MONTH(F15)/3,0),"First Payment Pending")</f>
        <v>Q1</v>
      </c>
      <c r="J15" s="7">
        <f>_xlfn.IFNA(VLOOKUP(I15,'Reference Data'!$A$72:$B$75,2,FALSE),"First Payment Pending")</f>
        <v>44651</v>
      </c>
      <c r="K15" t="str">
        <f>VLOOKUP(C15,'Reference Data'!$A$4:$B$7,2,FALSE)</f>
        <v>Bob</v>
      </c>
      <c r="L15" s="54">
        <f>IF(G15=G14,SUMIFS($H$2:H15,$K$2:K15,K14,$G$2:G15,G14),Deal_Data[[#This Row],[ Commissionable ARR]])</f>
        <v>193741.66999999998</v>
      </c>
    </row>
    <row r="16" spans="1:12" ht="15.75" customHeight="1" x14ac:dyDescent="0.2">
      <c r="A16" s="1">
        <v>10241</v>
      </c>
      <c r="B16" s="2">
        <v>44642</v>
      </c>
      <c r="C16" s="5" t="s">
        <v>6</v>
      </c>
      <c r="D16" s="1">
        <v>12</v>
      </c>
      <c r="E16" s="3">
        <v>7000</v>
      </c>
      <c r="F16" s="4">
        <v>44678</v>
      </c>
      <c r="G16" s="8" t="str">
        <f>"Q"&amp;ROUNDUP(MONTH(B16)/3,0)</f>
        <v>Q1</v>
      </c>
      <c r="H16" s="3">
        <f>IF(D16&gt;12,((E16/D16)*12),E16)</f>
        <v>7000</v>
      </c>
      <c r="I16" s="8" t="str">
        <f>IFERROR("Q"&amp;ROUNDUP(MONTH(F16)/3,0),"First Payment Pending")</f>
        <v>Q2</v>
      </c>
      <c r="J16" s="7">
        <f>_xlfn.IFNA(VLOOKUP(I16,'Reference Data'!$A$72:$B$75,2,FALSE),"First Payment Pending")</f>
        <v>44742</v>
      </c>
      <c r="K16" t="str">
        <f>VLOOKUP(C16,'Reference Data'!$A$4:$B$7,2,FALSE)</f>
        <v>Bob</v>
      </c>
      <c r="L16" s="54">
        <f>IF(G16=G15,SUMIFS($H$2:H16,$K$2:K16,K15,$G$2:G16,G15),Deal_Data[[#This Row],[ Commissionable ARR]])</f>
        <v>200741.66999999998</v>
      </c>
    </row>
    <row r="17" spans="1:12" ht="15.75" customHeight="1" x14ac:dyDescent="0.2">
      <c r="A17" s="1">
        <v>10036</v>
      </c>
      <c r="B17" s="2">
        <v>44646</v>
      </c>
      <c r="C17" s="1" t="s">
        <v>6</v>
      </c>
      <c r="D17" s="1">
        <v>30</v>
      </c>
      <c r="E17" s="3">
        <v>12000</v>
      </c>
      <c r="F17" s="4">
        <v>44720</v>
      </c>
      <c r="G17" s="8" t="str">
        <f>"Q"&amp;ROUNDUP(MONTH(B17)/3,0)</f>
        <v>Q1</v>
      </c>
      <c r="H17" s="3">
        <f>IF(D17&gt;12,((E17/D17)*12),E17)</f>
        <v>4800</v>
      </c>
      <c r="I17" s="8" t="str">
        <f>IFERROR("Q"&amp;ROUNDUP(MONTH(F17)/3,0),"First Payment Pending")</f>
        <v>Q2</v>
      </c>
      <c r="J17" s="7">
        <f>_xlfn.IFNA(VLOOKUP(I17,'Reference Data'!$A$72:$B$75,2,FALSE),"First Payment Pending")</f>
        <v>44742</v>
      </c>
      <c r="K17" t="str">
        <f>VLOOKUP(C17,'Reference Data'!$A$4:$B$7,2,FALSE)</f>
        <v>Bob</v>
      </c>
      <c r="L17" s="54">
        <f>IF(G17=G16,SUMIFS($H$2:H17,$K$2:K17,K16,$G$2:G17,G16),Deal_Data[[#This Row],[ Commissionable ARR]])</f>
        <v>205541.66999999998</v>
      </c>
    </row>
    <row r="18" spans="1:12" ht="15.75" customHeight="1" x14ac:dyDescent="0.2">
      <c r="A18" s="1">
        <v>10206</v>
      </c>
      <c r="B18" s="2">
        <v>44649</v>
      </c>
      <c r="C18" s="5" t="s">
        <v>6</v>
      </c>
      <c r="D18" s="1">
        <v>12</v>
      </c>
      <c r="E18" s="3">
        <v>18000</v>
      </c>
      <c r="F18" s="4">
        <v>44674</v>
      </c>
      <c r="G18" s="8" t="str">
        <f>"Q"&amp;ROUNDUP(MONTH(B18)/3,0)</f>
        <v>Q1</v>
      </c>
      <c r="H18" s="3">
        <f>IF(D18&gt;12,((E18/D18)*12),E18)</f>
        <v>18000</v>
      </c>
      <c r="I18" s="8" t="str">
        <f>IFERROR("Q"&amp;ROUNDUP(MONTH(F18)/3,0),"First Payment Pending")</f>
        <v>Q2</v>
      </c>
      <c r="J18" s="7">
        <f>_xlfn.IFNA(VLOOKUP(I18,'Reference Data'!$A$72:$B$75,2,FALSE),"First Payment Pending")</f>
        <v>44742</v>
      </c>
      <c r="K18" t="str">
        <f>VLOOKUP(C18,'Reference Data'!$A$4:$B$7,2,FALSE)</f>
        <v>Bob</v>
      </c>
      <c r="L18" s="54">
        <f>IF(G18=G17,SUMIFS($H$2:H18,$K$2:K18,K17,$G$2:G18,G17),Deal_Data[[#This Row],[ Commissionable ARR]])</f>
        <v>223541.66999999998</v>
      </c>
    </row>
    <row r="19" spans="1:12" ht="15.75" customHeight="1" x14ac:dyDescent="0.2">
      <c r="A19" s="1">
        <v>10216</v>
      </c>
      <c r="B19" s="2">
        <v>44649</v>
      </c>
      <c r="C19" s="1" t="s">
        <v>6</v>
      </c>
      <c r="D19" s="1">
        <v>12</v>
      </c>
      <c r="E19" s="3">
        <v>18000</v>
      </c>
      <c r="F19" s="4">
        <v>44683</v>
      </c>
      <c r="G19" s="8" t="str">
        <f>"Q"&amp;ROUNDUP(MONTH(B19)/3,0)</f>
        <v>Q1</v>
      </c>
      <c r="H19" s="3">
        <f>IF(D19&gt;12,((E19/D19)*12),E19)</f>
        <v>18000</v>
      </c>
      <c r="I19" s="8" t="str">
        <f>IFERROR("Q"&amp;ROUNDUP(MONTH(F19)/3,0),"First Payment Pending")</f>
        <v>Q2</v>
      </c>
      <c r="J19" s="7">
        <f>_xlfn.IFNA(VLOOKUP(I19,'Reference Data'!$A$72:$B$75,2,FALSE),"First Payment Pending")</f>
        <v>44742</v>
      </c>
      <c r="K19" t="str">
        <f>VLOOKUP(C19,'Reference Data'!$A$4:$B$7,2,FALSE)</f>
        <v>Bob</v>
      </c>
      <c r="L19" s="54">
        <f>IF(G19=G18,SUMIFS($H$2:H19,$K$2:K19,K18,$G$2:G19,G18),Deal_Data[[#This Row],[ Commissionable ARR]])</f>
        <v>241541.66999999998</v>
      </c>
    </row>
    <row r="20" spans="1:12" ht="15.75" customHeight="1" x14ac:dyDescent="0.2">
      <c r="A20" s="1">
        <v>10226</v>
      </c>
      <c r="B20" s="2">
        <v>44649</v>
      </c>
      <c r="C20" s="5" t="s">
        <v>6</v>
      </c>
      <c r="D20" s="1">
        <v>12</v>
      </c>
      <c r="E20" s="3">
        <v>9000</v>
      </c>
      <c r="F20" s="4" t="s">
        <v>10</v>
      </c>
      <c r="G20" s="8" t="str">
        <f>"Q"&amp;ROUNDUP(MONTH(B20)/3,0)</f>
        <v>Q1</v>
      </c>
      <c r="H20" s="3">
        <f>IF(D20&gt;12,((E20/D20)*12),E20)</f>
        <v>9000</v>
      </c>
      <c r="I20" s="8" t="str">
        <f>IFERROR("Q"&amp;ROUNDUP(MONTH(F20)/3,0),"First Payment Pending")</f>
        <v>First Payment Pending</v>
      </c>
      <c r="J20" s="7" t="str">
        <f>_xlfn.IFNA(VLOOKUP(I20,'Reference Data'!$A$72:$B$75,2,FALSE),"First Payment Pending")</f>
        <v>First Payment Pending</v>
      </c>
      <c r="K20" t="str">
        <f>VLOOKUP(C20,'Reference Data'!$A$4:$B$7,2,FALSE)</f>
        <v>Bob</v>
      </c>
      <c r="L20" s="54">
        <f>IF(G20=G19,SUMIFS($H$2:H20,$K$2:K20,K19,$G$2:G20,G19),Deal_Data[[#This Row],[ Commissionable ARR]])</f>
        <v>250541.66999999998</v>
      </c>
    </row>
    <row r="21" spans="1:12" ht="15.75" customHeight="1" x14ac:dyDescent="0.2">
      <c r="A21" s="1">
        <v>10221</v>
      </c>
      <c r="B21" s="2">
        <v>44650</v>
      </c>
      <c r="C21" s="5" t="s">
        <v>6</v>
      </c>
      <c r="D21" s="1">
        <v>12</v>
      </c>
      <c r="E21" s="3">
        <v>29000</v>
      </c>
      <c r="F21" s="4">
        <v>44719</v>
      </c>
      <c r="G21" s="8" t="str">
        <f>"Q"&amp;ROUNDUP(MONTH(B21)/3,0)</f>
        <v>Q1</v>
      </c>
      <c r="H21" s="3">
        <f>IF(D21&gt;12,((E21/D21)*12),E21)</f>
        <v>29000</v>
      </c>
      <c r="I21" s="8" t="str">
        <f>IFERROR("Q"&amp;ROUNDUP(MONTH(F21)/3,0),"First Payment Pending")</f>
        <v>Q2</v>
      </c>
      <c r="J21" s="7">
        <f>_xlfn.IFNA(VLOOKUP(I21,'Reference Data'!$A$72:$B$75,2,FALSE),"First Payment Pending")</f>
        <v>44742</v>
      </c>
      <c r="K21" t="str">
        <f>VLOOKUP(C21,'Reference Data'!$A$4:$B$7,2,FALSE)</f>
        <v>Bob</v>
      </c>
      <c r="L21" s="54">
        <f>IF(G21=G20,SUMIFS($H$2:H21,$K$2:K21,K20,$G$2:G21,G20),Deal_Data[[#This Row],[ Commissionable ARR]])</f>
        <v>279541.67</v>
      </c>
    </row>
    <row r="22" spans="1:12" ht="15.75" customHeight="1" x14ac:dyDescent="0.2">
      <c r="A22" s="1">
        <v>10186</v>
      </c>
      <c r="B22" s="2">
        <v>44651</v>
      </c>
      <c r="C22" s="5" t="s">
        <v>6</v>
      </c>
      <c r="D22" s="1">
        <v>12</v>
      </c>
      <c r="E22" s="3">
        <v>7000</v>
      </c>
      <c r="F22" s="4">
        <v>44664</v>
      </c>
      <c r="G22" s="8" t="str">
        <f>"Q"&amp;ROUNDUP(MONTH(B22)/3,0)</f>
        <v>Q1</v>
      </c>
      <c r="H22" s="3">
        <f>IF(D22&gt;12,((E22/D22)*12),E22)</f>
        <v>7000</v>
      </c>
      <c r="I22" s="8" t="str">
        <f>IFERROR("Q"&amp;ROUNDUP(MONTH(F22)/3,0),"First Payment Pending")</f>
        <v>Q2</v>
      </c>
      <c r="J22" s="7">
        <f>_xlfn.IFNA(VLOOKUP(I22,'Reference Data'!$A$72:$B$75,2,FALSE),"First Payment Pending")</f>
        <v>44742</v>
      </c>
      <c r="K22" t="str">
        <f>VLOOKUP(C22,'Reference Data'!$A$4:$B$7,2,FALSE)</f>
        <v>Bob</v>
      </c>
      <c r="L22" s="54">
        <f>IF(G22=G21,SUMIFS($H$2:H22,$K$2:K22,K21,$G$2:G22,G21),Deal_Data[[#This Row],[ Commissionable ARR]])</f>
        <v>286541.67</v>
      </c>
    </row>
    <row r="23" spans="1:12" ht="15.75" customHeight="1" x14ac:dyDescent="0.2">
      <c r="A23" s="1">
        <v>10191</v>
      </c>
      <c r="B23" s="2">
        <v>44651</v>
      </c>
      <c r="C23" s="5" t="s">
        <v>6</v>
      </c>
      <c r="D23" s="1">
        <v>12</v>
      </c>
      <c r="E23" s="3">
        <v>15000</v>
      </c>
      <c r="F23" s="4">
        <v>44721</v>
      </c>
      <c r="G23" s="8" t="str">
        <f>"Q"&amp;ROUNDUP(MONTH(B23)/3,0)</f>
        <v>Q1</v>
      </c>
      <c r="H23" s="3">
        <f>IF(D23&gt;12,((E23/D23)*12),E23)</f>
        <v>15000</v>
      </c>
      <c r="I23" s="8" t="str">
        <f>IFERROR("Q"&amp;ROUNDUP(MONTH(F23)/3,0),"First Payment Pending")</f>
        <v>Q2</v>
      </c>
      <c r="J23" s="7">
        <f>_xlfn.IFNA(VLOOKUP(I23,'Reference Data'!$A$72:$B$75,2,FALSE),"First Payment Pending")</f>
        <v>44742</v>
      </c>
      <c r="K23" t="str">
        <f>VLOOKUP(C23,'Reference Data'!$A$4:$B$7,2,FALSE)</f>
        <v>Bob</v>
      </c>
      <c r="L23" s="54">
        <f>IF(G23=G22,SUMIFS($H$2:H23,$K$2:K23,K22,$G$2:G23,G22),Deal_Data[[#This Row],[ Commissionable ARR]])</f>
        <v>301541.67</v>
      </c>
    </row>
    <row r="24" spans="1:12" ht="15.75" customHeight="1" x14ac:dyDescent="0.2">
      <c r="A24" s="1">
        <v>10196</v>
      </c>
      <c r="B24" s="2">
        <v>44652</v>
      </c>
      <c r="C24" s="1" t="s">
        <v>6</v>
      </c>
      <c r="D24" s="1">
        <v>20</v>
      </c>
      <c r="E24" s="3">
        <v>70200</v>
      </c>
      <c r="F24" s="4">
        <v>44664</v>
      </c>
      <c r="G24" s="8" t="str">
        <f>"Q"&amp;ROUNDUP(MONTH(B24)/3,0)</f>
        <v>Q2</v>
      </c>
      <c r="H24" s="3">
        <f>IF(D24&gt;12,((E24/D24)*12),E24)</f>
        <v>42120</v>
      </c>
      <c r="I24" s="8" t="str">
        <f>IFERROR("Q"&amp;ROUNDUP(MONTH(F24)/3,0),"First Payment Pending")</f>
        <v>Q2</v>
      </c>
      <c r="J24" s="7">
        <f>_xlfn.IFNA(VLOOKUP(I24,'Reference Data'!$A$72:$B$75,2,FALSE),"First Payment Pending")</f>
        <v>44742</v>
      </c>
      <c r="K24" t="str">
        <f>VLOOKUP(C24,'Reference Data'!$A$4:$B$7,2,FALSE)</f>
        <v>Bob</v>
      </c>
      <c r="L24" s="54">
        <f>IF(G24=G23,SUMIFS($H$2:H24,$K$2:K24,K23,$G$2:G24,G23),Deal_Data[[#This Row],[ Commissionable ARR]])</f>
        <v>42120</v>
      </c>
    </row>
    <row r="25" spans="1:12" ht="15.75" customHeight="1" x14ac:dyDescent="0.2">
      <c r="A25" s="1">
        <v>10181</v>
      </c>
      <c r="B25" s="2">
        <v>44668</v>
      </c>
      <c r="C25" s="1" t="s">
        <v>6</v>
      </c>
      <c r="D25" s="1">
        <v>12</v>
      </c>
      <c r="E25" s="3">
        <v>948</v>
      </c>
      <c r="F25" s="4">
        <v>44705</v>
      </c>
      <c r="G25" s="8" t="str">
        <f>"Q"&amp;ROUNDUP(MONTH(B25)/3,0)</f>
        <v>Q2</v>
      </c>
      <c r="H25" s="3">
        <f>IF(D25&gt;12,((E25/D25)*12),E25)</f>
        <v>948</v>
      </c>
      <c r="I25" s="8" t="str">
        <f>IFERROR("Q"&amp;ROUNDUP(MONTH(F25)/3,0),"First Payment Pending")</f>
        <v>Q2</v>
      </c>
      <c r="J25" s="7">
        <f>_xlfn.IFNA(VLOOKUP(I25,'Reference Data'!$A$72:$B$75,2,FALSE),"First Payment Pending")</f>
        <v>44742</v>
      </c>
      <c r="K25" t="str">
        <f>VLOOKUP(C25,'Reference Data'!$A$4:$B$7,2,FALSE)</f>
        <v>Bob</v>
      </c>
      <c r="L25" s="54">
        <f>IF(G25=G24,SUMIFS($H$2:H25,$K$2:K25,K24,$G$2:G25,G24),Deal_Data[[#This Row],[ Commissionable ARR]])</f>
        <v>43068</v>
      </c>
    </row>
    <row r="26" spans="1:12" ht="15.75" customHeight="1" x14ac:dyDescent="0.2">
      <c r="A26" s="1">
        <v>10011</v>
      </c>
      <c r="B26" s="2">
        <v>44675</v>
      </c>
      <c r="C26" s="5" t="s">
        <v>6</v>
      </c>
      <c r="D26" s="1">
        <v>36</v>
      </c>
      <c r="E26" s="3">
        <v>30000</v>
      </c>
      <c r="F26" s="5" t="s">
        <v>10</v>
      </c>
      <c r="G26" s="8" t="str">
        <f>"Q"&amp;ROUNDUP(MONTH(B26)/3,0)</f>
        <v>Q2</v>
      </c>
      <c r="H26" s="3">
        <f>IF(D26&gt;12,((E26/D26)*12),E26)</f>
        <v>10000</v>
      </c>
      <c r="I26" s="8" t="str">
        <f>IFERROR("Q"&amp;ROUNDUP(MONTH(F26)/3,0),"First Payment Pending")</f>
        <v>First Payment Pending</v>
      </c>
      <c r="J26" s="7" t="str">
        <f>_xlfn.IFNA(VLOOKUP(I26,'Reference Data'!$A$72:$B$75,2,FALSE),"First Payment Pending")</f>
        <v>First Payment Pending</v>
      </c>
      <c r="K26" t="str">
        <f>VLOOKUP(C26,'Reference Data'!$A$4:$B$7,2,FALSE)</f>
        <v>Bob</v>
      </c>
      <c r="L26" s="54">
        <f>IF(G26=G25,SUMIFS($H$2:H26,$K$2:K26,K25,$G$2:G26,G25),Deal_Data[[#This Row],[ Commissionable ARR]])</f>
        <v>53068</v>
      </c>
    </row>
    <row r="27" spans="1:12" ht="15.75" customHeight="1" x14ac:dyDescent="0.2">
      <c r="A27" s="1">
        <v>10016</v>
      </c>
      <c r="B27" s="2">
        <v>44678</v>
      </c>
      <c r="C27" s="1" t="s">
        <v>6</v>
      </c>
      <c r="D27" s="1">
        <v>36</v>
      </c>
      <c r="E27" s="3">
        <v>15000</v>
      </c>
      <c r="F27" s="5" t="s">
        <v>10</v>
      </c>
      <c r="G27" s="8" t="str">
        <f>"Q"&amp;ROUNDUP(MONTH(B27)/3,0)</f>
        <v>Q2</v>
      </c>
      <c r="H27" s="3">
        <f>IF(D27&gt;12,((E27/D27)*12),E27)</f>
        <v>5000</v>
      </c>
      <c r="I27" s="8" t="str">
        <f>IFERROR("Q"&amp;ROUNDUP(MONTH(F27)/3,0),"First Payment Pending")</f>
        <v>First Payment Pending</v>
      </c>
      <c r="J27" s="7" t="str">
        <f>_xlfn.IFNA(VLOOKUP(I27,'Reference Data'!$A$72:$B$75,2,FALSE),"First Payment Pending")</f>
        <v>First Payment Pending</v>
      </c>
      <c r="K27" t="str">
        <f>VLOOKUP(C27,'Reference Data'!$A$4:$B$7,2,FALSE)</f>
        <v>Bob</v>
      </c>
      <c r="L27" s="54">
        <f>IF(G27=G26,SUMIFS($H$2:H27,$K$2:K27,K26,$G$2:G27,G26),Deal_Data[[#This Row],[ Commissionable ARR]])</f>
        <v>58068</v>
      </c>
    </row>
    <row r="28" spans="1:12" ht="15.75" customHeight="1" x14ac:dyDescent="0.2">
      <c r="A28" s="1">
        <v>10296</v>
      </c>
      <c r="B28" s="2">
        <v>44679</v>
      </c>
      <c r="C28" s="5" t="s">
        <v>6</v>
      </c>
      <c r="D28" s="1">
        <v>12</v>
      </c>
      <c r="E28" s="3">
        <v>20000</v>
      </c>
      <c r="F28" s="4">
        <v>44718</v>
      </c>
      <c r="G28" s="8" t="str">
        <f>"Q"&amp;ROUNDUP(MONTH(B28)/3,0)</f>
        <v>Q2</v>
      </c>
      <c r="H28" s="3">
        <f>IF(D28&gt;12,((E28/D28)*12),E28)</f>
        <v>20000</v>
      </c>
      <c r="I28" s="8" t="str">
        <f>IFERROR("Q"&amp;ROUNDUP(MONTH(F28)/3,0),"First Payment Pending")</f>
        <v>Q2</v>
      </c>
      <c r="J28" s="7">
        <f>_xlfn.IFNA(VLOOKUP(I28,'Reference Data'!$A$72:$B$75,2,FALSE),"First Payment Pending")</f>
        <v>44742</v>
      </c>
      <c r="K28" t="str">
        <f>VLOOKUP(C28,'Reference Data'!$A$4:$B$7,2,FALSE)</f>
        <v>Bob</v>
      </c>
      <c r="L28" s="54">
        <f>IF(G28=G27,SUMIFS($H$2:H28,$K$2:K28,K27,$G$2:G28,G27),Deal_Data[[#This Row],[ Commissionable ARR]])</f>
        <v>78068</v>
      </c>
    </row>
    <row r="29" spans="1:12" ht="15.75" customHeight="1" x14ac:dyDescent="0.2">
      <c r="A29" s="1">
        <v>10006</v>
      </c>
      <c r="B29" s="2">
        <v>44682</v>
      </c>
      <c r="C29" s="1" t="s">
        <v>6</v>
      </c>
      <c r="D29" s="1">
        <v>12</v>
      </c>
      <c r="E29" s="3">
        <v>4500</v>
      </c>
      <c r="F29" s="5" t="s">
        <v>10</v>
      </c>
      <c r="G29" s="8" t="str">
        <f>"Q"&amp;ROUNDUP(MONTH(B29)/3,0)</f>
        <v>Q2</v>
      </c>
      <c r="H29" s="3">
        <f>IF(D29&gt;12,((E29/D29)*12),E29)</f>
        <v>4500</v>
      </c>
      <c r="I29" s="8" t="str">
        <f>IFERROR("Q"&amp;ROUNDUP(MONTH(F29)/3,0),"First Payment Pending")</f>
        <v>First Payment Pending</v>
      </c>
      <c r="J29" s="7" t="str">
        <f>_xlfn.IFNA(VLOOKUP(I29,'Reference Data'!$A$72:$B$75,2,FALSE),"First Payment Pending")</f>
        <v>First Payment Pending</v>
      </c>
      <c r="K29" t="str">
        <f>VLOOKUP(C29,'Reference Data'!$A$4:$B$7,2,FALSE)</f>
        <v>Bob</v>
      </c>
      <c r="L29" s="54">
        <f>IF(G29=G28,SUMIFS($H$2:H29,$K$2:K29,K28,$G$2:G29,G28),Deal_Data[[#This Row],[ Commissionable ARR]])</f>
        <v>82568</v>
      </c>
    </row>
    <row r="30" spans="1:12" ht="15.75" customHeight="1" x14ac:dyDescent="0.2">
      <c r="A30" s="1">
        <v>10301</v>
      </c>
      <c r="B30" s="2">
        <v>44692</v>
      </c>
      <c r="C30" s="5" t="s">
        <v>6</v>
      </c>
      <c r="D30" s="1">
        <v>30</v>
      </c>
      <c r="E30" s="3">
        <v>15000</v>
      </c>
      <c r="F30" s="4">
        <v>44740</v>
      </c>
      <c r="G30" s="8" t="str">
        <f>"Q"&amp;ROUNDUP(MONTH(B30)/3,0)</f>
        <v>Q2</v>
      </c>
      <c r="H30" s="3">
        <f>IF(D30&gt;12,((E30/D30)*12),E30)</f>
        <v>6000</v>
      </c>
      <c r="I30" s="8" t="str">
        <f>IFERROR("Q"&amp;ROUNDUP(MONTH(F30)/3,0),"First Payment Pending")</f>
        <v>Q2</v>
      </c>
      <c r="J30" s="7">
        <f>_xlfn.IFNA(VLOOKUP(I30,'Reference Data'!$A$72:$B$75,2,FALSE),"First Payment Pending")</f>
        <v>44742</v>
      </c>
      <c r="K30" t="str">
        <f>VLOOKUP(C30,'Reference Data'!$A$4:$B$7,2,FALSE)</f>
        <v>Bob</v>
      </c>
      <c r="L30" s="54">
        <f>IF(G30=G29,SUMIFS($H$2:H30,$K$2:K30,K29,$G$2:G30,G29),Deal_Data[[#This Row],[ Commissionable ARR]])</f>
        <v>88568</v>
      </c>
    </row>
    <row r="31" spans="1:12" ht="15.75" customHeight="1" x14ac:dyDescent="0.2">
      <c r="A31" s="1">
        <v>10236</v>
      </c>
      <c r="B31" s="2">
        <v>44707</v>
      </c>
      <c r="C31" s="1" t="s">
        <v>6</v>
      </c>
      <c r="D31" s="1">
        <v>20</v>
      </c>
      <c r="E31" s="3">
        <v>20000</v>
      </c>
      <c r="F31" s="4">
        <v>44721</v>
      </c>
      <c r="G31" s="8" t="str">
        <f>"Q"&amp;ROUNDUP(MONTH(B31)/3,0)</f>
        <v>Q2</v>
      </c>
      <c r="H31" s="3">
        <f>IF(D31&gt;12,((E31/D31)*12),E31)</f>
        <v>12000</v>
      </c>
      <c r="I31" s="8" t="str">
        <f>IFERROR("Q"&amp;ROUNDUP(MONTH(F31)/3,0),"First Payment Pending")</f>
        <v>Q2</v>
      </c>
      <c r="J31" s="7">
        <f>_xlfn.IFNA(VLOOKUP(I31,'Reference Data'!$A$72:$B$75,2,FALSE),"First Payment Pending")</f>
        <v>44742</v>
      </c>
      <c r="K31" t="str">
        <f>VLOOKUP(C31,'Reference Data'!$A$4:$B$7,2,FALSE)</f>
        <v>Bob</v>
      </c>
      <c r="L31" s="54">
        <f>IF(G31=G30,SUMIFS($H$2:H31,$K$2:K31,K30,$G$2:G31,G30),Deal_Data[[#This Row],[ Commissionable ARR]])</f>
        <v>100568</v>
      </c>
    </row>
    <row r="32" spans="1:12" ht="15.75" customHeight="1" x14ac:dyDescent="0.2">
      <c r="A32" s="1">
        <v>10316</v>
      </c>
      <c r="B32" s="2">
        <v>44714</v>
      </c>
      <c r="C32" s="5" t="s">
        <v>6</v>
      </c>
      <c r="D32" s="1">
        <v>16</v>
      </c>
      <c r="E32" s="3">
        <v>4295</v>
      </c>
      <c r="F32" s="4">
        <v>44732</v>
      </c>
      <c r="G32" s="8" t="str">
        <f>"Q"&amp;ROUNDUP(MONTH(B32)/3,0)</f>
        <v>Q2</v>
      </c>
      <c r="H32" s="3">
        <f>IF(D32&gt;12,((E32/D32)*12),E32)</f>
        <v>3221.25</v>
      </c>
      <c r="I32" s="8" t="str">
        <f>IFERROR("Q"&amp;ROUNDUP(MONTH(F32)/3,0),"First Payment Pending")</f>
        <v>Q2</v>
      </c>
      <c r="J32" s="7">
        <f>_xlfn.IFNA(VLOOKUP(I32,'Reference Data'!$A$72:$B$75,2,FALSE),"First Payment Pending")</f>
        <v>44742</v>
      </c>
      <c r="K32" t="str">
        <f>VLOOKUP(C32,'Reference Data'!$A$4:$B$7,2,FALSE)</f>
        <v>Bob</v>
      </c>
      <c r="L32" s="54">
        <f>IF(G32=G31,SUMIFS($H$2:H32,$K$2:K32,K31,$G$2:G32,G31),Deal_Data[[#This Row],[ Commissionable ARR]])</f>
        <v>103789.25</v>
      </c>
    </row>
    <row r="33" spans="1:12" ht="15.75" customHeight="1" x14ac:dyDescent="0.2">
      <c r="A33" s="1">
        <v>10306</v>
      </c>
      <c r="B33" s="2">
        <v>44732</v>
      </c>
      <c r="C33" s="1" t="s">
        <v>6</v>
      </c>
      <c r="D33" s="1">
        <v>12</v>
      </c>
      <c r="E33" s="3">
        <v>9000</v>
      </c>
      <c r="F33" s="4">
        <v>44739</v>
      </c>
      <c r="G33" s="8" t="str">
        <f>"Q"&amp;ROUNDUP(MONTH(B33)/3,0)</f>
        <v>Q2</v>
      </c>
      <c r="H33" s="3">
        <f>IF(D33&gt;12,((E33/D33)*12),E33)</f>
        <v>9000</v>
      </c>
      <c r="I33" s="8" t="str">
        <f>IFERROR("Q"&amp;ROUNDUP(MONTH(F33)/3,0),"First Payment Pending")</f>
        <v>Q2</v>
      </c>
      <c r="J33" s="7">
        <f>_xlfn.IFNA(VLOOKUP(I33,'Reference Data'!$A$72:$B$75,2,FALSE),"First Payment Pending")</f>
        <v>44742</v>
      </c>
      <c r="K33" t="str">
        <f>VLOOKUP(C33,'Reference Data'!$A$4:$B$7,2,FALSE)</f>
        <v>Bob</v>
      </c>
      <c r="L33" s="54">
        <f>IF(G33=G32,SUMIFS($H$2:H33,$K$2:K33,K32,$G$2:G33,G32),Deal_Data[[#This Row],[ Commissionable ARR]])</f>
        <v>112789.25</v>
      </c>
    </row>
    <row r="34" spans="1:12" ht="15.75" customHeight="1" x14ac:dyDescent="0.2">
      <c r="A34" s="1">
        <v>10311</v>
      </c>
      <c r="B34" s="2">
        <v>44732</v>
      </c>
      <c r="C34" s="5" t="s">
        <v>6</v>
      </c>
      <c r="D34" s="1">
        <v>12</v>
      </c>
      <c r="E34" s="3">
        <v>27500</v>
      </c>
      <c r="F34" s="4">
        <v>44713</v>
      </c>
      <c r="G34" s="8" t="str">
        <f>"Q"&amp;ROUNDUP(MONTH(B34)/3,0)</f>
        <v>Q2</v>
      </c>
      <c r="H34" s="3">
        <f>IF(D34&gt;12,((E34/D34)*12),E34)</f>
        <v>27500</v>
      </c>
      <c r="I34" s="8" t="str">
        <f>IFERROR("Q"&amp;ROUNDUP(MONTH(F34)/3,0),"First Payment Pending")</f>
        <v>Q2</v>
      </c>
      <c r="J34" s="7">
        <f>_xlfn.IFNA(VLOOKUP(I34,'Reference Data'!$A$72:$B$75,2,FALSE),"First Payment Pending")</f>
        <v>44742</v>
      </c>
      <c r="K34" t="str">
        <f>VLOOKUP(C34,'Reference Data'!$A$4:$B$7,2,FALSE)</f>
        <v>Bob</v>
      </c>
      <c r="L34" s="54">
        <f>IF(G34=G33,SUMIFS($H$2:H34,$K$2:K34,K33,$G$2:G34,G33),Deal_Data[[#This Row],[ Commissionable ARR]])</f>
        <v>140289.25</v>
      </c>
    </row>
    <row r="35" spans="1:12" ht="15.75" customHeight="1" x14ac:dyDescent="0.2">
      <c r="A35" s="1">
        <v>10272</v>
      </c>
      <c r="B35" s="2">
        <v>44572</v>
      </c>
      <c r="C35" s="1" t="s">
        <v>7</v>
      </c>
      <c r="D35" s="1">
        <v>36</v>
      </c>
      <c r="E35" s="3">
        <v>1800</v>
      </c>
      <c r="F35" s="4">
        <v>44593</v>
      </c>
      <c r="G35" s="8" t="str">
        <f>"Q"&amp;ROUNDUP(MONTH(B35)/3,0)</f>
        <v>Q1</v>
      </c>
      <c r="H35" s="3">
        <f>IF(D35&gt;12,((E35/D35)*12),E35)</f>
        <v>600</v>
      </c>
      <c r="I35" s="8" t="str">
        <f>IFERROR("Q"&amp;ROUNDUP(MONTH(F35)/3,0),"First Payment Pending")</f>
        <v>Q1</v>
      </c>
      <c r="J35" s="7">
        <f>_xlfn.IFNA(VLOOKUP(I35,'Reference Data'!$A$72:$B$75,2,FALSE),"First Payment Pending")</f>
        <v>44651</v>
      </c>
      <c r="K35" t="str">
        <f>VLOOKUP(C35,'Reference Data'!$A$4:$B$7,2,FALSE)</f>
        <v>Jane</v>
      </c>
      <c r="L35" s="54">
        <f>IF(G35=G34,SUMIFS($H$2:H35,$K$2:K35,K34,$G$2:G35,G34),Deal_Data[[#This Row],[ Commissionable ARR]])</f>
        <v>600</v>
      </c>
    </row>
    <row r="36" spans="1:12" ht="15.75" customHeight="1" x14ac:dyDescent="0.2">
      <c r="A36" s="1">
        <v>10237</v>
      </c>
      <c r="B36" s="2">
        <v>44581</v>
      </c>
      <c r="C36" s="1" t="s">
        <v>7</v>
      </c>
      <c r="D36" s="1">
        <v>20</v>
      </c>
      <c r="E36" s="3">
        <v>17000</v>
      </c>
      <c r="F36" s="4">
        <v>44539</v>
      </c>
      <c r="G36" s="8" t="str">
        <f>"Q"&amp;ROUNDUP(MONTH(B36)/3,0)</f>
        <v>Q1</v>
      </c>
      <c r="H36" s="3">
        <f>IF(D36&gt;12,((E36/D36)*12),E36)</f>
        <v>10200</v>
      </c>
      <c r="I36" s="10"/>
      <c r="J36" s="7" t="str">
        <f>_xlfn.IFNA(VLOOKUP(I36,'Reference Data'!$A$72:$B$75,2,FALSE),"First Payment Pending")</f>
        <v>First Payment Pending</v>
      </c>
      <c r="K36" t="str">
        <f>VLOOKUP(C36,'Reference Data'!$A$4:$B$7,2,FALSE)</f>
        <v>Jane</v>
      </c>
      <c r="L36" s="54">
        <f>IF(G36=G35,SUMIFS($H$2:H36,$K$2:K36,K35,$G$2:G36,G35),Deal_Data[[#This Row],[ Commissionable ARR]])</f>
        <v>10800</v>
      </c>
    </row>
    <row r="37" spans="1:12" ht="15.75" customHeight="1" x14ac:dyDescent="0.2">
      <c r="A37" s="1">
        <v>10282</v>
      </c>
      <c r="B37" s="2">
        <v>44593</v>
      </c>
      <c r="C37" s="1" t="s">
        <v>7</v>
      </c>
      <c r="D37" s="1">
        <v>36</v>
      </c>
      <c r="E37" s="3">
        <v>6589</v>
      </c>
      <c r="F37" s="4">
        <v>44614</v>
      </c>
      <c r="G37" s="8" t="str">
        <f>"Q"&amp;ROUNDUP(MONTH(B37)/3,0)</f>
        <v>Q1</v>
      </c>
      <c r="H37" s="3">
        <f>IF(D37&gt;12,((E37/D37)*12),E37)</f>
        <v>2196.333333333333</v>
      </c>
      <c r="I37" s="8" t="str">
        <f>IFERROR("Q"&amp;ROUNDUP(MONTH(F37)/3,0),"First Payment Pending")</f>
        <v>Q1</v>
      </c>
      <c r="J37" s="7">
        <f>_xlfn.IFNA(VLOOKUP(I37,'Reference Data'!$A$72:$B$75,2,FALSE),"First Payment Pending")</f>
        <v>44651</v>
      </c>
      <c r="K37" t="str">
        <f>VLOOKUP(C37,'Reference Data'!$A$4:$B$7,2,FALSE)</f>
        <v>Jane</v>
      </c>
      <c r="L37" s="54">
        <f>IF(G37=G36,SUMIFS($H$2:H37,$K$2:K37,K36,$G$2:G37,G36),Deal_Data[[#This Row],[ Commissionable ARR]])</f>
        <v>12996.333333333332</v>
      </c>
    </row>
    <row r="38" spans="1:12" ht="15.75" customHeight="1" x14ac:dyDescent="0.2">
      <c r="A38" s="1">
        <v>10277</v>
      </c>
      <c r="B38" s="2">
        <v>44595</v>
      </c>
      <c r="C38" s="5" t="s">
        <v>7</v>
      </c>
      <c r="D38" s="1">
        <v>12</v>
      </c>
      <c r="E38" s="3">
        <v>15000</v>
      </c>
      <c r="F38" s="4">
        <v>44620</v>
      </c>
      <c r="G38" s="8" t="str">
        <f>"Q"&amp;ROUNDUP(MONTH(B38)/3,0)</f>
        <v>Q1</v>
      </c>
      <c r="H38" s="3">
        <f>IF(D38&gt;12,((E38/D38)*12),E38)</f>
        <v>15000</v>
      </c>
      <c r="I38" s="8" t="str">
        <f>IFERROR("Q"&amp;ROUNDUP(MONTH(F38)/3,0),"First Payment Pending")</f>
        <v>Q1</v>
      </c>
      <c r="J38" s="7">
        <f>_xlfn.IFNA(VLOOKUP(I38,'Reference Data'!$A$72:$B$75,2,FALSE),"First Payment Pending")</f>
        <v>44651</v>
      </c>
      <c r="K38" t="str">
        <f>VLOOKUP(C38,'Reference Data'!$A$4:$B$7,2,FALSE)</f>
        <v>Jane</v>
      </c>
      <c r="L38" s="54">
        <f>IF(G38=G37,SUMIFS($H$2:H38,$K$2:K38,K37,$G$2:G38,G37),Deal_Data[[#This Row],[ Commissionable ARR]])</f>
        <v>27996.333333333332</v>
      </c>
    </row>
    <row r="39" spans="1:12" ht="15.75" customHeight="1" x14ac:dyDescent="0.2">
      <c r="A39" s="1">
        <v>10287</v>
      </c>
      <c r="B39" s="2">
        <v>44626</v>
      </c>
      <c r="C39" s="1" t="s">
        <v>7</v>
      </c>
      <c r="D39" s="1">
        <v>30</v>
      </c>
      <c r="E39" s="3">
        <v>7200</v>
      </c>
      <c r="F39" s="4">
        <v>44657</v>
      </c>
      <c r="G39" s="8" t="str">
        <f>"Q"&amp;ROUNDUP(MONTH(B39)/3,0)</f>
        <v>Q1</v>
      </c>
      <c r="H39" s="3">
        <f>IF(D39&gt;12,((E39/D39)*12),E39)</f>
        <v>2880</v>
      </c>
      <c r="I39" s="8" t="str">
        <f>IFERROR("Q"&amp;ROUNDUP(MONTH(F39)/3,0),"First Payment Pending")</f>
        <v>Q2</v>
      </c>
      <c r="J39" s="7">
        <f>_xlfn.IFNA(VLOOKUP(I39,'Reference Data'!$A$72:$B$75,2,FALSE),"First Payment Pending")</f>
        <v>44742</v>
      </c>
      <c r="K39" t="str">
        <f>VLOOKUP(C39,'Reference Data'!$A$4:$B$7,2,FALSE)</f>
        <v>Jane</v>
      </c>
      <c r="L39" s="54">
        <f>IF(G39=G38,SUMIFS($H$2:H39,$K$2:K39,K38,$G$2:G39,G38),Deal_Data[[#This Row],[ Commissionable ARR]])</f>
        <v>30876.333333333332</v>
      </c>
    </row>
    <row r="40" spans="1:12" ht="15.75" customHeight="1" x14ac:dyDescent="0.2">
      <c r="A40" s="1">
        <v>10052</v>
      </c>
      <c r="B40" s="2">
        <v>44635</v>
      </c>
      <c r="C40" s="5" t="s">
        <v>7</v>
      </c>
      <c r="D40" s="1">
        <v>12</v>
      </c>
      <c r="E40" s="3">
        <v>3360</v>
      </c>
      <c r="F40" s="4">
        <v>44708</v>
      </c>
      <c r="G40" s="8" t="str">
        <f>"Q"&amp;ROUNDUP(MONTH(B40)/3,0)</f>
        <v>Q1</v>
      </c>
      <c r="H40" s="3">
        <f>IF(D40&gt;12,((E40/D40)*12),E40)</f>
        <v>3360</v>
      </c>
      <c r="I40" s="8" t="str">
        <f>IFERROR("Q"&amp;ROUNDUP(MONTH(F40)/3,0),"First Payment Pending")</f>
        <v>Q2</v>
      </c>
      <c r="J40" s="7">
        <f>_xlfn.IFNA(VLOOKUP(I40,'Reference Data'!$A$72:$B$75,2,FALSE),"First Payment Pending")</f>
        <v>44742</v>
      </c>
      <c r="K40" t="str">
        <f>VLOOKUP(C40,'Reference Data'!$A$4:$B$7,2,FALSE)</f>
        <v>Jane</v>
      </c>
      <c r="L40" s="54">
        <f>IF(G40=G39,SUMIFS($H$2:H40,$K$2:K40,K39,$G$2:G40,G39),Deal_Data[[#This Row],[ Commissionable ARR]])</f>
        <v>34236.333333333328</v>
      </c>
    </row>
    <row r="41" spans="1:12" ht="15.75" customHeight="1" x14ac:dyDescent="0.2">
      <c r="A41" s="1">
        <v>10042</v>
      </c>
      <c r="B41" s="2">
        <v>44642</v>
      </c>
      <c r="C41" s="1" t="s">
        <v>7</v>
      </c>
      <c r="D41" s="1">
        <v>12</v>
      </c>
      <c r="E41" s="3">
        <v>1125</v>
      </c>
      <c r="F41" s="4">
        <v>44662</v>
      </c>
      <c r="G41" s="8" t="str">
        <f>"Q"&amp;ROUNDUP(MONTH(B41)/3,0)</f>
        <v>Q1</v>
      </c>
      <c r="H41" s="3">
        <f>IF(D41&gt;12,((E41/D41)*12),E41)</f>
        <v>1125</v>
      </c>
      <c r="I41" s="8" t="str">
        <f>IFERROR("Q"&amp;ROUNDUP(MONTH(F41)/3,0),"First Payment Pending")</f>
        <v>Q2</v>
      </c>
      <c r="J41" s="7">
        <f>_xlfn.IFNA(VLOOKUP(I41,'Reference Data'!$A$72:$B$75,2,FALSE),"First Payment Pending")</f>
        <v>44742</v>
      </c>
      <c r="K41" t="str">
        <f>VLOOKUP(C41,'Reference Data'!$A$4:$B$7,2,FALSE)</f>
        <v>Jane</v>
      </c>
      <c r="L41" s="54">
        <f>IF(G41=G40,SUMIFS($H$2:H41,$K$2:K41,K40,$G$2:G41,G40),Deal_Data[[#This Row],[ Commissionable ARR]])</f>
        <v>35361.333333333328</v>
      </c>
    </row>
    <row r="42" spans="1:12" ht="15.75" customHeight="1" x14ac:dyDescent="0.2">
      <c r="A42" s="1">
        <v>10027</v>
      </c>
      <c r="B42" s="2">
        <v>44643</v>
      </c>
      <c r="C42" s="5" t="s">
        <v>7</v>
      </c>
      <c r="D42" s="1">
        <v>12</v>
      </c>
      <c r="E42" s="3">
        <v>360</v>
      </c>
      <c r="F42" s="4">
        <v>44675</v>
      </c>
      <c r="G42" s="8" t="str">
        <f>"Q"&amp;ROUNDUP(MONTH(B42)/3,0)</f>
        <v>Q1</v>
      </c>
      <c r="H42" s="3">
        <f>IF(D42&gt;12,((E42/D42)*12),E42)</f>
        <v>360</v>
      </c>
      <c r="I42" s="8" t="str">
        <f>IFERROR("Q"&amp;ROUNDUP(MONTH(F42)/3,0),"First Payment Pending")</f>
        <v>Q2</v>
      </c>
      <c r="J42" s="7">
        <f>_xlfn.IFNA(VLOOKUP(I42,'Reference Data'!$A$72:$B$75,2,FALSE),"First Payment Pending")</f>
        <v>44742</v>
      </c>
      <c r="K42" t="str">
        <f>VLOOKUP(C42,'Reference Data'!$A$4:$B$7,2,FALSE)</f>
        <v>Jane</v>
      </c>
      <c r="L42" s="54">
        <f>IF(G42=G41,SUMIFS($H$2:H42,$K$2:K42,K41,$G$2:G42,G41),Deal_Data[[#This Row],[ Commissionable ARR]])</f>
        <v>35721.333333333328</v>
      </c>
    </row>
    <row r="43" spans="1:12" ht="15.75" customHeight="1" x14ac:dyDescent="0.2">
      <c r="A43" s="1">
        <v>10232</v>
      </c>
      <c r="B43" s="2">
        <v>44644</v>
      </c>
      <c r="C43" s="1" t="s">
        <v>7</v>
      </c>
      <c r="D43" s="1">
        <v>12</v>
      </c>
      <c r="E43" s="3">
        <v>13400</v>
      </c>
      <c r="F43" s="4">
        <v>44658</v>
      </c>
      <c r="G43" s="8" t="str">
        <f>"Q"&amp;ROUNDUP(MONTH(B43)/3,0)</f>
        <v>Q1</v>
      </c>
      <c r="H43" s="3">
        <f>IF(D43&gt;12,((E43/D43)*12),E43)</f>
        <v>13400</v>
      </c>
      <c r="I43" s="8" t="str">
        <f>IFERROR("Q"&amp;ROUNDUP(MONTH(F43)/3,0),"First Payment Pending")</f>
        <v>Q2</v>
      </c>
      <c r="J43" s="7">
        <f>_xlfn.IFNA(VLOOKUP(I43,'Reference Data'!$A$72:$B$75,2,FALSE),"First Payment Pending")</f>
        <v>44742</v>
      </c>
      <c r="K43" t="str">
        <f>VLOOKUP(C43,'Reference Data'!$A$4:$B$7,2,FALSE)</f>
        <v>Jane</v>
      </c>
      <c r="L43" s="54">
        <f>IF(G43=G42,SUMIFS($H$2:H43,$K$2:K43,K42,$G$2:G43,G42),Deal_Data[[#This Row],[ Commissionable ARR]])</f>
        <v>49121.333333333328</v>
      </c>
    </row>
    <row r="44" spans="1:12" ht="15.75" customHeight="1" x14ac:dyDescent="0.2">
      <c r="A44" s="1">
        <v>10222</v>
      </c>
      <c r="B44" s="2">
        <v>44650</v>
      </c>
      <c r="C44" s="1" t="s">
        <v>7</v>
      </c>
      <c r="D44" s="1">
        <v>12</v>
      </c>
      <c r="E44" s="3">
        <v>6000</v>
      </c>
      <c r="F44" s="4">
        <v>44688</v>
      </c>
      <c r="G44" s="8" t="str">
        <f>"Q"&amp;ROUNDUP(MONTH(B44)/3,0)</f>
        <v>Q1</v>
      </c>
      <c r="H44" s="3">
        <f>IF(D44&gt;12,((E44/D44)*12),E44)</f>
        <v>6000</v>
      </c>
      <c r="I44" s="8" t="str">
        <f>IFERROR("Q"&amp;ROUNDUP(MONTH(F44)/3,0),"First Payment Pending")</f>
        <v>Q2</v>
      </c>
      <c r="J44" s="7">
        <f>_xlfn.IFNA(VLOOKUP(I44,'Reference Data'!$A$72:$B$75,2,FALSE),"First Payment Pending")</f>
        <v>44742</v>
      </c>
      <c r="K44" t="str">
        <f>VLOOKUP(C44,'Reference Data'!$A$4:$B$7,2,FALSE)</f>
        <v>Jane</v>
      </c>
      <c r="L44" s="54">
        <f>IF(G44=G43,SUMIFS($H$2:H44,$K$2:K44,K43,$G$2:G44,G43),Deal_Data[[#This Row],[ Commissionable ARR]])</f>
        <v>55121.333333333328</v>
      </c>
    </row>
    <row r="45" spans="1:12" ht="15.75" customHeight="1" x14ac:dyDescent="0.2">
      <c r="A45" s="1">
        <v>10192</v>
      </c>
      <c r="B45" s="2">
        <v>44651</v>
      </c>
      <c r="C45" s="1" t="s">
        <v>7</v>
      </c>
      <c r="D45" s="1">
        <v>12</v>
      </c>
      <c r="E45" s="3">
        <v>3999</v>
      </c>
      <c r="F45" s="4">
        <v>44713</v>
      </c>
      <c r="G45" s="8" t="str">
        <f>"Q"&amp;ROUNDUP(MONTH(B45)/3,0)</f>
        <v>Q1</v>
      </c>
      <c r="H45" s="3">
        <f>IF(D45&gt;12,((E45/D45)*12),E45)</f>
        <v>3999</v>
      </c>
      <c r="I45" s="8" t="str">
        <f>IFERROR("Q"&amp;ROUNDUP(MONTH(F45)/3,0),"First Payment Pending")</f>
        <v>Q2</v>
      </c>
      <c r="J45" s="7">
        <f>_xlfn.IFNA(VLOOKUP(I45,'Reference Data'!$A$72:$B$75,2,FALSE),"First Payment Pending")</f>
        <v>44742</v>
      </c>
      <c r="K45" t="str">
        <f>VLOOKUP(C45,'Reference Data'!$A$4:$B$7,2,FALSE)</f>
        <v>Jane</v>
      </c>
      <c r="L45" s="54">
        <f>IF(G45=G44,SUMIFS($H$2:H45,$K$2:K45,K44,$G$2:G45,G44),Deal_Data[[#This Row],[ Commissionable ARR]])</f>
        <v>59120.333333333328</v>
      </c>
    </row>
    <row r="46" spans="1:12" ht="15.75" customHeight="1" x14ac:dyDescent="0.2">
      <c r="A46" s="1">
        <v>10012</v>
      </c>
      <c r="B46" s="2">
        <v>44671</v>
      </c>
      <c r="C46" s="1" t="s">
        <v>7</v>
      </c>
      <c r="D46" s="1">
        <v>12</v>
      </c>
      <c r="E46" s="3">
        <v>15996</v>
      </c>
      <c r="F46" s="4">
        <v>44691</v>
      </c>
      <c r="G46" s="8" t="str">
        <f>"Q"&amp;ROUNDUP(MONTH(B46)/3,0)</f>
        <v>Q2</v>
      </c>
      <c r="H46" s="3">
        <f>IF(D46&gt;12,((E46/D46)*12),E46)</f>
        <v>15996</v>
      </c>
      <c r="I46" s="8" t="str">
        <f>IFERROR("Q"&amp;ROUNDUP(MONTH(F46)/3,0),"First Payment Pending")</f>
        <v>Q2</v>
      </c>
      <c r="J46" s="7">
        <f>_xlfn.IFNA(VLOOKUP(I46,'Reference Data'!$A$72:$B$75,2,FALSE),"First Payment Pending")</f>
        <v>44742</v>
      </c>
      <c r="K46" t="str">
        <f>VLOOKUP(C46,'Reference Data'!$A$4:$B$7,2,FALSE)</f>
        <v>Jane</v>
      </c>
      <c r="L46" s="54">
        <f>IF(G46=G45,SUMIFS($H$2:H46,$K$2:K46,K45,$G$2:G46,G45),Deal_Data[[#This Row],[ Commissionable ARR]])</f>
        <v>15996</v>
      </c>
    </row>
    <row r="47" spans="1:12" ht="15.75" customHeight="1" x14ac:dyDescent="0.2">
      <c r="A47" s="1">
        <v>10207</v>
      </c>
      <c r="B47" s="2">
        <v>44672</v>
      </c>
      <c r="C47" s="5" t="s">
        <v>7</v>
      </c>
      <c r="D47" s="1">
        <v>27</v>
      </c>
      <c r="E47" s="3">
        <v>20000</v>
      </c>
      <c r="F47" s="4">
        <v>44688</v>
      </c>
      <c r="G47" s="8" t="str">
        <f>"Q"&amp;ROUNDUP(MONTH(B47)/3,0)</f>
        <v>Q2</v>
      </c>
      <c r="H47" s="3">
        <f>IF(D47&gt;12,((E47/D47)*12),E47)</f>
        <v>8888.8888888888887</v>
      </c>
      <c r="I47" s="8" t="str">
        <f>IFERROR("Q"&amp;ROUNDUP(MONTH(F47)/3,0),"First Payment Pending")</f>
        <v>Q2</v>
      </c>
      <c r="J47" s="7">
        <f>_xlfn.IFNA(VLOOKUP(I47,'Reference Data'!$A$72:$B$75,2,FALSE),"First Payment Pending")</f>
        <v>44742</v>
      </c>
      <c r="K47" t="str">
        <f>VLOOKUP(C47,'Reference Data'!$A$4:$B$7,2,FALSE)</f>
        <v>Jane</v>
      </c>
      <c r="L47" s="54">
        <f>IF(G47=G46,SUMIFS($H$2:H47,$K$2:K47,K46,$G$2:G47,G46),Deal_Data[[#This Row],[ Commissionable ARR]])</f>
        <v>24884.888888888891</v>
      </c>
    </row>
    <row r="48" spans="1:12" ht="15.75" customHeight="1" x14ac:dyDescent="0.2">
      <c r="A48" s="1">
        <v>10017</v>
      </c>
      <c r="B48" s="2">
        <v>44677</v>
      </c>
      <c r="C48" s="1" t="s">
        <v>7</v>
      </c>
      <c r="D48" s="1">
        <v>36</v>
      </c>
      <c r="E48" s="3">
        <v>85000.5</v>
      </c>
      <c r="F48" s="5" t="s">
        <v>10</v>
      </c>
      <c r="G48" s="8" t="str">
        <f>"Q"&amp;ROUNDUP(MONTH(B48)/3,0)</f>
        <v>Q2</v>
      </c>
      <c r="H48" s="3">
        <f>IF(D48&gt;12,((E48/D48)*12),E48)</f>
        <v>28333.5</v>
      </c>
      <c r="I48" s="8" t="str">
        <f>IFERROR("Q"&amp;ROUNDUP(MONTH(F48)/3,0),"First Payment Pending")</f>
        <v>First Payment Pending</v>
      </c>
      <c r="J48" s="7" t="str">
        <f>_xlfn.IFNA(VLOOKUP(I48,'Reference Data'!$A$72:$B$75,2,FALSE),"First Payment Pending")</f>
        <v>First Payment Pending</v>
      </c>
      <c r="K48" t="str">
        <f>VLOOKUP(C48,'Reference Data'!$A$4:$B$7,2,FALSE)</f>
        <v>Jane</v>
      </c>
      <c r="L48" s="54">
        <f>IF(G48=G47,SUMIFS($H$2:H48,$K$2:K48,K47,$G$2:G48,G47),Deal_Data[[#This Row],[ Commissionable ARR]])</f>
        <v>53218.388888888891</v>
      </c>
    </row>
    <row r="49" spans="1:12" ht="15.75" customHeight="1" x14ac:dyDescent="0.2">
      <c r="A49" s="1">
        <v>10007</v>
      </c>
      <c r="B49" s="2">
        <v>44682</v>
      </c>
      <c r="C49" s="1" t="s">
        <v>7</v>
      </c>
      <c r="D49" s="1">
        <v>12</v>
      </c>
      <c r="E49" s="3">
        <v>27000</v>
      </c>
      <c r="F49" s="4">
        <v>44742</v>
      </c>
      <c r="G49" s="8" t="str">
        <f>"Q"&amp;ROUNDUP(MONTH(B49)/3,0)</f>
        <v>Q2</v>
      </c>
      <c r="H49" s="3">
        <f>IF(D49&gt;12,((E49/D49)*12),E49)</f>
        <v>27000</v>
      </c>
      <c r="I49" s="8" t="str">
        <f>IFERROR("Q"&amp;ROUNDUP(MONTH(F49)/3,0),"First Payment Pending")</f>
        <v>Q2</v>
      </c>
      <c r="J49" s="7">
        <f>_xlfn.IFNA(VLOOKUP(I49,'Reference Data'!$A$72:$B$75,2,FALSE),"First Payment Pending")</f>
        <v>44742</v>
      </c>
      <c r="K49" t="str">
        <f>VLOOKUP(C49,'Reference Data'!$A$4:$B$7,2,FALSE)</f>
        <v>Jane</v>
      </c>
      <c r="L49" s="54">
        <f>IF(G49=G48,SUMIFS($H$2:H49,$K$2:K49,K48,$G$2:G49,G48),Deal_Data[[#This Row],[ Commissionable ARR]])</f>
        <v>80218.388888888891</v>
      </c>
    </row>
    <row r="50" spans="1:12" ht="15.75" customHeight="1" x14ac:dyDescent="0.2">
      <c r="A50" s="1">
        <v>10002</v>
      </c>
      <c r="B50" s="2">
        <v>44684</v>
      </c>
      <c r="C50" s="5" t="s">
        <v>7</v>
      </c>
      <c r="D50" s="1">
        <v>36</v>
      </c>
      <c r="E50" s="3">
        <v>23333</v>
      </c>
      <c r="F50" s="4">
        <v>44696</v>
      </c>
      <c r="G50" s="8" t="str">
        <f>"Q"&amp;ROUNDUP(MONTH(B50)/3,0)</f>
        <v>Q2</v>
      </c>
      <c r="H50" s="3">
        <f>IF(D50&gt;12,((E50/D50)*12),E50)</f>
        <v>7777.666666666667</v>
      </c>
      <c r="I50" s="8" t="str">
        <f>IFERROR("Q"&amp;ROUNDUP(MONTH(F50)/3,0),"First Payment Pending")</f>
        <v>Q2</v>
      </c>
      <c r="J50" s="7">
        <f>_xlfn.IFNA(VLOOKUP(I50,'Reference Data'!$A$72:$B$75,2,FALSE),"First Payment Pending")</f>
        <v>44742</v>
      </c>
      <c r="K50" t="str">
        <f>VLOOKUP(C50,'Reference Data'!$A$4:$B$7,2,FALSE)</f>
        <v>Jane</v>
      </c>
      <c r="L50" s="54">
        <f>IF(G50=G49,SUMIFS($H$2:H50,$K$2:K50,K49,$G$2:G50,G49),Deal_Data[[#This Row],[ Commissionable ARR]])</f>
        <v>87996.055555555562</v>
      </c>
    </row>
    <row r="51" spans="1:12" ht="15.75" customHeight="1" x14ac:dyDescent="0.2">
      <c r="A51" s="1">
        <v>10297</v>
      </c>
      <c r="B51" s="2">
        <v>44684</v>
      </c>
      <c r="C51" s="5" t="s">
        <v>7</v>
      </c>
      <c r="D51" s="1">
        <v>12</v>
      </c>
      <c r="E51" s="3">
        <v>17980</v>
      </c>
      <c r="F51" s="4">
        <v>44693</v>
      </c>
      <c r="G51" s="8" t="str">
        <f>"Q"&amp;ROUNDUP(MONTH(B51)/3,0)</f>
        <v>Q2</v>
      </c>
      <c r="H51" s="3">
        <f>IF(D51&gt;12,((E51/D51)*12),E51)</f>
        <v>17980</v>
      </c>
      <c r="I51" s="8" t="str">
        <f>IFERROR("Q"&amp;ROUNDUP(MONTH(F51)/3,0),"First Payment Pending")</f>
        <v>Q2</v>
      </c>
      <c r="J51" s="7">
        <f>_xlfn.IFNA(VLOOKUP(I51,'Reference Data'!$A$72:$B$75,2,FALSE),"First Payment Pending")</f>
        <v>44742</v>
      </c>
      <c r="K51" t="str">
        <f>VLOOKUP(C51,'Reference Data'!$A$4:$B$7,2,FALSE)</f>
        <v>Jane</v>
      </c>
      <c r="L51" s="54">
        <f>IF(G51=G50,SUMIFS($H$2:H51,$K$2:K51,K50,$G$2:G51,G50),Deal_Data[[#This Row],[ Commissionable ARR]])</f>
        <v>105976.05555555556</v>
      </c>
    </row>
    <row r="52" spans="1:12" ht="15.75" customHeight="1" x14ac:dyDescent="0.2">
      <c r="A52" s="1">
        <v>10302</v>
      </c>
      <c r="B52" s="2">
        <v>44712</v>
      </c>
      <c r="C52" s="1" t="s">
        <v>7</v>
      </c>
      <c r="D52" s="1">
        <v>12</v>
      </c>
      <c r="E52" s="3">
        <v>215000</v>
      </c>
      <c r="F52" s="4">
        <v>44720</v>
      </c>
      <c r="G52" s="8" t="str">
        <f>"Q"&amp;ROUNDUP(MONTH(B52)/3,0)</f>
        <v>Q2</v>
      </c>
      <c r="H52" s="3">
        <f>IF(D52&gt;12,((E52/D52)*12),E52)</f>
        <v>215000</v>
      </c>
      <c r="I52" s="8" t="str">
        <f>IFERROR("Q"&amp;ROUNDUP(MONTH(F52)/3,0),"First Payment Pending")</f>
        <v>Q2</v>
      </c>
      <c r="J52" s="7">
        <f>_xlfn.IFNA(VLOOKUP(I52,'Reference Data'!$A$72:$B$75,2,FALSE),"First Payment Pending")</f>
        <v>44742</v>
      </c>
      <c r="K52" t="str">
        <f>VLOOKUP(C52,'Reference Data'!$A$4:$B$7,2,FALSE)</f>
        <v>Jane</v>
      </c>
      <c r="L52" s="54">
        <f>IF(G52=G51,SUMIFS($H$2:H52,$K$2:K52,K51,$G$2:G52,G51),Deal_Data[[#This Row],[ Commissionable ARR]])</f>
        <v>320976.05555555556</v>
      </c>
    </row>
    <row r="53" spans="1:12" ht="15.75" customHeight="1" x14ac:dyDescent="0.2">
      <c r="A53" s="1">
        <v>10312</v>
      </c>
      <c r="B53" s="2">
        <v>44734</v>
      </c>
      <c r="C53" s="1" t="s">
        <v>7</v>
      </c>
      <c r="D53" s="1">
        <v>12</v>
      </c>
      <c r="E53" s="3">
        <v>14400</v>
      </c>
      <c r="F53" s="5" t="s">
        <v>10</v>
      </c>
      <c r="G53" s="8" t="str">
        <f>"Q"&amp;ROUNDUP(MONTH(B53)/3,0)</f>
        <v>Q2</v>
      </c>
      <c r="H53" s="3">
        <f>IF(D53&gt;12,((E53/D53)*12),E53)</f>
        <v>14400</v>
      </c>
      <c r="I53" s="8" t="str">
        <f>IFERROR("Q"&amp;ROUNDUP(MONTH(F53)/3,0),"First Payment Pending")</f>
        <v>First Payment Pending</v>
      </c>
      <c r="J53" s="7" t="str">
        <f>_xlfn.IFNA(VLOOKUP(I53,'Reference Data'!$A$72:$B$75,2,FALSE),"First Payment Pending")</f>
        <v>First Payment Pending</v>
      </c>
      <c r="K53" t="str">
        <f>VLOOKUP(C53,'Reference Data'!$A$4:$B$7,2,FALSE)</f>
        <v>Jane</v>
      </c>
      <c r="L53" s="54">
        <f>IF(G53=G52,SUMIFS($H$2:H53,$K$2:K53,K52,$G$2:G53,G52),Deal_Data[[#This Row],[ Commissionable ARR]])</f>
        <v>335376.05555555556</v>
      </c>
    </row>
    <row r="54" spans="1:12" ht="15.75" customHeight="1" x14ac:dyDescent="0.2">
      <c r="A54" s="1">
        <v>10307</v>
      </c>
      <c r="B54" s="2">
        <v>44739</v>
      </c>
      <c r="C54" s="1" t="s">
        <v>7</v>
      </c>
      <c r="D54" s="1">
        <v>30</v>
      </c>
      <c r="E54" s="3">
        <v>18000</v>
      </c>
      <c r="F54" s="5" t="s">
        <v>10</v>
      </c>
      <c r="G54" s="8" t="str">
        <f>"Q"&amp;ROUNDUP(MONTH(B54)/3,0)</f>
        <v>Q2</v>
      </c>
      <c r="H54" s="3">
        <f>IF(D54&gt;12,((E54/D54)*12),E54)</f>
        <v>7200</v>
      </c>
      <c r="I54" s="8" t="str">
        <f>IFERROR("Q"&amp;ROUNDUP(MONTH(F54)/3,0),"First Payment Pending")</f>
        <v>First Payment Pending</v>
      </c>
      <c r="J54" s="7" t="str">
        <f>_xlfn.IFNA(VLOOKUP(I54,'Reference Data'!$A$72:$B$75,2,FALSE),"First Payment Pending")</f>
        <v>First Payment Pending</v>
      </c>
      <c r="K54" t="str">
        <f>VLOOKUP(C54,'Reference Data'!$A$4:$B$7,2,FALSE)</f>
        <v>Jane</v>
      </c>
      <c r="L54" s="54">
        <f>IF(G54=G53,SUMIFS($H$2:H54,$K$2:K54,K53,$G$2:G54,G53),Deal_Data[[#This Row],[ Commissionable ARR]])</f>
        <v>342576.05555555556</v>
      </c>
    </row>
    <row r="55" spans="1:12" ht="15.75" customHeight="1" x14ac:dyDescent="0.2">
      <c r="A55" s="1">
        <v>10317</v>
      </c>
      <c r="B55" s="2">
        <v>44742</v>
      </c>
      <c r="C55" s="5" t="s">
        <v>7</v>
      </c>
      <c r="D55" s="1">
        <v>36</v>
      </c>
      <c r="E55" s="3">
        <v>15000</v>
      </c>
      <c r="F55" s="5" t="s">
        <v>10</v>
      </c>
      <c r="G55" s="8" t="str">
        <f>"Q"&amp;ROUNDUP(MONTH(B55)/3,0)</f>
        <v>Q2</v>
      </c>
      <c r="H55" s="3">
        <f>IF(D55&gt;12,((E55/D55)*12),E55)</f>
        <v>5000</v>
      </c>
      <c r="I55" s="8" t="str">
        <f>IFERROR("Q"&amp;ROUNDUP(MONTH(F55)/3,0),"First Payment Pending")</f>
        <v>First Payment Pending</v>
      </c>
      <c r="J55" s="7" t="str">
        <f>_xlfn.IFNA(VLOOKUP(I55,'Reference Data'!$A$72:$B$75,2,FALSE),"First Payment Pending")</f>
        <v>First Payment Pending</v>
      </c>
      <c r="K55" t="str">
        <f>VLOOKUP(C55,'Reference Data'!$A$4:$B$7,2,FALSE)</f>
        <v>Jane</v>
      </c>
      <c r="L55" s="54">
        <f>IF(G55=G54,SUMIFS($H$2:H55,$K$2:K55,K54,$G$2:G55,G54),Deal_Data[[#This Row],[ Commissionable ARR]])</f>
        <v>347576.05555555556</v>
      </c>
    </row>
    <row r="56" spans="1:12" ht="15.75" customHeight="1" x14ac:dyDescent="0.2">
      <c r="A56" s="1">
        <v>10133</v>
      </c>
      <c r="B56" s="2">
        <v>44592</v>
      </c>
      <c r="C56" s="5" t="s">
        <v>9</v>
      </c>
      <c r="D56" s="1">
        <v>36</v>
      </c>
      <c r="E56" s="3">
        <v>15260</v>
      </c>
      <c r="F56" s="4">
        <v>44625</v>
      </c>
      <c r="G56" s="8" t="str">
        <f>"Q"&amp;ROUNDUP(MONTH(B56)/3,0)</f>
        <v>Q1</v>
      </c>
      <c r="H56" s="3">
        <f>IF(D56&gt;12,((E56/D56)*12),E56)</f>
        <v>5086.666666666667</v>
      </c>
      <c r="I56" s="8" t="str">
        <f>IFERROR("Q"&amp;ROUNDUP(MONTH(F56)/3,0),"First Payment Pending")</f>
        <v>Q1</v>
      </c>
      <c r="J56" s="7">
        <f>_xlfn.IFNA(VLOOKUP(I56,'Reference Data'!$A$72:$B$75,2,FALSE),"First Payment Pending")</f>
        <v>44651</v>
      </c>
      <c r="K56" t="str">
        <f>VLOOKUP(C56,'Reference Data'!$A$4:$B$7,2,FALSE)</f>
        <v>Joe</v>
      </c>
      <c r="L56" s="54">
        <f>IF(G56=G55,SUMIFS($H$2:H56,$K$2:K56,K55,$G$2:G56,G55),Deal_Data[[#This Row],[ Commissionable ARR]])</f>
        <v>5086.666666666667</v>
      </c>
    </row>
    <row r="57" spans="1:12" ht="15.75" customHeight="1" x14ac:dyDescent="0.2">
      <c r="A57" s="1">
        <v>10128</v>
      </c>
      <c r="B57" s="2">
        <v>44597</v>
      </c>
      <c r="C57" s="5" t="s">
        <v>9</v>
      </c>
      <c r="D57" s="1">
        <v>12</v>
      </c>
      <c r="E57" s="3">
        <v>28800</v>
      </c>
      <c r="F57" s="4">
        <v>44656</v>
      </c>
      <c r="G57" s="8" t="str">
        <f>"Q"&amp;ROUNDUP(MONTH(B57)/3,0)</f>
        <v>Q1</v>
      </c>
      <c r="H57" s="3">
        <f>IF(D57&gt;12,((E57/D57)*12),E57)</f>
        <v>28800</v>
      </c>
      <c r="I57" s="8" t="str">
        <f>IFERROR("Q"&amp;ROUNDUP(MONTH(F57)/3,0),"First Payment Pending")</f>
        <v>Q2</v>
      </c>
      <c r="J57" s="7">
        <f>_xlfn.IFNA(VLOOKUP(I57,'Reference Data'!$A$72:$B$75,2,FALSE),"First Payment Pending")</f>
        <v>44742</v>
      </c>
      <c r="K57" t="str">
        <f>VLOOKUP(C57,'Reference Data'!$A$4:$B$7,2,FALSE)</f>
        <v>Joe</v>
      </c>
      <c r="L57" s="54">
        <f>IF(G57=G56,SUMIFS($H$2:H57,$K$2:K57,K56,$G$2:G57,G56),Deal_Data[[#This Row],[ Commissionable ARR]])</f>
        <v>33886.666666666664</v>
      </c>
    </row>
    <row r="58" spans="1:12" ht="15.75" customHeight="1" x14ac:dyDescent="0.2">
      <c r="A58" s="1">
        <v>10288</v>
      </c>
      <c r="B58" s="2">
        <v>44615</v>
      </c>
      <c r="C58" s="1" t="s">
        <v>9</v>
      </c>
      <c r="D58" s="1">
        <v>12</v>
      </c>
      <c r="E58" s="3">
        <v>10500</v>
      </c>
      <c r="F58" s="4">
        <v>44624</v>
      </c>
      <c r="G58" s="8" t="str">
        <f>"Q"&amp;ROUNDUP(MONTH(B58)/3,0)</f>
        <v>Q1</v>
      </c>
      <c r="H58" s="3">
        <f>IF(D58&gt;12,((E58/D58)*12),E58)</f>
        <v>10500</v>
      </c>
      <c r="I58" s="8" t="str">
        <f>IFERROR("Q"&amp;ROUNDUP(MONTH(F58)/3,0),"First Payment Pending")</f>
        <v>Q1</v>
      </c>
      <c r="J58" s="7">
        <f>_xlfn.IFNA(VLOOKUP(I58,'Reference Data'!$A$72:$B$75,2,FALSE),"First Payment Pending")</f>
        <v>44651</v>
      </c>
      <c r="K58" t="str">
        <f>VLOOKUP(C58,'Reference Data'!$A$4:$B$7,2,FALSE)</f>
        <v>Joe</v>
      </c>
      <c r="L58" s="54">
        <f>IF(G58=G57,SUMIFS($H$2:H58,$K$2:K58,K57,$G$2:G58,G57),Deal_Data[[#This Row],[ Commissionable ARR]])</f>
        <v>44386.666666666664</v>
      </c>
    </row>
    <row r="59" spans="1:12" ht="15.75" customHeight="1" x14ac:dyDescent="0.2">
      <c r="A59" s="1">
        <v>10058</v>
      </c>
      <c r="B59" s="2">
        <v>44641</v>
      </c>
      <c r="C59" s="1" t="s">
        <v>9</v>
      </c>
      <c r="D59" s="1">
        <v>20</v>
      </c>
      <c r="E59" s="3">
        <v>5000</v>
      </c>
      <c r="F59" s="4">
        <v>44711</v>
      </c>
      <c r="G59" s="8" t="str">
        <f>"Q"&amp;ROUNDUP(MONTH(B59)/3,0)</f>
        <v>Q1</v>
      </c>
      <c r="H59" s="3">
        <f>IF(D59&gt;12,((E59/D59)*12),E59)</f>
        <v>3000</v>
      </c>
      <c r="I59" s="8" t="str">
        <f>IFERROR("Q"&amp;ROUNDUP(MONTH(F59)/3,0),"First Payment Pending")</f>
        <v>Q2</v>
      </c>
      <c r="J59" s="7">
        <f>_xlfn.IFNA(VLOOKUP(I59,'Reference Data'!$A$72:$B$75,2,FALSE),"First Payment Pending")</f>
        <v>44742</v>
      </c>
      <c r="K59" t="str">
        <f>VLOOKUP(C59,'Reference Data'!$A$4:$B$7,2,FALSE)</f>
        <v>Joe</v>
      </c>
      <c r="L59" s="54">
        <f>IF(G59=G58,SUMIFS($H$2:H59,$K$2:K59,K58,$G$2:G59,G58),Deal_Data[[#This Row],[ Commissionable ARR]])</f>
        <v>47386.666666666664</v>
      </c>
    </row>
    <row r="60" spans="1:12" ht="15.75" customHeight="1" x14ac:dyDescent="0.2">
      <c r="A60" s="1">
        <v>10028</v>
      </c>
      <c r="B60" s="2">
        <v>44643</v>
      </c>
      <c r="C60" s="5" t="s">
        <v>9</v>
      </c>
      <c r="D60" s="1">
        <v>12</v>
      </c>
      <c r="E60" s="3">
        <v>7200</v>
      </c>
      <c r="F60" s="4">
        <v>44681</v>
      </c>
      <c r="G60" s="8" t="str">
        <f>"Q"&amp;ROUNDUP(MONTH(B60)/3,0)</f>
        <v>Q1</v>
      </c>
      <c r="H60" s="3">
        <f>IF(D60&gt;12,((E60/D60)*12),E60)</f>
        <v>7200</v>
      </c>
      <c r="I60" s="8" t="str">
        <f>IFERROR("Q"&amp;ROUNDUP(MONTH(F60)/3,0),"First Payment Pending")</f>
        <v>Q2</v>
      </c>
      <c r="J60" s="7">
        <f>_xlfn.IFNA(VLOOKUP(I60,'Reference Data'!$A$72:$B$75,2,FALSE),"First Payment Pending")</f>
        <v>44742</v>
      </c>
      <c r="K60" t="str">
        <f>VLOOKUP(C60,'Reference Data'!$A$4:$B$7,2,FALSE)</f>
        <v>Joe</v>
      </c>
      <c r="L60" s="54">
        <f>IF(G60=G59,SUMIFS($H$2:H60,$K$2:K60,K59,$G$2:G60,G59),Deal_Data[[#This Row],[ Commissionable ARR]])</f>
        <v>54586.666666666664</v>
      </c>
    </row>
    <row r="61" spans="1:12" ht="15.75" customHeight="1" x14ac:dyDescent="0.2">
      <c r="A61" s="1">
        <v>10233</v>
      </c>
      <c r="B61" s="2">
        <v>44644</v>
      </c>
      <c r="C61" s="1" t="s">
        <v>9</v>
      </c>
      <c r="D61" s="1">
        <v>12</v>
      </c>
      <c r="E61" s="3">
        <v>6600</v>
      </c>
      <c r="F61" s="4">
        <v>44646</v>
      </c>
      <c r="G61" s="8" t="str">
        <f>"Q"&amp;ROUNDUP(MONTH(B61)/3,0)</f>
        <v>Q1</v>
      </c>
      <c r="H61" s="3">
        <f>IF(D61&gt;12,((E61/D61)*12),E61)</f>
        <v>6600</v>
      </c>
      <c r="I61" s="8" t="str">
        <f>IFERROR("Q"&amp;ROUNDUP(MONTH(F61)/3,0),"First Payment Pending")</f>
        <v>Q1</v>
      </c>
      <c r="J61" s="7">
        <f>_xlfn.IFNA(VLOOKUP(I61,'Reference Data'!$A$72:$B$75,2,FALSE),"First Payment Pending")</f>
        <v>44651</v>
      </c>
      <c r="K61" t="str">
        <f>VLOOKUP(C61,'Reference Data'!$A$4:$B$7,2,FALSE)</f>
        <v>Joe</v>
      </c>
      <c r="L61" s="54">
        <f>IF(G61=G60,SUMIFS($H$2:H61,$K$2:K61,K60,$G$2:G61,G60),Deal_Data[[#This Row],[ Commissionable ARR]])</f>
        <v>61186.666666666664</v>
      </c>
    </row>
    <row r="62" spans="1:12" ht="15.75" customHeight="1" x14ac:dyDescent="0.2">
      <c r="A62" s="1">
        <v>10023</v>
      </c>
      <c r="B62" s="2">
        <v>44647</v>
      </c>
      <c r="C62" s="1" t="s">
        <v>9</v>
      </c>
      <c r="D62" s="1">
        <v>12</v>
      </c>
      <c r="E62" s="3">
        <v>88000</v>
      </c>
      <c r="F62" s="4">
        <v>44667</v>
      </c>
      <c r="G62" s="8" t="str">
        <f>"Q"&amp;ROUNDUP(MONTH(B62)/3,0)</f>
        <v>Q1</v>
      </c>
      <c r="H62" s="3">
        <f>IF(D62&gt;12,((E62/D62)*12),E62)</f>
        <v>88000</v>
      </c>
      <c r="I62" s="8" t="str">
        <f>IFERROR("Q"&amp;ROUNDUP(MONTH(F62)/3,0),"First Payment Pending")</f>
        <v>Q2</v>
      </c>
      <c r="J62" s="7">
        <f>_xlfn.IFNA(VLOOKUP(I62,'Reference Data'!$A$72:$B$75,2,FALSE),"First Payment Pending")</f>
        <v>44742</v>
      </c>
      <c r="K62" t="str">
        <f>VLOOKUP(C62,'Reference Data'!$A$4:$B$7,2,FALSE)</f>
        <v>Joe</v>
      </c>
      <c r="L62" s="54">
        <f>IF(G62=G61,SUMIFS($H$2:H62,$K$2:K62,K61,$G$2:G62,G61),Deal_Data[[#This Row],[ Commissionable ARR]])</f>
        <v>149186.66666666666</v>
      </c>
    </row>
    <row r="63" spans="1:12" ht="15.75" customHeight="1" x14ac:dyDescent="0.2">
      <c r="A63" s="1">
        <v>10033</v>
      </c>
      <c r="B63" s="2">
        <v>44647</v>
      </c>
      <c r="C63" s="1" t="s">
        <v>9</v>
      </c>
      <c r="D63" s="1">
        <v>12</v>
      </c>
      <c r="E63" s="3">
        <v>24000</v>
      </c>
      <c r="F63" s="4">
        <v>44691</v>
      </c>
      <c r="G63" s="8" t="str">
        <f>"Q"&amp;ROUNDUP(MONTH(B63)/3,0)</f>
        <v>Q1</v>
      </c>
      <c r="H63" s="3">
        <f>IF(D63&gt;12,((E63/D63)*12),E63)</f>
        <v>24000</v>
      </c>
      <c r="I63" s="8" t="str">
        <f>IFERROR("Q"&amp;ROUNDUP(MONTH(F63)/3,0),"First Payment Pending")</f>
        <v>Q2</v>
      </c>
      <c r="J63" s="7">
        <f>_xlfn.IFNA(VLOOKUP(I63,'Reference Data'!$A$72:$B$75,2,FALSE),"First Payment Pending")</f>
        <v>44742</v>
      </c>
      <c r="K63" t="str">
        <f>VLOOKUP(C63,'Reference Data'!$A$4:$B$7,2,FALSE)</f>
        <v>Joe</v>
      </c>
      <c r="L63" s="54">
        <f>IF(G63=G62,SUMIFS($H$2:H63,$K$2:K63,K62,$G$2:G63,G62),Deal_Data[[#This Row],[ Commissionable ARR]])</f>
        <v>173186.66666666666</v>
      </c>
    </row>
    <row r="64" spans="1:12" ht="15.75" customHeight="1" x14ac:dyDescent="0.2">
      <c r="A64" s="1">
        <v>10213</v>
      </c>
      <c r="B64" s="2">
        <v>44648</v>
      </c>
      <c r="C64" s="5" t="s">
        <v>9</v>
      </c>
      <c r="D64" s="1">
        <v>12</v>
      </c>
      <c r="E64" s="3">
        <v>14000</v>
      </c>
      <c r="F64" s="4">
        <v>44692</v>
      </c>
      <c r="G64" s="8" t="str">
        <f>"Q"&amp;ROUNDUP(MONTH(B64)/3,0)</f>
        <v>Q1</v>
      </c>
      <c r="H64" s="3">
        <f>IF(D64&gt;12,((E64/D64)*12),E64)</f>
        <v>14000</v>
      </c>
      <c r="I64" s="8" t="str">
        <f>IFERROR("Q"&amp;ROUNDUP(MONTH(F64)/3,0),"First Payment Pending")</f>
        <v>Q2</v>
      </c>
      <c r="J64" s="7">
        <f>_xlfn.IFNA(VLOOKUP(I64,'Reference Data'!$A$72:$B$75,2,FALSE),"First Payment Pending")</f>
        <v>44742</v>
      </c>
      <c r="K64" t="str">
        <f>VLOOKUP(C64,'Reference Data'!$A$4:$B$7,2,FALSE)</f>
        <v>Joe</v>
      </c>
      <c r="L64" s="54">
        <f>IF(G64=G63,SUMIFS($H$2:H64,$K$2:K64,K63,$G$2:G64,G63),Deal_Data[[#This Row],[ Commissionable ARR]])</f>
        <v>187186.66666666666</v>
      </c>
    </row>
    <row r="65" spans="1:12" ht="15.75" customHeight="1" x14ac:dyDescent="0.2">
      <c r="A65" s="1">
        <v>10183</v>
      </c>
      <c r="B65" s="2">
        <v>44649</v>
      </c>
      <c r="C65" s="1" t="s">
        <v>9</v>
      </c>
      <c r="D65" s="1">
        <v>20</v>
      </c>
      <c r="E65" s="3">
        <v>7200</v>
      </c>
      <c r="F65" s="4">
        <v>44685</v>
      </c>
      <c r="G65" s="8" t="str">
        <f>"Q"&amp;ROUNDUP(MONTH(B65)/3,0)</f>
        <v>Q1</v>
      </c>
      <c r="H65" s="3">
        <f>IF(D65&gt;12,((E65/D65)*12),E65)</f>
        <v>4320</v>
      </c>
      <c r="I65" s="8" t="str">
        <f>IFERROR("Q"&amp;ROUNDUP(MONTH(F65)/3,0),"First Payment Pending")</f>
        <v>Q2</v>
      </c>
      <c r="J65" s="7">
        <f>_xlfn.IFNA(VLOOKUP(I65,'Reference Data'!$A$72:$B$75,2,FALSE),"First Payment Pending")</f>
        <v>44742</v>
      </c>
      <c r="K65" t="str">
        <f>VLOOKUP(C65,'Reference Data'!$A$4:$B$7,2,FALSE)</f>
        <v>Joe</v>
      </c>
      <c r="L65" s="54">
        <f>IF(G65=G64,SUMIFS($H$2:H65,$K$2:K65,K64,$G$2:G65,G64),Deal_Data[[#This Row],[ Commissionable ARR]])</f>
        <v>191506.66666666666</v>
      </c>
    </row>
    <row r="66" spans="1:12" ht="15.75" customHeight="1" x14ac:dyDescent="0.2">
      <c r="A66" s="1">
        <v>10208</v>
      </c>
      <c r="B66" s="2">
        <v>44649</v>
      </c>
      <c r="C66" s="1" t="s">
        <v>9</v>
      </c>
      <c r="D66" s="1">
        <v>12</v>
      </c>
      <c r="E66" s="3">
        <v>5000</v>
      </c>
      <c r="F66" s="4">
        <v>44690</v>
      </c>
      <c r="G66" s="8" t="str">
        <f>"Q"&amp;ROUNDUP(MONTH(B66)/3,0)</f>
        <v>Q1</v>
      </c>
      <c r="H66" s="3">
        <f>IF(D66&gt;12,((E66/D66)*12),E66)</f>
        <v>5000</v>
      </c>
      <c r="I66" s="8" t="str">
        <f>IFERROR("Q"&amp;ROUNDUP(MONTH(F66)/3,0),"First Payment Pending")</f>
        <v>Q2</v>
      </c>
      <c r="J66" s="7">
        <f>_xlfn.IFNA(VLOOKUP(I66,'Reference Data'!$A$72:$B$75,2,FALSE),"First Payment Pending")</f>
        <v>44742</v>
      </c>
      <c r="K66" t="str">
        <f>VLOOKUP(C66,'Reference Data'!$A$4:$B$7,2,FALSE)</f>
        <v>Joe</v>
      </c>
      <c r="L66" s="54">
        <f>IF(G66=G65,SUMIFS($H$2:H66,$K$2:K66,K65,$G$2:G66,G65),Deal_Data[[#This Row],[ Commissionable ARR]])</f>
        <v>196506.66666666666</v>
      </c>
    </row>
    <row r="67" spans="1:12" ht="15.75" customHeight="1" x14ac:dyDescent="0.2">
      <c r="A67" s="1">
        <v>10188</v>
      </c>
      <c r="B67" s="2">
        <v>44651</v>
      </c>
      <c r="C67" s="1" t="s">
        <v>9</v>
      </c>
      <c r="D67" s="1">
        <v>12</v>
      </c>
      <c r="E67" s="3">
        <v>25000</v>
      </c>
      <c r="F67" s="4">
        <v>44674</v>
      </c>
      <c r="G67" s="8" t="str">
        <f>"Q"&amp;ROUNDUP(MONTH(B67)/3,0)</f>
        <v>Q1</v>
      </c>
      <c r="H67" s="3">
        <f>IF(D67&gt;12,((E67/D67)*12),E67)</f>
        <v>25000</v>
      </c>
      <c r="I67" s="8" t="str">
        <f>IFERROR("Q"&amp;ROUNDUP(MONTH(F67)/3,0),"First Payment Pending")</f>
        <v>Q2</v>
      </c>
      <c r="J67" s="7">
        <f>_xlfn.IFNA(VLOOKUP(I67,'Reference Data'!$A$72:$B$75,2,FALSE),"First Payment Pending")</f>
        <v>44742</v>
      </c>
      <c r="K67" t="str">
        <f>VLOOKUP(C67,'Reference Data'!$A$4:$B$7,2,FALSE)</f>
        <v>Joe</v>
      </c>
      <c r="L67" s="54">
        <f>IF(G67=G66,SUMIFS($H$2:H67,$K$2:K67,K66,$G$2:G67,G66),Deal_Data[[#This Row],[ Commissionable ARR]])</f>
        <v>221506.66666666666</v>
      </c>
    </row>
    <row r="68" spans="1:12" ht="15.75" customHeight="1" x14ac:dyDescent="0.2">
      <c r="A68" s="1">
        <v>10198</v>
      </c>
      <c r="B68" s="2">
        <v>44651</v>
      </c>
      <c r="C68" s="5" t="s">
        <v>9</v>
      </c>
      <c r="D68" s="1">
        <v>12</v>
      </c>
      <c r="E68" s="3">
        <v>17600</v>
      </c>
      <c r="F68" s="4">
        <v>44713</v>
      </c>
      <c r="G68" s="8" t="str">
        <f>"Q"&amp;ROUNDUP(MONTH(B68)/3,0)</f>
        <v>Q1</v>
      </c>
      <c r="H68" s="3">
        <f>IF(D68&gt;12,((E68/D68)*12),E68)</f>
        <v>17600</v>
      </c>
      <c r="I68" s="8" t="str">
        <f>IFERROR("Q"&amp;ROUNDUP(MONTH(F68)/3,0),"First Payment Pending")</f>
        <v>Q2</v>
      </c>
      <c r="J68" s="7">
        <f>_xlfn.IFNA(VLOOKUP(I68,'Reference Data'!$A$72:$B$75,2,FALSE),"First Payment Pending")</f>
        <v>44742</v>
      </c>
      <c r="K68" t="str">
        <f>VLOOKUP(C68,'Reference Data'!$A$4:$B$7,2,FALSE)</f>
        <v>Joe</v>
      </c>
      <c r="L68" s="54">
        <f>IF(G68=G67,SUMIFS($H$2:H68,$K$2:K68,K67,$G$2:G68,G67),Deal_Data[[#This Row],[ Commissionable ARR]])</f>
        <v>239106.66666666666</v>
      </c>
    </row>
    <row r="69" spans="1:12" ht="15.75" customHeight="1" x14ac:dyDescent="0.2">
      <c r="A69" s="1">
        <v>10193</v>
      </c>
      <c r="B69" s="2">
        <v>44669</v>
      </c>
      <c r="C69" s="1" t="s">
        <v>9</v>
      </c>
      <c r="D69" s="1">
        <v>12</v>
      </c>
      <c r="E69" s="3">
        <v>4800</v>
      </c>
      <c r="F69" s="4">
        <v>44713</v>
      </c>
      <c r="G69" s="8" t="str">
        <f>"Q"&amp;ROUNDUP(MONTH(B69)/3,0)</f>
        <v>Q2</v>
      </c>
      <c r="H69" s="3">
        <f>IF(D69&gt;12,((E69/D69)*12),E69)</f>
        <v>4800</v>
      </c>
      <c r="I69" s="8" t="str">
        <f>IFERROR("Q"&amp;ROUNDUP(MONTH(F69)/3,0),"First Payment Pending")</f>
        <v>Q2</v>
      </c>
      <c r="J69" s="7">
        <f>_xlfn.IFNA(VLOOKUP(I69,'Reference Data'!$A$72:$B$75,2,FALSE),"First Payment Pending")</f>
        <v>44742</v>
      </c>
      <c r="K69" t="str">
        <f>VLOOKUP(C69,'Reference Data'!$A$4:$B$7,2,FALSE)</f>
        <v>Joe</v>
      </c>
      <c r="L69" s="54">
        <f>IF(G69=G68,SUMIFS($H$2:H69,$K$2:K69,K68,$G$2:G69,G68),Deal_Data[[#This Row],[ Commissionable ARR]])</f>
        <v>4800</v>
      </c>
    </row>
    <row r="70" spans="1:12" ht="15.75" customHeight="1" x14ac:dyDescent="0.2">
      <c r="A70" s="1">
        <v>10013</v>
      </c>
      <c r="B70" s="2">
        <v>44674</v>
      </c>
      <c r="C70" s="1" t="s">
        <v>9</v>
      </c>
      <c r="D70" s="1">
        <v>12</v>
      </c>
      <c r="E70" s="3">
        <v>1575</v>
      </c>
      <c r="F70" s="4">
        <v>44712</v>
      </c>
      <c r="G70" s="8" t="str">
        <f>"Q"&amp;ROUNDUP(MONTH(B70)/3,0)</f>
        <v>Q2</v>
      </c>
      <c r="H70" s="3">
        <f>IF(D70&gt;12,((E70/D70)*12),E70)</f>
        <v>1575</v>
      </c>
      <c r="I70" s="8" t="str">
        <f>IFERROR("Q"&amp;ROUNDUP(MONTH(F70)/3,0),"First Payment Pending")</f>
        <v>Q2</v>
      </c>
      <c r="J70" s="7">
        <f>_xlfn.IFNA(VLOOKUP(I70,'Reference Data'!$A$72:$B$75,2,FALSE),"First Payment Pending")</f>
        <v>44742</v>
      </c>
      <c r="K70" t="str">
        <f>VLOOKUP(C70,'Reference Data'!$A$4:$B$7,2,FALSE)</f>
        <v>Joe</v>
      </c>
      <c r="L70" s="54">
        <f>IF(G70=G69,SUMIFS($H$2:H70,$K$2:K70,K69,$G$2:G70,G69),Deal_Data[[#This Row],[ Commissionable ARR]])</f>
        <v>6375</v>
      </c>
    </row>
    <row r="71" spans="1:12" ht="15.75" customHeight="1" x14ac:dyDescent="0.2">
      <c r="A71" s="1">
        <v>10008</v>
      </c>
      <c r="B71" s="2">
        <v>44676</v>
      </c>
      <c r="C71" s="5" t="s">
        <v>9</v>
      </c>
      <c r="D71" s="1">
        <v>12</v>
      </c>
      <c r="E71" s="3">
        <v>32686.3</v>
      </c>
      <c r="F71" s="4">
        <v>44681</v>
      </c>
      <c r="G71" s="8" t="str">
        <f>"Q"&amp;ROUNDUP(MONTH(B71)/3,0)</f>
        <v>Q2</v>
      </c>
      <c r="H71" s="3">
        <f>IF(D71&gt;12,((E71/D71)*12),E71)</f>
        <v>32686.3</v>
      </c>
      <c r="I71" s="8" t="str">
        <f>IFERROR("Q"&amp;ROUNDUP(MONTH(F71)/3,0),"First Payment Pending")</f>
        <v>Q2</v>
      </c>
      <c r="J71" s="7">
        <f>_xlfn.IFNA(VLOOKUP(I71,'Reference Data'!$A$72:$B$75,2,FALSE),"First Payment Pending")</f>
        <v>44742</v>
      </c>
      <c r="K71" t="str">
        <f>VLOOKUP(C71,'Reference Data'!$A$4:$B$7,2,FALSE)</f>
        <v>Joe</v>
      </c>
      <c r="L71" s="54">
        <f>IF(G71=G70,SUMIFS($H$2:H71,$K$2:K71,K70,$G$2:G71,G70),Deal_Data[[#This Row],[ Commissionable ARR]])</f>
        <v>39061.300000000003</v>
      </c>
    </row>
    <row r="72" spans="1:12" ht="15.75" customHeight="1" x14ac:dyDescent="0.2">
      <c r="A72" s="1">
        <v>10003</v>
      </c>
      <c r="B72" s="2">
        <v>44681</v>
      </c>
      <c r="C72" s="1" t="s">
        <v>9</v>
      </c>
      <c r="D72" s="1">
        <v>12</v>
      </c>
      <c r="E72" s="3">
        <v>46667</v>
      </c>
      <c r="F72" s="4">
        <v>44732</v>
      </c>
      <c r="G72" s="8" t="str">
        <f>"Q"&amp;ROUNDUP(MONTH(B72)/3,0)</f>
        <v>Q2</v>
      </c>
      <c r="H72" s="3">
        <f>IF(D72&gt;12,((E72/D72)*12),E72)</f>
        <v>46667</v>
      </c>
      <c r="I72" s="8" t="str">
        <f>IFERROR("Q"&amp;ROUNDUP(MONTH(F72)/3,0),"First Payment Pending")</f>
        <v>Q2</v>
      </c>
      <c r="J72" s="7">
        <f>_xlfn.IFNA(VLOOKUP(I72,'Reference Data'!$A$72:$B$75,2,FALSE),"First Payment Pending")</f>
        <v>44742</v>
      </c>
      <c r="K72" t="str">
        <f>VLOOKUP(C72,'Reference Data'!$A$4:$B$7,2,FALSE)</f>
        <v>Joe</v>
      </c>
      <c r="L72" s="54">
        <f>IF(G72=G71,SUMIFS($H$2:H72,$K$2:K72,K71,$G$2:G72,G71),Deal_Data[[#This Row],[ Commissionable ARR]])</f>
        <v>85728.3</v>
      </c>
    </row>
    <row r="73" spans="1:12" ht="15.75" customHeight="1" x14ac:dyDescent="0.2">
      <c r="A73" s="1">
        <v>10303</v>
      </c>
      <c r="B73" s="2">
        <v>44681</v>
      </c>
      <c r="C73" s="1" t="s">
        <v>9</v>
      </c>
      <c r="D73" s="1">
        <v>12</v>
      </c>
      <c r="E73" s="3">
        <v>12000</v>
      </c>
      <c r="F73" s="4">
        <v>44684</v>
      </c>
      <c r="G73" s="8" t="str">
        <f>"Q"&amp;ROUNDUP(MONTH(B73)/3,0)</f>
        <v>Q2</v>
      </c>
      <c r="H73" s="3">
        <f>IF(D73&gt;12,((E73/D73)*12),E73)</f>
        <v>12000</v>
      </c>
      <c r="I73" s="8" t="str">
        <f>IFERROR("Q"&amp;ROUNDUP(MONTH(F73)/3,0),"First Payment Pending")</f>
        <v>Q2</v>
      </c>
      <c r="J73" s="7">
        <f>_xlfn.IFNA(VLOOKUP(I73,'Reference Data'!$A$72:$B$75,2,FALSE),"First Payment Pending")</f>
        <v>44742</v>
      </c>
      <c r="K73" t="str">
        <f>VLOOKUP(C73,'Reference Data'!$A$4:$B$7,2,FALSE)</f>
        <v>Joe</v>
      </c>
      <c r="L73" s="54">
        <f>IF(G73=G72,SUMIFS($H$2:H73,$K$2:K73,K72,$G$2:G73,G72),Deal_Data[[#This Row],[ Commissionable ARR]])</f>
        <v>97728.3</v>
      </c>
    </row>
    <row r="74" spans="1:12" ht="15.75" customHeight="1" x14ac:dyDescent="0.2">
      <c r="A74" s="1">
        <v>10293</v>
      </c>
      <c r="B74" s="2">
        <v>44687</v>
      </c>
      <c r="C74" s="5" t="s">
        <v>9</v>
      </c>
      <c r="D74" s="1">
        <v>30</v>
      </c>
      <c r="E74" s="3">
        <v>15000</v>
      </c>
      <c r="F74" s="4">
        <v>44705</v>
      </c>
      <c r="G74" s="8" t="str">
        <f>"Q"&amp;ROUNDUP(MONTH(B74)/3,0)</f>
        <v>Q2</v>
      </c>
      <c r="H74" s="3">
        <f>IF(D74&gt;12,((E74/D74)*12),E74)</f>
        <v>6000</v>
      </c>
      <c r="I74" s="8" t="str">
        <f>IFERROR("Q"&amp;ROUNDUP(MONTH(F74)/3,0),"First Payment Pending")</f>
        <v>Q2</v>
      </c>
      <c r="J74" s="7">
        <f>_xlfn.IFNA(VLOOKUP(I74,'Reference Data'!$A$72:$B$75,2,FALSE),"First Payment Pending")</f>
        <v>44742</v>
      </c>
      <c r="K74" t="str">
        <f>VLOOKUP(C74,'Reference Data'!$A$4:$B$7,2,FALSE)</f>
        <v>Joe</v>
      </c>
      <c r="L74" s="54">
        <f>IF(G74=G73,SUMIFS($H$2:H74,$K$2:K74,K73,$G$2:G74,G73),Deal_Data[[#This Row],[ Commissionable ARR]])</f>
        <v>103728.3</v>
      </c>
    </row>
    <row r="75" spans="1:12" ht="15.75" customHeight="1" x14ac:dyDescent="0.2">
      <c r="A75" s="1">
        <v>10298</v>
      </c>
      <c r="B75" s="2">
        <v>44690</v>
      </c>
      <c r="C75" s="1" t="s">
        <v>9</v>
      </c>
      <c r="D75" s="1">
        <v>12</v>
      </c>
      <c r="E75" s="3">
        <v>10812</v>
      </c>
      <c r="F75" s="4">
        <v>44706</v>
      </c>
      <c r="G75" s="8" t="str">
        <f>"Q"&amp;ROUNDUP(MONTH(B75)/3,0)</f>
        <v>Q2</v>
      </c>
      <c r="H75" s="3">
        <f>IF(D75&gt;12,((E75/D75)*12),E75)</f>
        <v>10812</v>
      </c>
      <c r="I75" s="8" t="str">
        <f>IFERROR("Q"&amp;ROUNDUP(MONTH(F75)/3,0),"First Payment Pending")</f>
        <v>Q2</v>
      </c>
      <c r="J75" s="7">
        <f>_xlfn.IFNA(VLOOKUP(I75,'Reference Data'!$A$72:$B$75,2,FALSE),"First Payment Pending")</f>
        <v>44742</v>
      </c>
      <c r="K75" t="str">
        <f>VLOOKUP(C75,'Reference Data'!$A$4:$B$7,2,FALSE)</f>
        <v>Joe</v>
      </c>
      <c r="L75" s="54">
        <f>IF(G75=G74,SUMIFS($H$2:H75,$K$2:K75,K74,$G$2:G75,G74),Deal_Data[[#This Row],[ Commissionable ARR]])</f>
        <v>114540.3</v>
      </c>
    </row>
    <row r="76" spans="1:12" ht="15.75" customHeight="1" x14ac:dyDescent="0.2">
      <c r="A76" s="1">
        <v>10308</v>
      </c>
      <c r="B76" s="2">
        <v>44742</v>
      </c>
      <c r="C76" s="1" t="s">
        <v>9</v>
      </c>
      <c r="D76" s="1">
        <v>12</v>
      </c>
      <c r="E76" s="3">
        <v>75000</v>
      </c>
      <c r="F76" s="5" t="s">
        <v>10</v>
      </c>
      <c r="G76" s="8" t="str">
        <f>"Q"&amp;ROUNDUP(MONTH(B76)/3,0)</f>
        <v>Q2</v>
      </c>
      <c r="H76" s="3">
        <f>IF(D76&gt;12,((E76/D76)*12),E76)</f>
        <v>75000</v>
      </c>
      <c r="I76" s="8" t="str">
        <f>IFERROR("Q"&amp;ROUNDUP(MONTH(F76)/3,0),"First Payment Pending")</f>
        <v>First Payment Pending</v>
      </c>
      <c r="J76" s="7" t="str">
        <f>_xlfn.IFNA(VLOOKUP(I76,'Reference Data'!$A$72:$B$75,2,FALSE),"First Payment Pending")</f>
        <v>First Payment Pending</v>
      </c>
      <c r="K76" t="str">
        <f>VLOOKUP(C76,'Reference Data'!$A$4:$B$7,2,FALSE)</f>
        <v>Joe</v>
      </c>
      <c r="L76" s="54">
        <f>IF(G76=G75,SUMIFS($H$2:H76,$K$2:K76,K75,$G$2:G76,G75),Deal_Data[[#This Row],[ Commissionable ARR]])</f>
        <v>189540.3</v>
      </c>
    </row>
    <row r="77" spans="1:12" ht="15.75" customHeight="1" x14ac:dyDescent="0.2">
      <c r="A77" s="1">
        <v>10313</v>
      </c>
      <c r="B77" s="2">
        <v>44742</v>
      </c>
      <c r="C77" s="5" t="s">
        <v>9</v>
      </c>
      <c r="D77" s="1">
        <v>12</v>
      </c>
      <c r="E77" s="3">
        <v>24000</v>
      </c>
      <c r="F77" s="5" t="s">
        <v>10</v>
      </c>
      <c r="G77" s="8" t="str">
        <f>"Q"&amp;ROUNDUP(MONTH(B77)/3,0)</f>
        <v>Q2</v>
      </c>
      <c r="H77" s="3">
        <f>IF(D77&gt;12,((E77/D77)*12),E77)</f>
        <v>24000</v>
      </c>
      <c r="I77" s="8" t="str">
        <f>IFERROR("Q"&amp;ROUNDUP(MONTH(F77)/3,0),"First Payment Pending")</f>
        <v>First Payment Pending</v>
      </c>
      <c r="J77" s="7" t="str">
        <f>_xlfn.IFNA(VLOOKUP(I77,'Reference Data'!$A$72:$B$75,2,FALSE),"First Payment Pending")</f>
        <v>First Payment Pending</v>
      </c>
      <c r="K77" t="str">
        <f>VLOOKUP(C77,'Reference Data'!$A$4:$B$7,2,FALSE)</f>
        <v>Joe</v>
      </c>
      <c r="L77" s="54">
        <f>IF(G77=G76,SUMIFS($H$2:H77,$K$2:K77,K76,$G$2:G77,G76),Deal_Data[[#This Row],[ Commissionable ARR]])</f>
        <v>213540.3</v>
      </c>
    </row>
    <row r="78" spans="1:12" ht="15.75" customHeight="1" x14ac:dyDescent="0.2">
      <c r="A78" s="1">
        <v>10318</v>
      </c>
      <c r="B78" s="2">
        <v>44742</v>
      </c>
      <c r="C78" s="1" t="s">
        <v>9</v>
      </c>
      <c r="D78" s="1">
        <v>12</v>
      </c>
      <c r="E78" s="3">
        <v>64000</v>
      </c>
      <c r="F78" s="5" t="s">
        <v>10</v>
      </c>
      <c r="G78" s="8" t="str">
        <f>"Q"&amp;ROUNDUP(MONTH(B78)/3,0)</f>
        <v>Q2</v>
      </c>
      <c r="H78" s="3">
        <f>IF(D78&gt;12,((E78/D78)*12),E78)</f>
        <v>64000</v>
      </c>
      <c r="I78" s="8" t="str">
        <f>IFERROR("Q"&amp;ROUNDUP(MONTH(F78)/3,0),"First Payment Pending")</f>
        <v>First Payment Pending</v>
      </c>
      <c r="J78" s="7" t="str">
        <f>_xlfn.IFNA(VLOOKUP(I78,'Reference Data'!$A$72:$B$75,2,FALSE),"First Payment Pending")</f>
        <v>First Payment Pending</v>
      </c>
      <c r="K78" t="str">
        <f>VLOOKUP(C78,'Reference Data'!$A$4:$B$7,2,FALSE)</f>
        <v>Joe</v>
      </c>
      <c r="L78" s="54">
        <f>IF(G78=G77,SUMIFS($H$2:H78,$K$2:K78,K77,$G$2:G78,G77),Deal_Data[[#This Row],[ Commissionable ARR]])</f>
        <v>277540.3</v>
      </c>
    </row>
    <row r="79" spans="1:12" ht="15.75" customHeight="1" x14ac:dyDescent="0.2">
      <c r="A79" s="1">
        <v>10230</v>
      </c>
      <c r="B79" s="2">
        <v>44577</v>
      </c>
      <c r="C79" s="1" t="s">
        <v>8</v>
      </c>
      <c r="D79" s="1">
        <v>12</v>
      </c>
      <c r="E79" s="3">
        <v>5500</v>
      </c>
      <c r="F79" s="4">
        <v>44581</v>
      </c>
      <c r="G79" s="8" t="str">
        <f>"Q"&amp;ROUNDUP(MONTH(B79)/3,0)</f>
        <v>Q1</v>
      </c>
      <c r="H79" s="3">
        <f>IF(D79&gt;12,((E79/D79)*12),E79)</f>
        <v>5500</v>
      </c>
      <c r="I79" s="8" t="str">
        <f>IFERROR("Q"&amp;ROUNDUP(MONTH(F79)/3,0),"First Payment Pending")</f>
        <v>Q1</v>
      </c>
      <c r="J79" s="7">
        <f>_xlfn.IFNA(VLOOKUP(I79,'Reference Data'!$A$72:$B$75,2,FALSE),"First Payment Pending")</f>
        <v>44651</v>
      </c>
      <c r="K79" t="str">
        <f>VLOOKUP(C79,'Reference Data'!$A$4:$B$7,2,FALSE)</f>
        <v>Lin</v>
      </c>
      <c r="L79" s="54">
        <f>IF(G79=G78,SUMIFS($H$2:H79,$K$2:K79,K78,$G$2:G79,G78),Deal_Data[[#This Row],[ Commissionable ARR]])</f>
        <v>5500</v>
      </c>
    </row>
    <row r="80" spans="1:12" ht="15.75" customHeight="1" x14ac:dyDescent="0.2">
      <c r="A80" s="1">
        <v>10110</v>
      </c>
      <c r="B80" s="2">
        <v>44583</v>
      </c>
      <c r="C80" s="1" t="s">
        <v>8</v>
      </c>
      <c r="D80" s="1">
        <v>12</v>
      </c>
      <c r="E80" s="3">
        <v>6000</v>
      </c>
      <c r="F80" s="4">
        <v>44649</v>
      </c>
      <c r="G80" s="8" t="str">
        <f>"Q"&amp;ROUNDUP(MONTH(B80)/3,0)</f>
        <v>Q1</v>
      </c>
      <c r="H80" s="3">
        <f>IF(D80&gt;12,((E80/D80)*12),E80)</f>
        <v>6000</v>
      </c>
      <c r="I80" s="8" t="str">
        <f>IFERROR("Q"&amp;ROUNDUP(MONTH(F80)/3,0),"First Payment Pending")</f>
        <v>Q1</v>
      </c>
      <c r="J80" s="7">
        <f>_xlfn.IFNA(VLOOKUP(I80,'Reference Data'!$A$72:$B$75,2,FALSE),"First Payment Pending")</f>
        <v>44651</v>
      </c>
      <c r="K80" t="str">
        <f>VLOOKUP(C80,'Reference Data'!$A$4:$B$7,2,FALSE)</f>
        <v>Lin</v>
      </c>
      <c r="L80" s="54">
        <f>IF(G80=G79,SUMIFS($H$2:H80,$K$2:K80,K79,$G$2:G80,G79),Deal_Data[[#This Row],[ Commissionable ARR]])</f>
        <v>11500</v>
      </c>
    </row>
    <row r="81" spans="1:12" ht="15.75" customHeight="1" x14ac:dyDescent="0.2">
      <c r="A81" s="1">
        <v>10265</v>
      </c>
      <c r="B81" s="2">
        <v>44595</v>
      </c>
      <c r="C81" s="1" t="s">
        <v>8</v>
      </c>
      <c r="D81" s="1">
        <v>12</v>
      </c>
      <c r="E81" s="3">
        <v>15000</v>
      </c>
      <c r="F81" s="4">
        <v>44641</v>
      </c>
      <c r="G81" s="8" t="str">
        <f>"Q"&amp;ROUNDUP(MONTH(B81)/3,0)</f>
        <v>Q1</v>
      </c>
      <c r="H81" s="3">
        <f>IF(D81&gt;12,((E81/D81)*12),E81)</f>
        <v>15000</v>
      </c>
      <c r="I81" s="8" t="str">
        <f>IFERROR("Q"&amp;ROUNDUP(MONTH(F81)/3,0),"First Payment Pending")</f>
        <v>Q1</v>
      </c>
      <c r="J81" s="7">
        <f>_xlfn.IFNA(VLOOKUP(I81,'Reference Data'!$A$72:$B$75,2,FALSE),"First Payment Pending")</f>
        <v>44651</v>
      </c>
      <c r="K81" t="str">
        <f>VLOOKUP(C81,'Reference Data'!$A$4:$B$7,2,FALSE)</f>
        <v>Lin</v>
      </c>
      <c r="L81" s="54">
        <f>IF(G81=G80,SUMIFS($H$2:H81,$K$2:K81,K80,$G$2:G81,G80),Deal_Data[[#This Row],[ Commissionable ARR]])</f>
        <v>26500</v>
      </c>
    </row>
    <row r="82" spans="1:12" ht="15.75" customHeight="1" x14ac:dyDescent="0.2">
      <c r="A82" s="1">
        <v>10270</v>
      </c>
      <c r="B82" s="2">
        <v>44600</v>
      </c>
      <c r="C82" s="1" t="s">
        <v>8</v>
      </c>
      <c r="D82" s="1">
        <v>36</v>
      </c>
      <c r="E82" s="3">
        <v>29250</v>
      </c>
      <c r="F82" s="4">
        <v>44628</v>
      </c>
      <c r="G82" s="8" t="str">
        <f>"Q"&amp;ROUNDUP(MONTH(B82)/3,0)</f>
        <v>Q1</v>
      </c>
      <c r="H82" s="3">
        <f>IF(D82&gt;12,((E82/D82)*12),E82)</f>
        <v>9750</v>
      </c>
      <c r="I82" s="8" t="str">
        <f>IFERROR("Q"&amp;ROUNDUP(MONTH(F82)/3,0),"First Payment Pending")</f>
        <v>Q1</v>
      </c>
      <c r="J82" s="7">
        <f>_xlfn.IFNA(VLOOKUP(I82,'Reference Data'!$A$72:$B$75,2,FALSE),"First Payment Pending")</f>
        <v>44651</v>
      </c>
      <c r="K82" t="str">
        <f>VLOOKUP(C82,'Reference Data'!$A$4:$B$7,2,FALSE)</f>
        <v>Lin</v>
      </c>
      <c r="L82" s="54">
        <f>IF(G82=G81,SUMIFS($H$2:H82,$K$2:K82,K81,$G$2:G82,G81),Deal_Data[[#This Row],[ Commissionable ARR]])</f>
        <v>36250</v>
      </c>
    </row>
    <row r="83" spans="1:12" ht="15.75" customHeight="1" x14ac:dyDescent="0.2">
      <c r="A83" s="1">
        <v>10150</v>
      </c>
      <c r="B83" s="2">
        <v>44613</v>
      </c>
      <c r="C83" s="1" t="s">
        <v>8</v>
      </c>
      <c r="D83" s="1">
        <v>12</v>
      </c>
      <c r="E83" s="3">
        <v>31140</v>
      </c>
      <c r="F83" s="4">
        <v>44631</v>
      </c>
      <c r="G83" s="8" t="str">
        <f>"Q"&amp;ROUNDUP(MONTH(B83)/3,0)</f>
        <v>Q1</v>
      </c>
      <c r="H83" s="3">
        <f>IF(D83&gt;12,((E83/D83)*12),E83)</f>
        <v>31140</v>
      </c>
      <c r="I83" s="8" t="str">
        <f>IFERROR("Q"&amp;ROUNDUP(MONTH(F83)/3,0),"First Payment Pending")</f>
        <v>Q1</v>
      </c>
      <c r="J83" s="7">
        <f>_xlfn.IFNA(VLOOKUP(I83,'Reference Data'!$A$72:$B$75,2,FALSE),"First Payment Pending")</f>
        <v>44651</v>
      </c>
      <c r="K83" t="str">
        <f>VLOOKUP(C83,'Reference Data'!$A$4:$B$7,2,FALSE)</f>
        <v>Lin</v>
      </c>
      <c r="L83" s="54">
        <f>IF(G83=G82,SUMIFS($H$2:H83,$K$2:K83,K82,$G$2:G83,G82),Deal_Data[[#This Row],[ Commissionable ARR]])</f>
        <v>67390</v>
      </c>
    </row>
    <row r="84" spans="1:12" ht="15.75" customHeight="1" x14ac:dyDescent="0.2">
      <c r="A84" s="1">
        <v>10260</v>
      </c>
      <c r="B84" s="2">
        <v>44616</v>
      </c>
      <c r="C84" s="1" t="s">
        <v>8</v>
      </c>
      <c r="D84" s="1">
        <v>12</v>
      </c>
      <c r="E84" s="3">
        <v>12500</v>
      </c>
      <c r="F84" s="4">
        <v>44661</v>
      </c>
      <c r="G84" s="8" t="str">
        <f>"Q"&amp;ROUNDUP(MONTH(B84)/3,0)</f>
        <v>Q1</v>
      </c>
      <c r="H84" s="3">
        <f>IF(D84&gt;12,((E84/D84)*12),E84)</f>
        <v>12500</v>
      </c>
      <c r="I84" s="8" t="str">
        <f>IFERROR("Q"&amp;ROUNDUP(MONTH(F84)/3,0),"First Payment Pending")</f>
        <v>Q2</v>
      </c>
      <c r="J84" s="7">
        <f>_xlfn.IFNA(VLOOKUP(I84,'Reference Data'!$A$72:$B$75,2,FALSE),"First Payment Pending")</f>
        <v>44742</v>
      </c>
      <c r="K84" t="str">
        <f>VLOOKUP(C84,'Reference Data'!$A$4:$B$7,2,FALSE)</f>
        <v>Lin</v>
      </c>
      <c r="L84" s="54">
        <f>IF(G84=G83,SUMIFS($H$2:H84,$K$2:K84,K83,$G$2:G84,G83),Deal_Data[[#This Row],[ Commissionable ARR]])</f>
        <v>79890</v>
      </c>
    </row>
    <row r="85" spans="1:12" ht="15.75" customHeight="1" x14ac:dyDescent="0.2">
      <c r="A85" s="1">
        <v>10160</v>
      </c>
      <c r="B85" s="2">
        <v>44618</v>
      </c>
      <c r="C85" s="1" t="s">
        <v>8</v>
      </c>
      <c r="D85" s="1">
        <v>12</v>
      </c>
      <c r="E85" s="3">
        <v>26500</v>
      </c>
      <c r="F85" s="4">
        <v>44649</v>
      </c>
      <c r="G85" s="8" t="str">
        <f>"Q"&amp;ROUNDUP(MONTH(B85)/3,0)</f>
        <v>Q1</v>
      </c>
      <c r="H85" s="3">
        <f>IF(D85&gt;12,((E85/D85)*12),E85)</f>
        <v>26500</v>
      </c>
      <c r="I85" s="8" t="str">
        <f>IFERROR("Q"&amp;ROUNDUP(MONTH(F85)/3,0),"First Payment Pending")</f>
        <v>Q1</v>
      </c>
      <c r="J85" s="7">
        <f>_xlfn.IFNA(VLOOKUP(I85,'Reference Data'!$A$72:$B$75,2,FALSE),"First Payment Pending")</f>
        <v>44651</v>
      </c>
      <c r="K85" t="str">
        <f>VLOOKUP(C85,'Reference Data'!$A$4:$B$7,2,FALSE)</f>
        <v>Lin</v>
      </c>
      <c r="L85" s="54">
        <f>IF(G85=G84,SUMIFS($H$2:H85,$K$2:K85,K84,$G$2:G85,G84),Deal_Data[[#This Row],[ Commissionable ARR]])</f>
        <v>106390</v>
      </c>
    </row>
    <row r="86" spans="1:12" ht="15.75" customHeight="1" x14ac:dyDescent="0.2">
      <c r="A86" s="1">
        <v>10165</v>
      </c>
      <c r="B86" s="2">
        <v>44618</v>
      </c>
      <c r="C86" s="1" t="s">
        <v>8</v>
      </c>
      <c r="D86" s="1">
        <v>12</v>
      </c>
      <c r="E86" s="3">
        <v>1500</v>
      </c>
      <c r="F86" s="4">
        <v>44647</v>
      </c>
      <c r="G86" s="8" t="str">
        <f>"Q"&amp;ROUNDUP(MONTH(B86)/3,0)</f>
        <v>Q1</v>
      </c>
      <c r="H86" s="3">
        <f>IF(D86&gt;12,((E86/D86)*12),E86)</f>
        <v>1500</v>
      </c>
      <c r="I86" s="8" t="str">
        <f>IFERROR("Q"&amp;ROUNDUP(MONTH(F86)/3,0),"First Payment Pending")</f>
        <v>Q1</v>
      </c>
      <c r="J86" s="7">
        <f>_xlfn.IFNA(VLOOKUP(I86,'Reference Data'!$A$72:$B$75,2,FALSE),"First Payment Pending")</f>
        <v>44651</v>
      </c>
      <c r="K86" t="str">
        <f>VLOOKUP(C86,'Reference Data'!$A$4:$B$7,2,FALSE)</f>
        <v>Lin</v>
      </c>
      <c r="L86" s="54">
        <f>IF(G86=G85,SUMIFS($H$2:H86,$K$2:K86,K85,$G$2:G86,G85),Deal_Data[[#This Row],[ Commissionable ARR]])</f>
        <v>107890</v>
      </c>
    </row>
    <row r="87" spans="1:12" ht="15.75" customHeight="1" x14ac:dyDescent="0.2">
      <c r="A87" s="1">
        <v>10145</v>
      </c>
      <c r="B87" s="2">
        <v>44619</v>
      </c>
      <c r="C87" s="5" t="s">
        <v>8</v>
      </c>
      <c r="D87" s="1">
        <v>20</v>
      </c>
      <c r="E87" s="3">
        <v>8750</v>
      </c>
      <c r="F87" s="4">
        <v>44692</v>
      </c>
      <c r="G87" s="8" t="str">
        <f>"Q"&amp;ROUNDUP(MONTH(B87)/3,0)</f>
        <v>Q1</v>
      </c>
      <c r="H87" s="3">
        <f>IF(D87&gt;12,((E87/D87)*12),E87)</f>
        <v>5250</v>
      </c>
      <c r="I87" s="8" t="str">
        <f>IFERROR("Q"&amp;ROUNDUP(MONTH(F87)/3,0),"First Payment Pending")</f>
        <v>Q2</v>
      </c>
      <c r="J87" s="7">
        <f>_xlfn.IFNA(VLOOKUP(I87,'Reference Data'!$A$72:$B$75,2,FALSE),"First Payment Pending")</f>
        <v>44742</v>
      </c>
      <c r="K87" t="str">
        <f>VLOOKUP(C87,'Reference Data'!$A$4:$B$7,2,FALSE)</f>
        <v>Lin</v>
      </c>
      <c r="L87" s="54">
        <f>IF(G87=G86,SUMIFS($H$2:H87,$K$2:K87,K86,$G$2:G87,G86),Deal_Data[[#This Row],[ Commissionable ARR]])</f>
        <v>113140</v>
      </c>
    </row>
    <row r="88" spans="1:12" ht="15.75" customHeight="1" x14ac:dyDescent="0.2">
      <c r="A88" s="1">
        <v>10155</v>
      </c>
      <c r="B88" s="2">
        <v>44622</v>
      </c>
      <c r="C88" s="1" t="s">
        <v>8</v>
      </c>
      <c r="D88" s="1">
        <v>12</v>
      </c>
      <c r="E88" s="3">
        <v>12000</v>
      </c>
      <c r="F88" s="4">
        <v>44645</v>
      </c>
      <c r="G88" s="8" t="str">
        <f>"Q"&amp;ROUNDUP(MONTH(B88)/3,0)</f>
        <v>Q1</v>
      </c>
      <c r="H88" s="3">
        <f>IF(D88&gt;12,((E88/D88)*12),E88)</f>
        <v>12000</v>
      </c>
      <c r="I88" s="8" t="str">
        <f>IFERROR("Q"&amp;ROUNDUP(MONTH(F88)/3,0),"First Payment Pending")</f>
        <v>Q1</v>
      </c>
      <c r="J88" s="7">
        <f>_xlfn.IFNA(VLOOKUP(I88,'Reference Data'!$A$72:$B$75,2,FALSE),"First Payment Pending")</f>
        <v>44651</v>
      </c>
      <c r="K88" t="str">
        <f>VLOOKUP(C88,'Reference Data'!$A$4:$B$7,2,FALSE)</f>
        <v>Lin</v>
      </c>
      <c r="L88" s="54">
        <f>IF(G88=G87,SUMIFS($H$2:H88,$K$2:K88,K87,$G$2:G88,G87),Deal_Data[[#This Row],[ Commissionable ARR]])</f>
        <v>125140</v>
      </c>
    </row>
    <row r="89" spans="1:12" ht="15.75" customHeight="1" x14ac:dyDescent="0.2">
      <c r="A89" s="1">
        <v>10140</v>
      </c>
      <c r="B89" s="2">
        <v>44625</v>
      </c>
      <c r="C89" s="1" t="s">
        <v>8</v>
      </c>
      <c r="D89" s="1">
        <v>12</v>
      </c>
      <c r="E89" s="3">
        <v>5600</v>
      </c>
      <c r="F89" s="4">
        <v>44682</v>
      </c>
      <c r="G89" s="8" t="str">
        <f>"Q"&amp;ROUNDUP(MONTH(B89)/3,0)</f>
        <v>Q1</v>
      </c>
      <c r="H89" s="3">
        <f>IF(D89&gt;12,((E89/D89)*12),E89)</f>
        <v>5600</v>
      </c>
      <c r="I89" s="8" t="str">
        <f>IFERROR("Q"&amp;ROUNDUP(MONTH(F89)/3,0),"First Payment Pending")</f>
        <v>Q2</v>
      </c>
      <c r="J89" s="7">
        <f>_xlfn.IFNA(VLOOKUP(I89,'Reference Data'!$A$72:$B$75,2,FALSE),"First Payment Pending")</f>
        <v>44742</v>
      </c>
      <c r="K89" t="str">
        <f>VLOOKUP(C89,'Reference Data'!$A$4:$B$7,2,FALSE)</f>
        <v>Lin</v>
      </c>
      <c r="L89" s="54">
        <f>IF(G89=G88,SUMIFS($H$2:H89,$K$2:K89,K88,$G$2:G89,G88),Deal_Data[[#This Row],[ Commissionable ARR]])</f>
        <v>130740</v>
      </c>
    </row>
    <row r="90" spans="1:12" ht="15.75" customHeight="1" x14ac:dyDescent="0.2">
      <c r="A90" s="1">
        <v>10285</v>
      </c>
      <c r="B90" s="2">
        <v>44626</v>
      </c>
      <c r="C90" s="5" t="s">
        <v>8</v>
      </c>
      <c r="D90" s="1">
        <v>36</v>
      </c>
      <c r="E90" s="3">
        <v>15000</v>
      </c>
      <c r="F90" s="4">
        <v>44656</v>
      </c>
      <c r="G90" s="8" t="str">
        <f>"Q"&amp;ROUNDUP(MONTH(B90)/3,0)</f>
        <v>Q1</v>
      </c>
      <c r="H90" s="3">
        <f>IF(D90&gt;12,((E90/D90)*12),E90)</f>
        <v>5000</v>
      </c>
      <c r="I90" s="8" t="str">
        <f>IFERROR("Q"&amp;ROUNDUP(MONTH(F90)/3,0),"First Payment Pending")</f>
        <v>Q2</v>
      </c>
      <c r="J90" s="7">
        <f>_xlfn.IFNA(VLOOKUP(I90,'Reference Data'!$A$72:$B$75,2,FALSE),"First Payment Pending")</f>
        <v>44742</v>
      </c>
      <c r="K90" t="str">
        <f>VLOOKUP(C90,'Reference Data'!$A$4:$B$7,2,FALSE)</f>
        <v>Lin</v>
      </c>
      <c r="L90" s="54">
        <f>IF(G90=G89,SUMIFS($H$2:H90,$K$2:K90,K89,$G$2:G90,G89),Deal_Data[[#This Row],[ Commissionable ARR]])</f>
        <v>135740</v>
      </c>
    </row>
    <row r="91" spans="1:12" ht="15.75" customHeight="1" x14ac:dyDescent="0.2">
      <c r="A91" s="1">
        <v>10290</v>
      </c>
      <c r="B91" s="2">
        <v>44629</v>
      </c>
      <c r="C91" s="5" t="s">
        <v>8</v>
      </c>
      <c r="D91" s="1">
        <v>12</v>
      </c>
      <c r="E91" s="3">
        <v>64000</v>
      </c>
      <c r="F91" s="4">
        <v>44713</v>
      </c>
      <c r="G91" s="8" t="str">
        <f>"Q"&amp;ROUNDUP(MONTH(B91)/3,0)</f>
        <v>Q1</v>
      </c>
      <c r="H91" s="3">
        <f>IF(D91&gt;12,((E91/D91)*12),E91)</f>
        <v>64000</v>
      </c>
      <c r="I91" s="8" t="str">
        <f>IFERROR("Q"&amp;ROUNDUP(MONTH(F91)/3,0),"First Payment Pending")</f>
        <v>Q2</v>
      </c>
      <c r="J91" s="7">
        <f>_xlfn.IFNA(VLOOKUP(I91,'Reference Data'!$A$72:$B$75,2,FALSE),"First Payment Pending")</f>
        <v>44742</v>
      </c>
      <c r="K91" t="str">
        <f>VLOOKUP(C91,'Reference Data'!$A$4:$B$7,2,FALSE)</f>
        <v>Lin</v>
      </c>
      <c r="L91" s="54">
        <f>IF(G91=G90,SUMIFS($H$2:H91,$K$2:K91,K90,$G$2:G91,G90),Deal_Data[[#This Row],[ Commissionable ARR]])</f>
        <v>199740</v>
      </c>
    </row>
    <row r="92" spans="1:12" ht="15.75" customHeight="1" x14ac:dyDescent="0.2">
      <c r="A92" s="1">
        <v>10280</v>
      </c>
      <c r="B92" s="2">
        <v>44633</v>
      </c>
      <c r="C92" s="1" t="s">
        <v>8</v>
      </c>
      <c r="D92" s="1">
        <v>36</v>
      </c>
      <c r="E92" s="3">
        <v>15000</v>
      </c>
      <c r="F92" s="4">
        <v>44634</v>
      </c>
      <c r="G92" s="8" t="str">
        <f>"Q"&amp;ROUNDUP(MONTH(B92)/3,0)</f>
        <v>Q1</v>
      </c>
      <c r="H92" s="3">
        <f>IF(D92&gt;12,((E92/D92)*12),E92)</f>
        <v>5000</v>
      </c>
      <c r="I92" s="8" t="str">
        <f>IFERROR("Q"&amp;ROUNDUP(MONTH(F92)/3,0),"First Payment Pending")</f>
        <v>Q1</v>
      </c>
      <c r="J92" s="7">
        <f>_xlfn.IFNA(VLOOKUP(I92,'Reference Data'!$A$72:$B$75,2,FALSE),"First Payment Pending")</f>
        <v>44651</v>
      </c>
      <c r="K92" t="str">
        <f>VLOOKUP(C92,'Reference Data'!$A$4:$B$7,2,FALSE)</f>
        <v>Lin</v>
      </c>
      <c r="L92" s="54">
        <f>IF(G92=G91,SUMIFS($H$2:H92,$K$2:K92,K91,$G$2:G92,G91),Deal_Data[[#This Row],[ Commissionable ARR]])</f>
        <v>204740</v>
      </c>
    </row>
    <row r="93" spans="1:12" ht="15.75" customHeight="1" x14ac:dyDescent="0.2">
      <c r="A93" s="1">
        <v>10215</v>
      </c>
      <c r="B93" s="2">
        <v>44636</v>
      </c>
      <c r="C93" s="1" t="s">
        <v>8</v>
      </c>
      <c r="D93" s="1">
        <v>12</v>
      </c>
      <c r="E93" s="3">
        <v>2000</v>
      </c>
      <c r="F93" s="4">
        <v>44695</v>
      </c>
      <c r="G93" s="8" t="str">
        <f>"Q"&amp;ROUNDUP(MONTH(B93)/3,0)</f>
        <v>Q1</v>
      </c>
      <c r="H93" s="3">
        <f>IF(D93&gt;12,((E93/D93)*12),E93)</f>
        <v>2000</v>
      </c>
      <c r="I93" s="8" t="str">
        <f>IFERROR("Q"&amp;ROUNDUP(MONTH(F93)/3,0),"First Payment Pending")</f>
        <v>Q2</v>
      </c>
      <c r="J93" s="7">
        <f>_xlfn.IFNA(VLOOKUP(I93,'Reference Data'!$A$72:$B$75,2,FALSE),"First Payment Pending")</f>
        <v>44742</v>
      </c>
      <c r="K93" t="str">
        <f>VLOOKUP(C93,'Reference Data'!$A$4:$B$7,2,FALSE)</f>
        <v>Lin</v>
      </c>
      <c r="L93" s="54">
        <f>IF(G93=G92,SUMIFS($H$2:H93,$K$2:K93,K92,$G$2:G93,G92),Deal_Data[[#This Row],[ Commissionable ARR]])</f>
        <v>206740</v>
      </c>
    </row>
    <row r="94" spans="1:12" ht="15.75" customHeight="1" x14ac:dyDescent="0.2">
      <c r="A94" s="1">
        <v>10045</v>
      </c>
      <c r="B94" s="2">
        <v>44641</v>
      </c>
      <c r="C94" s="1" t="s">
        <v>8</v>
      </c>
      <c r="D94" s="1">
        <v>30</v>
      </c>
      <c r="E94" s="3">
        <v>18000</v>
      </c>
      <c r="F94" s="4">
        <v>44670</v>
      </c>
      <c r="G94" s="8" t="str">
        <f>"Q"&amp;ROUNDUP(MONTH(B94)/3,0)</f>
        <v>Q1</v>
      </c>
      <c r="H94" s="3">
        <f>IF(D94&gt;12,((E94/D94)*12),E94)</f>
        <v>7200</v>
      </c>
      <c r="I94" s="8" t="str">
        <f>IFERROR("Q"&amp;ROUNDUP(MONTH(F94)/3,0),"First Payment Pending")</f>
        <v>Q2</v>
      </c>
      <c r="J94" s="7">
        <f>_xlfn.IFNA(VLOOKUP(I94,'Reference Data'!$A$72:$B$75,2,FALSE),"First Payment Pending")</f>
        <v>44742</v>
      </c>
      <c r="K94" t="str">
        <f>VLOOKUP(C94,'Reference Data'!$A$4:$B$7,2,FALSE)</f>
        <v>Lin</v>
      </c>
      <c r="L94" s="54">
        <f>IF(G94=G93,SUMIFS($H$2:H94,$K$2:K94,K93,$G$2:G94,G93),Deal_Data[[#This Row],[ Commissionable ARR]])</f>
        <v>213940</v>
      </c>
    </row>
    <row r="95" spans="1:12" ht="15.75" customHeight="1" x14ac:dyDescent="0.2">
      <c r="A95" s="1">
        <v>10025</v>
      </c>
      <c r="B95" s="2">
        <v>44642</v>
      </c>
      <c r="C95" s="1" t="s">
        <v>8</v>
      </c>
      <c r="D95" s="1">
        <v>12</v>
      </c>
      <c r="E95" s="3">
        <v>25000</v>
      </c>
      <c r="F95" s="4">
        <v>44710</v>
      </c>
      <c r="G95" s="8" t="str">
        <f>"Q"&amp;ROUNDUP(MONTH(B95)/3,0)</f>
        <v>Q1</v>
      </c>
      <c r="H95" s="3">
        <f>IF(D95&gt;12,((E95/D95)*12),E95)</f>
        <v>25000</v>
      </c>
      <c r="I95" s="8" t="str">
        <f>IFERROR("Q"&amp;ROUNDUP(MONTH(F95)/3,0),"First Payment Pending")</f>
        <v>Q2</v>
      </c>
      <c r="J95" s="7">
        <f>_xlfn.IFNA(VLOOKUP(I95,'Reference Data'!$A$72:$B$75,2,FALSE),"First Payment Pending")</f>
        <v>44742</v>
      </c>
      <c r="K95" t="str">
        <f>VLOOKUP(C95,'Reference Data'!$A$4:$B$7,2,FALSE)</f>
        <v>Lin</v>
      </c>
      <c r="L95" s="54">
        <f>IF(G95=G94,SUMIFS($H$2:H95,$K$2:K95,K94,$G$2:G95,G94),Deal_Data[[#This Row],[ Commissionable ARR]])</f>
        <v>238940</v>
      </c>
    </row>
    <row r="96" spans="1:12" ht="15.75" customHeight="1" x14ac:dyDescent="0.2">
      <c r="A96" s="1">
        <v>10245</v>
      </c>
      <c r="B96" s="2">
        <v>44643</v>
      </c>
      <c r="C96" s="5" t="s">
        <v>8</v>
      </c>
      <c r="D96" s="1">
        <v>12</v>
      </c>
      <c r="E96" s="3">
        <v>3000</v>
      </c>
      <c r="F96" s="4">
        <v>44664</v>
      </c>
      <c r="G96" s="8" t="str">
        <f>"Q"&amp;ROUNDUP(MONTH(B96)/3,0)</f>
        <v>Q1</v>
      </c>
      <c r="H96" s="3">
        <f>IF(D96&gt;12,((E96/D96)*12),E96)</f>
        <v>3000</v>
      </c>
      <c r="I96" s="8" t="str">
        <f>IFERROR("Q"&amp;ROUNDUP(MONTH(F96)/3,0),"First Payment Pending")</f>
        <v>Q2</v>
      </c>
      <c r="J96" s="7">
        <f>_xlfn.IFNA(VLOOKUP(I96,'Reference Data'!$A$72:$B$75,2,FALSE),"First Payment Pending")</f>
        <v>44742</v>
      </c>
      <c r="K96" t="str">
        <f>VLOOKUP(C96,'Reference Data'!$A$4:$B$7,2,FALSE)</f>
        <v>Lin</v>
      </c>
      <c r="L96" s="54">
        <f>IF(G96=G95,SUMIFS($H$2:H96,$K$2:K96,K95,$G$2:G96,G95),Deal_Data[[#This Row],[ Commissionable ARR]])</f>
        <v>241940</v>
      </c>
    </row>
    <row r="97" spans="1:12" ht="15.75" customHeight="1" x14ac:dyDescent="0.2">
      <c r="A97" s="1">
        <v>10020</v>
      </c>
      <c r="B97" s="2">
        <v>44646</v>
      </c>
      <c r="C97" s="1" t="s">
        <v>8</v>
      </c>
      <c r="D97" s="1">
        <v>12</v>
      </c>
      <c r="E97" s="3">
        <v>12000</v>
      </c>
      <c r="F97" s="4">
        <v>44685</v>
      </c>
      <c r="G97" s="8" t="str">
        <f>"Q"&amp;ROUNDUP(MONTH(B97)/3,0)</f>
        <v>Q1</v>
      </c>
      <c r="H97" s="3">
        <f>IF(D97&gt;12,((E97/D97)*12),E97)</f>
        <v>12000</v>
      </c>
      <c r="I97" s="8" t="str">
        <f>IFERROR("Q"&amp;ROUNDUP(MONTH(F97)/3,0),"First Payment Pending")</f>
        <v>Q2</v>
      </c>
      <c r="J97" s="7">
        <f>_xlfn.IFNA(VLOOKUP(I97,'Reference Data'!$A$72:$B$75,2,FALSE),"First Payment Pending")</f>
        <v>44742</v>
      </c>
      <c r="K97" t="str">
        <f>VLOOKUP(C97,'Reference Data'!$A$4:$B$7,2,FALSE)</f>
        <v>Lin</v>
      </c>
      <c r="L97" s="54">
        <f>IF(G97=G96,SUMIFS($H$2:H97,$K$2:K97,K96,$G$2:G97,G96),Deal_Data[[#This Row],[ Commissionable ARR]])</f>
        <v>253940</v>
      </c>
    </row>
    <row r="98" spans="1:12" ht="15.75" customHeight="1" x14ac:dyDescent="0.2">
      <c r="A98" s="1">
        <v>10035</v>
      </c>
      <c r="B98" s="2">
        <v>44646</v>
      </c>
      <c r="C98" s="5" t="s">
        <v>8</v>
      </c>
      <c r="D98" s="1">
        <v>30</v>
      </c>
      <c r="E98" s="3">
        <v>3000</v>
      </c>
      <c r="F98" s="4">
        <v>44658</v>
      </c>
      <c r="G98" s="8" t="str">
        <f>"Q"&amp;ROUNDUP(MONTH(B98)/3,0)</f>
        <v>Q1</v>
      </c>
      <c r="H98" s="3">
        <f>IF(D98&gt;12,((E98/D98)*12),E98)</f>
        <v>1200</v>
      </c>
      <c r="I98" s="8" t="str">
        <f>IFERROR("Q"&amp;ROUNDUP(MONTH(F98)/3,0),"First Payment Pending")</f>
        <v>Q2</v>
      </c>
      <c r="J98" s="7">
        <f>_xlfn.IFNA(VLOOKUP(I98,'Reference Data'!$A$72:$B$75,2,FALSE),"First Payment Pending")</f>
        <v>44742</v>
      </c>
      <c r="K98" t="str">
        <f>VLOOKUP(C98,'Reference Data'!$A$4:$B$7,2,FALSE)</f>
        <v>Lin</v>
      </c>
      <c r="L98" s="54">
        <f>IF(G98=G97,SUMIFS($H$2:H98,$K$2:K98,K97,$G$2:G98,G97),Deal_Data[[#This Row],[ Commissionable ARR]])</f>
        <v>255140</v>
      </c>
    </row>
    <row r="99" spans="1:12" ht="15.75" customHeight="1" x14ac:dyDescent="0.2">
      <c r="A99" s="1">
        <v>10240</v>
      </c>
      <c r="B99" s="2">
        <v>44647</v>
      </c>
      <c r="C99" s="1" t="s">
        <v>8</v>
      </c>
      <c r="D99" s="1">
        <v>20</v>
      </c>
      <c r="E99" s="3">
        <v>8025</v>
      </c>
      <c r="F99" s="4">
        <v>44675</v>
      </c>
      <c r="G99" s="8" t="str">
        <f>"Q"&amp;ROUNDUP(MONTH(B99)/3,0)</f>
        <v>Q1</v>
      </c>
      <c r="H99" s="3">
        <f>IF(D99&gt;12,((E99/D99)*12),E99)</f>
        <v>4815</v>
      </c>
      <c r="I99" s="8" t="str">
        <f>IFERROR("Q"&amp;ROUNDUP(MONTH(F99)/3,0),"First Payment Pending")</f>
        <v>Q2</v>
      </c>
      <c r="J99" s="7">
        <f>_xlfn.IFNA(VLOOKUP(I99,'Reference Data'!$A$72:$B$75,2,FALSE),"First Payment Pending")</f>
        <v>44742</v>
      </c>
      <c r="K99" t="str">
        <f>VLOOKUP(C99,'Reference Data'!$A$4:$B$7,2,FALSE)</f>
        <v>Lin</v>
      </c>
      <c r="L99" s="54">
        <f>IF(G99=G98,SUMIFS($H$2:H99,$K$2:K99,K98,$G$2:G99,G98),Deal_Data[[#This Row],[ Commissionable ARR]])</f>
        <v>259955</v>
      </c>
    </row>
    <row r="100" spans="1:12" ht="15.75" customHeight="1" x14ac:dyDescent="0.2">
      <c r="A100" s="1">
        <v>10030</v>
      </c>
      <c r="B100" s="2">
        <v>44648</v>
      </c>
      <c r="C100" s="1" t="s">
        <v>8</v>
      </c>
      <c r="D100" s="1">
        <v>30</v>
      </c>
      <c r="E100" s="3">
        <v>27500</v>
      </c>
      <c r="F100" s="4">
        <v>44656</v>
      </c>
      <c r="G100" s="8" t="str">
        <f>"Q"&amp;ROUNDUP(MONTH(B100)/3,0)</f>
        <v>Q1</v>
      </c>
      <c r="H100" s="3">
        <f>IF(D100&gt;12,((E100/D100)*12),E100)</f>
        <v>11000</v>
      </c>
      <c r="I100" s="8" t="str">
        <f>IFERROR("Q"&amp;ROUNDUP(MONTH(F100)/3,0),"First Payment Pending")</f>
        <v>Q2</v>
      </c>
      <c r="J100" s="7">
        <f>_xlfn.IFNA(VLOOKUP(I100,'Reference Data'!$A$72:$B$75,2,FALSE),"First Payment Pending")</f>
        <v>44742</v>
      </c>
      <c r="K100" t="str">
        <f>VLOOKUP(C100,'Reference Data'!$A$4:$B$7,2,FALSE)</f>
        <v>Lin</v>
      </c>
      <c r="L100" s="54">
        <f>IF(G100=G99,SUMIFS($H$2:H100,$K$2:K100,K99,$G$2:G100,G99),Deal_Data[[#This Row],[ Commissionable ARR]])</f>
        <v>270955</v>
      </c>
    </row>
    <row r="101" spans="1:12" ht="15.75" customHeight="1" x14ac:dyDescent="0.2">
      <c r="A101" s="1">
        <v>10210</v>
      </c>
      <c r="B101" s="2">
        <v>44648</v>
      </c>
      <c r="C101" s="1" t="s">
        <v>8</v>
      </c>
      <c r="D101" s="1">
        <v>12</v>
      </c>
      <c r="E101" s="3">
        <v>18000</v>
      </c>
      <c r="F101" s="4">
        <v>44653</v>
      </c>
      <c r="G101" s="8" t="str">
        <f>"Q"&amp;ROUNDUP(MONTH(B101)/3,0)</f>
        <v>Q1</v>
      </c>
      <c r="H101" s="3">
        <f>IF(D101&gt;12,((E101/D101)*12),E101)</f>
        <v>18000</v>
      </c>
      <c r="I101" s="8" t="str">
        <f>IFERROR("Q"&amp;ROUNDUP(MONTH(F101)/3,0),"First Payment Pending")</f>
        <v>Q2</v>
      </c>
      <c r="J101" s="7">
        <f>_xlfn.IFNA(VLOOKUP(I101,'Reference Data'!$A$72:$B$75,2,FALSE),"First Payment Pending")</f>
        <v>44742</v>
      </c>
      <c r="K101" t="str">
        <f>VLOOKUP(C101,'Reference Data'!$A$4:$B$7,2,FALSE)</f>
        <v>Lin</v>
      </c>
      <c r="L101" s="54">
        <f>IF(G101=G100,SUMIFS($H$2:H101,$K$2:K101,K100,$G$2:G101,G100),Deal_Data[[#This Row],[ Commissionable ARR]])</f>
        <v>288955</v>
      </c>
    </row>
    <row r="102" spans="1:12" ht="15.75" customHeight="1" x14ac:dyDescent="0.2">
      <c r="A102" s="1">
        <v>10205</v>
      </c>
      <c r="B102" s="2">
        <v>44649</v>
      </c>
      <c r="C102" s="5" t="s">
        <v>8</v>
      </c>
      <c r="D102" s="1">
        <v>12</v>
      </c>
      <c r="E102" s="3">
        <v>2400</v>
      </c>
      <c r="F102" s="4">
        <v>44653</v>
      </c>
      <c r="G102" s="8" t="str">
        <f>"Q"&amp;ROUNDUP(MONTH(B102)/3,0)</f>
        <v>Q1</v>
      </c>
      <c r="H102" s="3">
        <f>IF(D102&gt;12,((E102/D102)*12),E102)</f>
        <v>2400</v>
      </c>
      <c r="I102" s="8" t="str">
        <f>IFERROR("Q"&amp;ROUNDUP(MONTH(F102)/3,0),"First Payment Pending")</f>
        <v>Q2</v>
      </c>
      <c r="J102" s="7">
        <f>_xlfn.IFNA(VLOOKUP(I102,'Reference Data'!$A$72:$B$75,2,FALSE),"First Payment Pending")</f>
        <v>44742</v>
      </c>
      <c r="K102" t="str">
        <f>VLOOKUP(C102,'Reference Data'!$A$4:$B$7,2,FALSE)</f>
        <v>Lin</v>
      </c>
      <c r="L102" s="54">
        <f>IF(G102=G101,SUMIFS($H$2:H102,$K$2:K102,K101,$G$2:G102,G101),Deal_Data[[#This Row],[ Commissionable ARR]])</f>
        <v>291355</v>
      </c>
    </row>
    <row r="103" spans="1:12" ht="15.75" customHeight="1" x14ac:dyDescent="0.2">
      <c r="A103" s="1">
        <v>10225</v>
      </c>
      <c r="B103" s="2">
        <v>44649</v>
      </c>
      <c r="C103" s="1" t="s">
        <v>8</v>
      </c>
      <c r="D103" s="1">
        <v>12</v>
      </c>
      <c r="E103" s="3">
        <v>8500</v>
      </c>
      <c r="F103" s="4">
        <v>44718</v>
      </c>
      <c r="G103" s="8" t="str">
        <f>"Q"&amp;ROUNDUP(MONTH(B103)/3,0)</f>
        <v>Q1</v>
      </c>
      <c r="H103" s="3">
        <f>IF(D103&gt;12,((E103/D103)*12),E103)</f>
        <v>8500</v>
      </c>
      <c r="I103" s="8" t="str">
        <f>IFERROR("Q"&amp;ROUNDUP(MONTH(F103)/3,0),"First Payment Pending")</f>
        <v>Q2</v>
      </c>
      <c r="J103" s="7">
        <f>_xlfn.IFNA(VLOOKUP(I103,'Reference Data'!$A$72:$B$75,2,FALSE),"First Payment Pending")</f>
        <v>44742</v>
      </c>
      <c r="K103" t="str">
        <f>VLOOKUP(C103,'Reference Data'!$A$4:$B$7,2,FALSE)</f>
        <v>Lin</v>
      </c>
      <c r="L103" s="54">
        <f>IF(G103=G102,SUMIFS($H$2:H103,$K$2:K103,K102,$G$2:G103,G102),Deal_Data[[#This Row],[ Commissionable ARR]])</f>
        <v>299855</v>
      </c>
    </row>
    <row r="104" spans="1:12" ht="15.75" customHeight="1" x14ac:dyDescent="0.2">
      <c r="A104" s="1">
        <v>10185</v>
      </c>
      <c r="B104" s="2">
        <v>44651</v>
      </c>
      <c r="C104" s="1" t="s">
        <v>8</v>
      </c>
      <c r="D104" s="5">
        <v>12</v>
      </c>
      <c r="E104" s="3">
        <v>15000</v>
      </c>
      <c r="F104" s="4">
        <v>44657</v>
      </c>
      <c r="G104" s="8" t="str">
        <f>"Q"&amp;ROUNDUP(MONTH(B104)/3,0)</f>
        <v>Q1</v>
      </c>
      <c r="H104" s="3">
        <f>IF(D104&gt;12,((E104/D104)*12),E104)</f>
        <v>15000</v>
      </c>
      <c r="I104" s="8" t="str">
        <f>IFERROR("Q"&amp;ROUNDUP(MONTH(F104)/3,0),"First Payment Pending")</f>
        <v>Q2</v>
      </c>
      <c r="J104" s="7">
        <f>_xlfn.IFNA(VLOOKUP(I104,'Reference Data'!$A$72:$B$75,2,FALSE),"First Payment Pending")</f>
        <v>44742</v>
      </c>
      <c r="K104" t="str">
        <f>VLOOKUP(C104,'Reference Data'!$A$4:$B$7,2,FALSE)</f>
        <v>Lin</v>
      </c>
      <c r="L104" s="54">
        <f>IF(G104=G103,SUMIFS($H$2:H104,$K$2:K104,K103,$G$2:G104,G103),Deal_Data[[#This Row],[ Commissionable ARR]])</f>
        <v>314855</v>
      </c>
    </row>
    <row r="105" spans="1:12" ht="15.75" customHeight="1" x14ac:dyDescent="0.2">
      <c r="A105" s="1">
        <v>10190</v>
      </c>
      <c r="B105" s="2">
        <v>44651</v>
      </c>
      <c r="C105" s="5" t="s">
        <v>8</v>
      </c>
      <c r="D105" s="1">
        <v>12</v>
      </c>
      <c r="E105" s="3">
        <v>5000</v>
      </c>
      <c r="F105" s="4">
        <v>44672</v>
      </c>
      <c r="G105" s="8" t="str">
        <f>"Q"&amp;ROUNDUP(MONTH(B105)/3,0)</f>
        <v>Q1</v>
      </c>
      <c r="H105" s="3">
        <f>IF(D105&gt;12,((E105/D105)*12),E105)</f>
        <v>5000</v>
      </c>
      <c r="I105" s="8" t="str">
        <f>IFERROR("Q"&amp;ROUNDUP(MONTH(F105)/3,0),"First Payment Pending")</f>
        <v>Q2</v>
      </c>
      <c r="J105" s="7">
        <f>_xlfn.IFNA(VLOOKUP(I105,'Reference Data'!$A$72:$B$75,2,FALSE),"First Payment Pending")</f>
        <v>44742</v>
      </c>
      <c r="K105" t="str">
        <f>VLOOKUP(C105,'Reference Data'!$A$4:$B$7,2,FALSE)</f>
        <v>Lin</v>
      </c>
      <c r="L105" s="54">
        <f>IF(G105=G104,SUMIFS($H$2:H105,$K$2:K105,K104,$G$2:G105,G104),Deal_Data[[#This Row],[ Commissionable ARR]])</f>
        <v>319855</v>
      </c>
    </row>
    <row r="106" spans="1:12" ht="15.75" customHeight="1" x14ac:dyDescent="0.2">
      <c r="A106" s="1">
        <v>10195</v>
      </c>
      <c r="B106" s="2">
        <v>44651</v>
      </c>
      <c r="C106" s="1" t="s">
        <v>8</v>
      </c>
      <c r="D106" s="1">
        <v>12</v>
      </c>
      <c r="E106" s="3">
        <v>57500</v>
      </c>
      <c r="F106" s="4">
        <v>44661</v>
      </c>
      <c r="G106" s="8" t="str">
        <f>"Q"&amp;ROUNDUP(MONTH(B106)/3,0)</f>
        <v>Q1</v>
      </c>
      <c r="H106" s="3">
        <f>IF(D106&gt;12,((E106/D106)*12),E106)</f>
        <v>57500</v>
      </c>
      <c r="I106" s="8" t="str">
        <f>IFERROR("Q"&amp;ROUNDUP(MONTH(F106)/3,0),"First Payment Pending")</f>
        <v>Q2</v>
      </c>
      <c r="J106" s="7">
        <f>_xlfn.IFNA(VLOOKUP(I106,'Reference Data'!$A$72:$B$75,2,FALSE),"First Payment Pending")</f>
        <v>44742</v>
      </c>
      <c r="K106" t="str">
        <f>VLOOKUP(C106,'Reference Data'!$A$4:$B$7,2,FALSE)</f>
        <v>Lin</v>
      </c>
      <c r="L106" s="54">
        <f>IF(G106=G105,SUMIFS($H$2:H106,$K$2:K106,K105,$G$2:G106,G105),Deal_Data[[#This Row],[ Commissionable ARR]])</f>
        <v>377355</v>
      </c>
    </row>
    <row r="107" spans="1:12" ht="15.75" customHeight="1" x14ac:dyDescent="0.2">
      <c r="A107" s="1">
        <v>10180</v>
      </c>
      <c r="B107" s="2">
        <v>44668</v>
      </c>
      <c r="C107" s="1" t="s">
        <v>8</v>
      </c>
      <c r="D107" s="1">
        <v>12</v>
      </c>
      <c r="E107" s="3">
        <v>26052</v>
      </c>
      <c r="F107" s="4">
        <v>44705</v>
      </c>
      <c r="G107" s="8" t="str">
        <f>"Q"&amp;ROUNDUP(MONTH(B107)/3,0)</f>
        <v>Q2</v>
      </c>
      <c r="H107" s="3">
        <f>IF(D107&gt;12,((E107/D107)*12),E107)</f>
        <v>26052</v>
      </c>
      <c r="I107" s="8" t="str">
        <f>IFERROR("Q"&amp;ROUNDUP(MONTH(F107)/3,0),"First Payment Pending")</f>
        <v>Q2</v>
      </c>
      <c r="J107" s="7">
        <f>_xlfn.IFNA(VLOOKUP(I107,'Reference Data'!$A$72:$B$75,2,FALSE),"First Payment Pending")</f>
        <v>44742</v>
      </c>
      <c r="K107" t="str">
        <f>VLOOKUP(C107,'Reference Data'!$A$4:$B$7,2,FALSE)</f>
        <v>Lin</v>
      </c>
      <c r="L107" s="54">
        <f>IF(G107=G106,SUMIFS($H$2:H107,$K$2:K107,K106,$G$2:G107,G106),Deal_Data[[#This Row],[ Commissionable ARR]])</f>
        <v>26052</v>
      </c>
    </row>
    <row r="108" spans="1:12" ht="15.75" customHeight="1" x14ac:dyDescent="0.2">
      <c r="A108" s="1">
        <v>10295</v>
      </c>
      <c r="B108" s="2">
        <v>44679</v>
      </c>
      <c r="C108" s="1" t="s">
        <v>8</v>
      </c>
      <c r="D108" s="1">
        <v>12</v>
      </c>
      <c r="E108" s="3">
        <v>15400</v>
      </c>
      <c r="F108" s="4">
        <v>44715</v>
      </c>
      <c r="G108" s="8" t="str">
        <f>"Q"&amp;ROUNDUP(MONTH(B108)/3,0)</f>
        <v>Q2</v>
      </c>
      <c r="H108" s="3">
        <f>IF(D108&gt;12,((E108/D108)*12),E108)</f>
        <v>15400</v>
      </c>
      <c r="I108" s="8" t="str">
        <f>IFERROR("Q"&amp;ROUNDUP(MONTH(F108)/3,0),"First Payment Pending")</f>
        <v>Q2</v>
      </c>
      <c r="J108" s="7">
        <f>_xlfn.IFNA(VLOOKUP(I108,'Reference Data'!$A$72:$B$75,2,FALSE),"First Payment Pending")</f>
        <v>44742</v>
      </c>
      <c r="K108" t="str">
        <f>VLOOKUP(C108,'Reference Data'!$A$4:$B$7,2,FALSE)</f>
        <v>Lin</v>
      </c>
      <c r="L108" s="54">
        <f>IF(G108=G107,SUMIFS($H$2:H108,$K$2:K108,K107,$G$2:G108,G107),Deal_Data[[#This Row],[ Commissionable ARR]])</f>
        <v>41452</v>
      </c>
    </row>
    <row r="109" spans="1:12" ht="15.75" customHeight="1" x14ac:dyDescent="0.2">
      <c r="A109" s="1">
        <v>10010</v>
      </c>
      <c r="B109" s="2">
        <v>44681</v>
      </c>
      <c r="C109" s="1" t="s">
        <v>8</v>
      </c>
      <c r="D109" s="1">
        <v>36</v>
      </c>
      <c r="E109" s="3">
        <v>28500</v>
      </c>
      <c r="F109" s="4">
        <v>44723</v>
      </c>
      <c r="G109" s="8" t="str">
        <f>"Q"&amp;ROUNDUP(MONTH(B109)/3,0)</f>
        <v>Q2</v>
      </c>
      <c r="H109" s="3">
        <f>IF(D109&gt;12,((E109/D109)*12),E109)</f>
        <v>9500</v>
      </c>
      <c r="I109" s="8" t="str">
        <f>IFERROR("Q"&amp;ROUNDUP(MONTH(F109)/3,0),"First Payment Pending")</f>
        <v>Q2</v>
      </c>
      <c r="J109" s="7">
        <f>_xlfn.IFNA(VLOOKUP(I109,'Reference Data'!$A$72:$B$75,2,FALSE),"First Payment Pending")</f>
        <v>44742</v>
      </c>
      <c r="K109" t="str">
        <f>VLOOKUP(C109,'Reference Data'!$A$4:$B$7,2,FALSE)</f>
        <v>Lin</v>
      </c>
      <c r="L109" s="54">
        <f>IF(G109=G108,SUMIFS($H$2:H109,$K$2:K109,K108,$G$2:G109,G108),Deal_Data[[#This Row],[ Commissionable ARR]])</f>
        <v>50952</v>
      </c>
    </row>
    <row r="110" spans="1:12" ht="15.75" customHeight="1" x14ac:dyDescent="0.2">
      <c r="A110" s="1">
        <v>10015</v>
      </c>
      <c r="B110" s="2">
        <v>44681</v>
      </c>
      <c r="C110" s="1" t="s">
        <v>8</v>
      </c>
      <c r="D110" s="1">
        <v>12</v>
      </c>
      <c r="E110" s="3">
        <v>72000</v>
      </c>
      <c r="F110" s="4">
        <v>44701</v>
      </c>
      <c r="G110" s="8" t="str">
        <f>"Q"&amp;ROUNDUP(MONTH(B110)/3,0)</f>
        <v>Q2</v>
      </c>
      <c r="H110" s="3">
        <f>IF(D110&gt;12,((E110/D110)*12),E110)</f>
        <v>72000</v>
      </c>
      <c r="I110" s="8" t="str">
        <f>IFERROR("Q"&amp;ROUNDUP(MONTH(F110)/3,0),"First Payment Pending")</f>
        <v>Q2</v>
      </c>
      <c r="J110" s="7">
        <f>_xlfn.IFNA(VLOOKUP(I110,'Reference Data'!$A$72:$B$75,2,FALSE),"First Payment Pending")</f>
        <v>44742</v>
      </c>
      <c r="K110" t="str">
        <f>VLOOKUP(C110,'Reference Data'!$A$4:$B$7,2,FALSE)</f>
        <v>Lin</v>
      </c>
      <c r="L110" s="54">
        <f>IF(G110=G109,SUMIFS($H$2:H110,$K$2:K110,K109,$G$2:G110,G109),Deal_Data[[#This Row],[ Commissionable ARR]])</f>
        <v>122952</v>
      </c>
    </row>
    <row r="111" spans="1:12" ht="15.75" customHeight="1" x14ac:dyDescent="0.2">
      <c r="A111" s="1">
        <v>10005</v>
      </c>
      <c r="B111" s="2">
        <v>44684</v>
      </c>
      <c r="C111" s="5" t="s">
        <v>8</v>
      </c>
      <c r="D111" s="1">
        <v>12</v>
      </c>
      <c r="E111" s="3">
        <v>24000</v>
      </c>
      <c r="F111" s="4">
        <v>44692</v>
      </c>
      <c r="G111" s="8" t="str">
        <f>"Q"&amp;ROUNDUP(MONTH(B111)/3,0)</f>
        <v>Q2</v>
      </c>
      <c r="H111" s="3">
        <f>IF(D111&gt;12,((E111/D111)*12),E111)</f>
        <v>24000</v>
      </c>
      <c r="I111" s="8" t="str">
        <f>IFERROR("Q"&amp;ROUNDUP(MONTH(F111)/3,0),"First Payment Pending")</f>
        <v>Q2</v>
      </c>
      <c r="J111" s="7">
        <f>_xlfn.IFNA(VLOOKUP(I111,'Reference Data'!$A$72:$B$75,2,FALSE),"First Payment Pending")</f>
        <v>44742</v>
      </c>
      <c r="K111" t="str">
        <f>VLOOKUP(C111,'Reference Data'!$A$4:$B$7,2,FALSE)</f>
        <v>Lin</v>
      </c>
      <c r="L111" s="54">
        <f>IF(G111=G110,SUMIFS($H$2:H111,$K$2:K111,K110,$G$2:G111,G110),Deal_Data[[#This Row],[ Commissionable ARR]])</f>
        <v>146952</v>
      </c>
    </row>
    <row r="112" spans="1:12" ht="15.75" customHeight="1" x14ac:dyDescent="0.2">
      <c r="A112" s="1">
        <v>10300</v>
      </c>
      <c r="B112" s="2">
        <v>44684</v>
      </c>
      <c r="C112" s="5" t="s">
        <v>8</v>
      </c>
      <c r="D112" s="1">
        <v>30</v>
      </c>
      <c r="E112" s="3">
        <v>15000</v>
      </c>
      <c r="F112" s="4">
        <v>44688</v>
      </c>
      <c r="G112" s="8" t="str">
        <f>"Q"&amp;ROUNDUP(MONTH(B112)/3,0)</f>
        <v>Q2</v>
      </c>
      <c r="H112" s="3">
        <f>IF(D112&gt;12,((E112/D112)*12),E112)</f>
        <v>6000</v>
      </c>
      <c r="I112" s="8" t="str">
        <f>IFERROR("Q"&amp;ROUNDUP(MONTH(F112)/3,0),"First Payment Pending")</f>
        <v>Q2</v>
      </c>
      <c r="J112" s="7">
        <f>_xlfn.IFNA(VLOOKUP(I112,'Reference Data'!$A$72:$B$75,2,FALSE),"First Payment Pending")</f>
        <v>44742</v>
      </c>
      <c r="K112" t="str">
        <f>VLOOKUP(C112,'Reference Data'!$A$4:$B$7,2,FALSE)</f>
        <v>Lin</v>
      </c>
      <c r="L112" s="54">
        <f>IF(G112=G111,SUMIFS($H$2:H112,$K$2:K112,K111,$G$2:G112,G111),Deal_Data[[#This Row],[ Commissionable ARR]])</f>
        <v>152952</v>
      </c>
    </row>
    <row r="113" spans="1:12" ht="15.75" customHeight="1" x14ac:dyDescent="0.2">
      <c r="A113" s="1">
        <v>10235</v>
      </c>
      <c r="B113" s="2">
        <v>44707</v>
      </c>
      <c r="C113" s="1" t="s">
        <v>8</v>
      </c>
      <c r="D113" s="1">
        <v>20</v>
      </c>
      <c r="E113" s="3">
        <v>7200</v>
      </c>
      <c r="F113" s="4">
        <v>44704</v>
      </c>
      <c r="G113" s="8" t="str">
        <f>"Q"&amp;ROUNDUP(MONTH(B113)/3,0)</f>
        <v>Q2</v>
      </c>
      <c r="H113" s="3">
        <f>IF(D113&gt;12,((E113/D113)*12),E113)</f>
        <v>4320</v>
      </c>
      <c r="I113" s="8" t="str">
        <f>IFERROR("Q"&amp;ROUNDUP(MONTH(F113)/3,0),"First Payment Pending")</f>
        <v>Q2</v>
      </c>
      <c r="J113" s="7">
        <f>_xlfn.IFNA(VLOOKUP(I113,'Reference Data'!$A$72:$B$75,2,FALSE),"First Payment Pending")</f>
        <v>44742</v>
      </c>
      <c r="K113" t="str">
        <f>VLOOKUP(C113,'Reference Data'!$A$4:$B$7,2,FALSE)</f>
        <v>Lin</v>
      </c>
      <c r="L113" s="54">
        <f>IF(G113=G112,SUMIFS($H$2:H113,$K$2:K113,K112,$G$2:G113,G112),Deal_Data[[#This Row],[ Commissionable ARR]])</f>
        <v>157272</v>
      </c>
    </row>
    <row r="114" spans="1:12" ht="15.75" customHeight="1" x14ac:dyDescent="0.2">
      <c r="A114" s="1">
        <v>10200</v>
      </c>
      <c r="B114" s="6">
        <v>44714</v>
      </c>
      <c r="C114" s="1" t="s">
        <v>8</v>
      </c>
      <c r="D114" s="1">
        <v>12</v>
      </c>
      <c r="E114" s="3">
        <v>200000</v>
      </c>
      <c r="F114" s="4">
        <v>44734</v>
      </c>
      <c r="G114" s="8" t="str">
        <f>"Q"&amp;ROUNDUP(MONTH(B114)/3,0)</f>
        <v>Q2</v>
      </c>
      <c r="H114" s="3">
        <f>IF(D114&gt;12,((E114/D114)*12),E114)</f>
        <v>200000</v>
      </c>
      <c r="I114" s="8" t="str">
        <f>IFERROR("Q"&amp;ROUNDUP(MONTH(F114)/3,0),"First Payment Pending")</f>
        <v>Q2</v>
      </c>
      <c r="J114" s="7">
        <f>_xlfn.IFNA(VLOOKUP(I114,'Reference Data'!$A$72:$B$75,2,FALSE),"First Payment Pending")</f>
        <v>44742</v>
      </c>
      <c r="K114" t="str">
        <f>VLOOKUP(C114,'Reference Data'!$A$4:$B$7,2,FALSE)</f>
        <v>Lin</v>
      </c>
      <c r="L114" s="54">
        <f>IF(G114=G113,SUMIFS($H$2:H114,$K$2:K114,K113,$G$2:G114,G113),Deal_Data[[#This Row],[ Commissionable ARR]])</f>
        <v>357272</v>
      </c>
    </row>
    <row r="115" spans="1:12" ht="15.75" customHeight="1" x14ac:dyDescent="0.2">
      <c r="A115" s="1">
        <v>10310</v>
      </c>
      <c r="B115" s="2">
        <v>44740</v>
      </c>
      <c r="C115" s="5" t="s">
        <v>8</v>
      </c>
      <c r="D115" s="1">
        <v>12</v>
      </c>
      <c r="E115" s="3">
        <v>90000</v>
      </c>
      <c r="F115" s="5" t="s">
        <v>10</v>
      </c>
      <c r="G115" s="8" t="str">
        <f>"Q"&amp;ROUNDUP(MONTH(B115)/3,0)</f>
        <v>Q2</v>
      </c>
      <c r="H115" s="3">
        <f>IF(D115&gt;12,((E115/D115)*12),E115)</f>
        <v>90000</v>
      </c>
      <c r="I115" s="8" t="str">
        <f>IFERROR("Q"&amp;ROUNDUP(MONTH(F115)/3,0),"First Payment Pending")</f>
        <v>First Payment Pending</v>
      </c>
      <c r="J115" s="7" t="str">
        <f>_xlfn.IFNA(VLOOKUP(I115,'Reference Data'!$A$72:$B$75,2,FALSE),"First Payment Pending")</f>
        <v>First Payment Pending</v>
      </c>
      <c r="K115" t="str">
        <f>VLOOKUP(C115,'Reference Data'!$A$4:$B$7,2,FALSE)</f>
        <v>Lin</v>
      </c>
      <c r="L115" s="54">
        <f>IF(G115=G114,SUMIFS($H$2:H115,$K$2:K115,K114,$G$2:G115,G114),Deal_Data[[#This Row],[ Commissionable ARR]])</f>
        <v>447272</v>
      </c>
    </row>
    <row r="116" spans="1:12" ht="15.75" customHeight="1" x14ac:dyDescent="0.2">
      <c r="A116" s="1">
        <v>10305</v>
      </c>
      <c r="B116" s="2">
        <v>44742</v>
      </c>
      <c r="C116" s="1" t="s">
        <v>8</v>
      </c>
      <c r="D116" s="1">
        <v>12</v>
      </c>
      <c r="E116" s="3">
        <v>15600</v>
      </c>
      <c r="F116" s="5" t="s">
        <v>10</v>
      </c>
      <c r="G116" s="8" t="str">
        <f>"Q"&amp;ROUNDUP(MONTH(B116)/3,0)</f>
        <v>Q2</v>
      </c>
      <c r="H116" s="3">
        <f>IF(D116&gt;12,((E116/D116)*12),E116)</f>
        <v>15600</v>
      </c>
      <c r="I116" s="8" t="str">
        <f>IFERROR("Q"&amp;ROUNDUP(MONTH(F116)/3,0),"First Payment Pending")</f>
        <v>First Payment Pending</v>
      </c>
      <c r="J116" s="7" t="str">
        <f>_xlfn.IFNA(VLOOKUP(I116,'Reference Data'!$A$72:$B$75,2,FALSE),"First Payment Pending")</f>
        <v>First Payment Pending</v>
      </c>
      <c r="K116" t="str">
        <f>VLOOKUP(C116,'Reference Data'!$A$4:$B$7,2,FALSE)</f>
        <v>Lin</v>
      </c>
      <c r="L116" s="54">
        <f>IF(G116=G115,SUMIFS($H$2:H116,$K$2:K116,K115,$G$2:G116,G115),Deal_Data[[#This Row],[ Commissionable ARR]])</f>
        <v>462872</v>
      </c>
    </row>
    <row r="117" spans="1:12" ht="15.75" customHeight="1" x14ac:dyDescent="0.2">
      <c r="A117" s="1">
        <v>10315</v>
      </c>
      <c r="B117" s="2">
        <v>44742</v>
      </c>
      <c r="C117" s="1" t="s">
        <v>8</v>
      </c>
      <c r="D117" s="1">
        <v>12</v>
      </c>
      <c r="E117" s="3">
        <v>34000</v>
      </c>
      <c r="F117" s="5" t="s">
        <v>10</v>
      </c>
      <c r="G117" s="8" t="str">
        <f>"Q"&amp;ROUNDUP(MONTH(B117)/3,0)</f>
        <v>Q2</v>
      </c>
      <c r="H117" s="3">
        <f>IF(D117&gt;12,((E117/D117)*12),E117)</f>
        <v>34000</v>
      </c>
      <c r="I117" s="8" t="str">
        <f>IFERROR("Q"&amp;ROUNDUP(MONTH(F117)/3,0),"First Payment Pending")</f>
        <v>First Payment Pending</v>
      </c>
      <c r="J117" s="7" t="str">
        <f>_xlfn.IFNA(VLOOKUP(I117,'Reference Data'!$A$72:$B$75,2,FALSE),"First Payment Pending")</f>
        <v>First Payment Pending</v>
      </c>
      <c r="K117" t="str">
        <f>VLOOKUP(C117,'Reference Data'!$A$4:$B$7,2,FALSE)</f>
        <v>Lin</v>
      </c>
      <c r="L117" s="54">
        <f>IF(G117=G116,SUMIFS($H$2:H117,$K$2:K117,K116,$G$2:G117,G116),Deal_Data[[#This Row],[ Commissionable ARR]])</f>
        <v>496872</v>
      </c>
    </row>
    <row r="118" spans="1:12" ht="15.75" customHeight="1" x14ac:dyDescent="0.2">
      <c r="A118" s="1"/>
      <c r="B118" s="4"/>
      <c r="C118" s="1"/>
      <c r="D118" s="1"/>
      <c r="E118" s="1"/>
      <c r="F118" s="4"/>
    </row>
    <row r="119" spans="1:12" ht="15.75" customHeight="1" x14ac:dyDescent="0.2">
      <c r="A119" s="1"/>
      <c r="B119" s="4"/>
      <c r="C119" s="1"/>
      <c r="D119" s="1"/>
      <c r="E119" s="1"/>
      <c r="F119" s="4"/>
    </row>
    <row r="120" spans="1:12" ht="15.75" customHeight="1" x14ac:dyDescent="0.2">
      <c r="A120" s="1"/>
      <c r="B120" s="4"/>
      <c r="C120" s="1"/>
      <c r="D120" s="1"/>
      <c r="E120" s="1"/>
      <c r="F120" s="4"/>
    </row>
    <row r="121" spans="1:12" ht="15.75" customHeight="1" x14ac:dyDescent="0.2">
      <c r="A121" s="1"/>
      <c r="B121" s="4"/>
      <c r="C121" s="1"/>
      <c r="D121" s="1"/>
      <c r="E121" s="1"/>
      <c r="F121" s="4"/>
    </row>
    <row r="122" spans="1:12" ht="15.75" customHeight="1" x14ac:dyDescent="0.2">
      <c r="A122" s="1"/>
      <c r="B122" s="4"/>
      <c r="C122" s="1"/>
      <c r="D122" s="1"/>
      <c r="E122" s="1"/>
      <c r="F122" s="4"/>
    </row>
    <row r="123" spans="1:12" ht="15.75" customHeight="1" x14ac:dyDescent="0.2">
      <c r="A123" s="1"/>
      <c r="B123" s="4"/>
      <c r="C123" s="1"/>
      <c r="D123" s="1"/>
      <c r="E123" s="1"/>
      <c r="F123" s="4"/>
    </row>
    <row r="124" spans="1:12" ht="15.75" customHeight="1" x14ac:dyDescent="0.2">
      <c r="A124" s="1"/>
      <c r="B124" s="4"/>
      <c r="C124" s="1"/>
      <c r="D124" s="1"/>
      <c r="E124" s="1"/>
      <c r="F124" s="4"/>
    </row>
    <row r="125" spans="1:12" ht="15.75" customHeight="1" x14ac:dyDescent="0.2">
      <c r="A125" s="1"/>
      <c r="B125" s="4"/>
      <c r="C125" s="1"/>
      <c r="D125" s="1"/>
      <c r="E125" s="1"/>
      <c r="F125" s="4"/>
    </row>
    <row r="126" spans="1:12" ht="15.75" customHeight="1" x14ac:dyDescent="0.2">
      <c r="A126" s="1"/>
      <c r="B126" s="4"/>
      <c r="C126" s="1"/>
      <c r="D126" s="1"/>
      <c r="E126" s="1"/>
      <c r="F126" s="4"/>
    </row>
    <row r="127" spans="1:12" ht="15.75" customHeight="1" x14ac:dyDescent="0.2">
      <c r="A127" s="1"/>
      <c r="B127" s="4"/>
      <c r="C127" s="1"/>
      <c r="D127" s="1"/>
      <c r="E127" s="1"/>
      <c r="F127" s="4"/>
    </row>
    <row r="128" spans="1:12" ht="15.75" customHeight="1" x14ac:dyDescent="0.2">
      <c r="A128" s="1"/>
      <c r="B128" s="4"/>
      <c r="C128" s="1"/>
      <c r="D128" s="1"/>
      <c r="E128" s="1"/>
      <c r="F128" s="4"/>
    </row>
    <row r="129" spans="1:6" ht="15.75" customHeight="1" x14ac:dyDescent="0.2">
      <c r="A129" s="1"/>
      <c r="B129" s="4"/>
      <c r="C129" s="1"/>
      <c r="D129" s="1"/>
      <c r="E129" s="1"/>
      <c r="F129" s="4"/>
    </row>
    <row r="130" spans="1:6" ht="15.75" customHeight="1" x14ac:dyDescent="0.2">
      <c r="A130" s="1"/>
      <c r="B130" s="4"/>
      <c r="C130" s="1"/>
      <c r="D130" s="1"/>
      <c r="E130" s="1"/>
      <c r="F130" s="4"/>
    </row>
    <row r="131" spans="1:6" ht="15.75" customHeight="1" x14ac:dyDescent="0.2">
      <c r="A131" s="1"/>
      <c r="B131" s="4"/>
      <c r="C131" s="1"/>
      <c r="D131" s="1"/>
      <c r="E131" s="1"/>
      <c r="F131" s="4"/>
    </row>
    <row r="132" spans="1:6" ht="15.75" customHeight="1" x14ac:dyDescent="0.2">
      <c r="A132" s="1"/>
      <c r="B132" s="4"/>
      <c r="C132" s="1"/>
      <c r="D132" s="1"/>
      <c r="E132" s="1"/>
      <c r="F132" s="4"/>
    </row>
    <row r="133" spans="1:6" ht="15.75" customHeight="1" x14ac:dyDescent="0.2">
      <c r="A133" s="1"/>
      <c r="B133" s="4"/>
      <c r="C133" s="1"/>
      <c r="D133" s="1"/>
      <c r="E133" s="1"/>
      <c r="F133" s="4"/>
    </row>
    <row r="134" spans="1:6" ht="15.75" customHeight="1" x14ac:dyDescent="0.2">
      <c r="A134" s="1"/>
      <c r="B134" s="4"/>
      <c r="C134" s="1"/>
      <c r="D134" s="1"/>
      <c r="E134" s="1"/>
      <c r="F134" s="4"/>
    </row>
    <row r="135" spans="1:6" ht="15.75" customHeight="1" x14ac:dyDescent="0.2">
      <c r="A135" s="1"/>
      <c r="B135" s="4"/>
      <c r="C135" s="1"/>
      <c r="D135" s="1"/>
      <c r="E135" s="1"/>
      <c r="F135" s="4"/>
    </row>
    <row r="136" spans="1:6" ht="15.75" customHeight="1" x14ac:dyDescent="0.2">
      <c r="A136" s="1"/>
      <c r="B136" s="4"/>
      <c r="C136" s="1"/>
      <c r="D136" s="1"/>
      <c r="E136" s="1"/>
      <c r="F136" s="4"/>
    </row>
    <row r="137" spans="1:6" ht="15.75" customHeight="1" x14ac:dyDescent="0.2">
      <c r="A137" s="1"/>
      <c r="B137" s="4"/>
      <c r="C137" s="1"/>
      <c r="D137" s="1"/>
      <c r="E137" s="1"/>
      <c r="F137" s="4"/>
    </row>
    <row r="138" spans="1:6" ht="15.75" customHeight="1" x14ac:dyDescent="0.2">
      <c r="A138" s="1"/>
      <c r="B138" s="4"/>
      <c r="C138" s="1"/>
      <c r="D138" s="1"/>
      <c r="E138" s="1"/>
      <c r="F138" s="4"/>
    </row>
    <row r="139" spans="1:6" ht="15.75" customHeight="1" x14ac:dyDescent="0.2">
      <c r="A139" s="1"/>
      <c r="B139" s="4"/>
      <c r="C139" s="1"/>
      <c r="D139" s="1"/>
      <c r="E139" s="1"/>
      <c r="F139" s="4"/>
    </row>
    <row r="140" spans="1:6" ht="15.75" customHeight="1" x14ac:dyDescent="0.2">
      <c r="A140" s="1"/>
      <c r="B140" s="4"/>
      <c r="C140" s="1"/>
      <c r="D140" s="1"/>
      <c r="E140" s="1"/>
      <c r="F140" s="4"/>
    </row>
    <row r="141" spans="1:6" ht="15.75" customHeight="1" x14ac:dyDescent="0.2">
      <c r="A141" s="1"/>
      <c r="B141" s="4"/>
      <c r="C141" s="1"/>
      <c r="D141" s="1"/>
      <c r="E141" s="1"/>
      <c r="F141" s="4"/>
    </row>
    <row r="142" spans="1:6" ht="15.75" customHeight="1" x14ac:dyDescent="0.2">
      <c r="A142" s="1"/>
      <c r="B142" s="4"/>
      <c r="C142" s="1"/>
      <c r="D142" s="1"/>
      <c r="E142" s="1"/>
      <c r="F142" s="4"/>
    </row>
    <row r="143" spans="1:6" ht="15.75" customHeight="1" x14ac:dyDescent="0.2">
      <c r="A143" s="1"/>
      <c r="B143" s="4"/>
      <c r="C143" s="1"/>
      <c r="D143" s="1"/>
      <c r="E143" s="1"/>
      <c r="F143" s="4"/>
    </row>
    <row r="144" spans="1:6" ht="15.75" customHeight="1" x14ac:dyDescent="0.2">
      <c r="A144" s="1"/>
      <c r="B144" s="4"/>
      <c r="C144" s="1"/>
      <c r="D144" s="1"/>
      <c r="E144" s="1"/>
      <c r="F144" s="4"/>
    </row>
    <row r="145" spans="1:6" ht="15.75" customHeight="1" x14ac:dyDescent="0.2">
      <c r="A145" s="1"/>
      <c r="B145" s="4"/>
      <c r="C145" s="1"/>
      <c r="D145" s="1"/>
      <c r="E145" s="1"/>
      <c r="F145" s="4"/>
    </row>
    <row r="146" spans="1:6" ht="15.75" customHeight="1" x14ac:dyDescent="0.2">
      <c r="A146" s="1"/>
      <c r="B146" s="4"/>
      <c r="C146" s="1"/>
      <c r="D146" s="1"/>
      <c r="E146" s="1"/>
      <c r="F146" s="4"/>
    </row>
    <row r="147" spans="1:6" ht="15.75" customHeight="1" x14ac:dyDescent="0.2">
      <c r="A147" s="1"/>
      <c r="B147" s="4"/>
      <c r="C147" s="1"/>
      <c r="D147" s="1"/>
      <c r="E147" s="1"/>
      <c r="F147" s="4"/>
    </row>
    <row r="148" spans="1:6" ht="15.75" customHeight="1" x14ac:dyDescent="0.2">
      <c r="A148" s="1"/>
      <c r="B148" s="4"/>
      <c r="C148" s="1"/>
      <c r="D148" s="1"/>
      <c r="E148" s="1"/>
      <c r="F148" s="4"/>
    </row>
    <row r="149" spans="1:6" ht="15.75" customHeight="1" x14ac:dyDescent="0.2">
      <c r="A149" s="1"/>
      <c r="B149" s="4"/>
      <c r="C149" s="1"/>
      <c r="D149" s="1"/>
      <c r="E149" s="1"/>
      <c r="F149" s="4"/>
    </row>
    <row r="150" spans="1:6" ht="15.75" customHeight="1" x14ac:dyDescent="0.2">
      <c r="A150" s="1"/>
      <c r="B150" s="4"/>
      <c r="C150" s="1"/>
      <c r="D150" s="1"/>
      <c r="E150" s="1"/>
      <c r="F150" s="4"/>
    </row>
    <row r="151" spans="1:6" ht="15.75" customHeight="1" x14ac:dyDescent="0.2">
      <c r="A151" s="1"/>
      <c r="B151" s="4"/>
      <c r="C151" s="1"/>
      <c r="D151" s="1"/>
      <c r="E151" s="1"/>
      <c r="F151" s="4"/>
    </row>
    <row r="152" spans="1:6" ht="15.75" customHeight="1" x14ac:dyDescent="0.2">
      <c r="A152" s="1"/>
      <c r="B152" s="4"/>
      <c r="C152" s="1"/>
      <c r="D152" s="1"/>
      <c r="E152" s="1"/>
      <c r="F152" s="4"/>
    </row>
    <row r="153" spans="1:6" ht="15.75" customHeight="1" x14ac:dyDescent="0.2">
      <c r="A153" s="1"/>
      <c r="B153" s="4"/>
      <c r="C153" s="1"/>
      <c r="D153" s="1"/>
      <c r="E153" s="1"/>
      <c r="F153" s="4"/>
    </row>
    <row r="154" spans="1:6" ht="15.75" customHeight="1" x14ac:dyDescent="0.2">
      <c r="A154" s="1"/>
      <c r="B154" s="4"/>
      <c r="C154" s="1"/>
      <c r="D154" s="1"/>
      <c r="E154" s="1"/>
      <c r="F154" s="4"/>
    </row>
    <row r="155" spans="1:6" ht="15.75" customHeight="1" x14ac:dyDescent="0.2">
      <c r="A155" s="1"/>
      <c r="B155" s="4"/>
      <c r="C155" s="1"/>
      <c r="D155" s="1"/>
      <c r="E155" s="1"/>
      <c r="F155" s="4"/>
    </row>
    <row r="156" spans="1:6" ht="15.75" customHeight="1" x14ac:dyDescent="0.2">
      <c r="A156" s="1"/>
      <c r="B156" s="4"/>
      <c r="C156" s="1"/>
      <c r="D156" s="1"/>
      <c r="E156" s="1"/>
      <c r="F156" s="4"/>
    </row>
    <row r="157" spans="1:6" ht="15.75" customHeight="1" x14ac:dyDescent="0.2">
      <c r="A157" s="1"/>
      <c r="B157" s="4"/>
      <c r="C157" s="1"/>
      <c r="D157" s="1"/>
      <c r="E157" s="1"/>
      <c r="F157" s="4"/>
    </row>
    <row r="158" spans="1:6" ht="15.75" customHeight="1" x14ac:dyDescent="0.2">
      <c r="A158" s="1"/>
      <c r="B158" s="4"/>
      <c r="C158" s="1"/>
      <c r="D158" s="1"/>
      <c r="E158" s="1"/>
      <c r="F158" s="4"/>
    </row>
    <row r="159" spans="1:6" ht="15.75" customHeight="1" x14ac:dyDescent="0.2">
      <c r="A159" s="1"/>
      <c r="B159" s="4"/>
      <c r="C159" s="1"/>
      <c r="D159" s="1"/>
      <c r="E159" s="1"/>
      <c r="F159" s="4"/>
    </row>
    <row r="160" spans="1:6" ht="15.75" customHeight="1" x14ac:dyDescent="0.2">
      <c r="A160" s="1"/>
      <c r="B160" s="4"/>
      <c r="C160" s="1"/>
      <c r="D160" s="1"/>
      <c r="E160" s="1"/>
      <c r="F160" s="4"/>
    </row>
    <row r="161" spans="1:6" ht="15.75" customHeight="1" x14ac:dyDescent="0.2">
      <c r="A161" s="1"/>
      <c r="B161" s="4"/>
      <c r="C161" s="1"/>
      <c r="D161" s="1"/>
      <c r="E161" s="1"/>
      <c r="F161" s="4"/>
    </row>
    <row r="162" spans="1:6" ht="15.75" customHeight="1" x14ac:dyDescent="0.2">
      <c r="A162" s="1"/>
      <c r="B162" s="4"/>
      <c r="C162" s="1"/>
      <c r="D162" s="1"/>
      <c r="E162" s="1"/>
      <c r="F162" s="4"/>
    </row>
    <row r="163" spans="1:6" ht="15.75" customHeight="1" x14ac:dyDescent="0.2">
      <c r="A163" s="1"/>
      <c r="B163" s="4"/>
      <c r="C163" s="1"/>
      <c r="D163" s="1"/>
      <c r="E163" s="1"/>
      <c r="F163" s="4"/>
    </row>
    <row r="164" spans="1:6" ht="15.75" customHeight="1" x14ac:dyDescent="0.2">
      <c r="A164" s="1"/>
      <c r="B164" s="4"/>
      <c r="C164" s="1"/>
      <c r="D164" s="1"/>
      <c r="E164" s="1"/>
      <c r="F164" s="4"/>
    </row>
    <row r="165" spans="1:6" ht="15.75" customHeight="1" x14ac:dyDescent="0.2">
      <c r="A165" s="1"/>
      <c r="B165" s="4"/>
      <c r="C165" s="1"/>
      <c r="D165" s="1"/>
      <c r="E165" s="1"/>
      <c r="F165" s="4"/>
    </row>
    <row r="166" spans="1:6" ht="15.75" customHeight="1" x14ac:dyDescent="0.2">
      <c r="A166" s="1"/>
      <c r="B166" s="4"/>
      <c r="C166" s="1"/>
      <c r="D166" s="1"/>
      <c r="E166" s="1"/>
      <c r="F166" s="4"/>
    </row>
    <row r="167" spans="1:6" ht="15.75" customHeight="1" x14ac:dyDescent="0.2">
      <c r="A167" s="1"/>
      <c r="B167" s="4"/>
      <c r="C167" s="1"/>
      <c r="D167" s="1"/>
      <c r="E167" s="1"/>
      <c r="F167" s="4"/>
    </row>
    <row r="168" spans="1:6" ht="15.75" customHeight="1" x14ac:dyDescent="0.2">
      <c r="A168" s="1"/>
      <c r="B168" s="4"/>
      <c r="C168" s="1"/>
      <c r="D168" s="1"/>
      <c r="E168" s="1"/>
      <c r="F168" s="4"/>
    </row>
    <row r="169" spans="1:6" ht="15.75" customHeight="1" x14ac:dyDescent="0.2">
      <c r="A169" s="1"/>
      <c r="B169" s="4"/>
      <c r="C169" s="1"/>
      <c r="D169" s="1"/>
      <c r="E169" s="1"/>
      <c r="F169" s="4"/>
    </row>
    <row r="170" spans="1:6" ht="15.75" customHeight="1" x14ac:dyDescent="0.2">
      <c r="A170" s="1"/>
      <c r="B170" s="4"/>
      <c r="C170" s="1"/>
      <c r="D170" s="1"/>
      <c r="E170" s="1"/>
      <c r="F170" s="4"/>
    </row>
    <row r="171" spans="1:6" ht="15.75" customHeight="1" x14ac:dyDescent="0.2">
      <c r="A171" s="1"/>
      <c r="B171" s="4"/>
      <c r="C171" s="1"/>
      <c r="D171" s="1"/>
      <c r="E171" s="1"/>
      <c r="F171" s="4"/>
    </row>
    <row r="172" spans="1:6" ht="15.75" customHeight="1" x14ac:dyDescent="0.2">
      <c r="A172" s="1"/>
      <c r="B172" s="4"/>
      <c r="C172" s="1"/>
      <c r="D172" s="1"/>
      <c r="E172" s="1"/>
      <c r="F172" s="4"/>
    </row>
    <row r="173" spans="1:6" ht="15.75" customHeight="1" x14ac:dyDescent="0.2">
      <c r="A173" s="1"/>
      <c r="B173" s="4"/>
      <c r="C173" s="1"/>
      <c r="D173" s="1"/>
      <c r="E173" s="1"/>
      <c r="F173" s="4"/>
    </row>
    <row r="174" spans="1:6" ht="15.75" customHeight="1" x14ac:dyDescent="0.2">
      <c r="A174" s="1"/>
      <c r="B174" s="4"/>
      <c r="C174" s="1"/>
      <c r="D174" s="1"/>
      <c r="E174" s="1"/>
      <c r="F174" s="4"/>
    </row>
    <row r="175" spans="1:6" ht="15.75" customHeight="1" x14ac:dyDescent="0.2">
      <c r="A175" s="1"/>
      <c r="B175" s="4"/>
      <c r="C175" s="1"/>
      <c r="D175" s="1"/>
      <c r="E175" s="1"/>
      <c r="F175" s="4"/>
    </row>
    <row r="176" spans="1:6" ht="15.75" customHeight="1" x14ac:dyDescent="0.2">
      <c r="A176" s="1"/>
      <c r="B176" s="4"/>
      <c r="C176" s="1"/>
      <c r="D176" s="1"/>
      <c r="E176" s="1"/>
      <c r="F176" s="4"/>
    </row>
    <row r="177" spans="1:6" ht="15.75" customHeight="1" x14ac:dyDescent="0.2">
      <c r="A177" s="1"/>
      <c r="B177" s="4"/>
      <c r="C177" s="1"/>
      <c r="D177" s="1"/>
      <c r="E177" s="1"/>
      <c r="F177" s="1"/>
    </row>
    <row r="178" spans="1:6" ht="15.75" customHeight="1" x14ac:dyDescent="0.2">
      <c r="A178" s="1"/>
      <c r="B178" s="4"/>
      <c r="C178" s="1"/>
      <c r="D178" s="1"/>
      <c r="E178" s="1"/>
      <c r="F178" s="4"/>
    </row>
    <row r="179" spans="1:6" ht="15.75" customHeight="1" x14ac:dyDescent="0.2">
      <c r="A179" s="1"/>
      <c r="B179" s="4"/>
      <c r="C179" s="1"/>
      <c r="D179" s="1"/>
      <c r="E179" s="1"/>
      <c r="F179" s="4"/>
    </row>
    <row r="180" spans="1:6" ht="15.75" customHeight="1" x14ac:dyDescent="0.2">
      <c r="A180" s="1"/>
      <c r="B180" s="4"/>
      <c r="C180" s="1"/>
      <c r="D180" s="1"/>
      <c r="E180" s="1"/>
      <c r="F180" s="1"/>
    </row>
    <row r="181" spans="1:6" ht="15.75" customHeight="1" x14ac:dyDescent="0.2">
      <c r="A181" s="1"/>
      <c r="B181" s="4"/>
      <c r="C181" s="1"/>
      <c r="D181" s="1"/>
      <c r="E181" s="1"/>
      <c r="F181" s="1"/>
    </row>
    <row r="182" spans="1:6" ht="15.75" customHeight="1" x14ac:dyDescent="0.2">
      <c r="A182" s="1"/>
      <c r="B182" s="4"/>
      <c r="C182" s="1"/>
      <c r="D182" s="1"/>
      <c r="E182" s="1"/>
      <c r="F182" s="1"/>
    </row>
    <row r="183" spans="1:6" ht="15.75" customHeight="1" x14ac:dyDescent="0.2">
      <c r="A183" s="1"/>
      <c r="B183" s="4"/>
      <c r="C183" s="1"/>
      <c r="D183" s="1"/>
      <c r="E183" s="1"/>
      <c r="F183" s="1"/>
    </row>
    <row r="184" spans="1:6" ht="15.75" customHeight="1" x14ac:dyDescent="0.2">
      <c r="A184" s="1"/>
      <c r="B184" s="4"/>
      <c r="C184" s="1"/>
      <c r="D184" s="1"/>
      <c r="E184" s="1"/>
      <c r="F184" s="1"/>
    </row>
    <row r="185" spans="1:6" ht="15.75" customHeight="1" x14ac:dyDescent="0.2">
      <c r="A185" s="1"/>
      <c r="B185" s="4"/>
      <c r="C185" s="1"/>
      <c r="D185" s="1"/>
      <c r="E185" s="1"/>
      <c r="F185" s="4"/>
    </row>
    <row r="186" spans="1:6" ht="15.75" customHeight="1" x14ac:dyDescent="0.2">
      <c r="A186" s="1"/>
      <c r="B186" s="4"/>
      <c r="C186" s="1"/>
      <c r="D186" s="1"/>
      <c r="E186" s="1"/>
      <c r="F186" s="4"/>
    </row>
    <row r="187" spans="1:6" ht="15.75" customHeight="1" x14ac:dyDescent="0.2">
      <c r="A187" s="1"/>
      <c r="B187" s="4"/>
      <c r="C187" s="1"/>
      <c r="D187" s="1"/>
      <c r="E187" s="1"/>
      <c r="F187" s="1"/>
    </row>
    <row r="188" spans="1:6" ht="15.75" customHeight="1" x14ac:dyDescent="0.2">
      <c r="A188" s="1"/>
      <c r="B188" s="4"/>
      <c r="C188" s="1"/>
      <c r="D188" s="1"/>
      <c r="E188" s="1"/>
      <c r="F188" s="1"/>
    </row>
    <row r="189" spans="1:6" ht="15.75" customHeight="1" x14ac:dyDescent="0.2">
      <c r="A189" s="1"/>
      <c r="B189" s="4"/>
      <c r="C189" s="1"/>
      <c r="D189" s="1"/>
      <c r="E189" s="1"/>
      <c r="F189" s="4"/>
    </row>
    <row r="190" spans="1:6" ht="15.75" customHeight="1" x14ac:dyDescent="0.2">
      <c r="A190" s="1"/>
      <c r="B190" s="4"/>
      <c r="C190" s="1"/>
      <c r="D190" s="1"/>
      <c r="E190" s="1"/>
      <c r="F190" s="4"/>
    </row>
    <row r="191" spans="1:6" ht="15.75" customHeight="1" x14ac:dyDescent="0.2">
      <c r="A191" s="1"/>
      <c r="B191" s="4"/>
      <c r="C191" s="1"/>
      <c r="D191" s="1"/>
      <c r="E191" s="1"/>
      <c r="F191" s="4"/>
    </row>
    <row r="192" spans="1:6" ht="15.75" customHeight="1" x14ac:dyDescent="0.2">
      <c r="A192" s="1"/>
      <c r="B192" s="4"/>
      <c r="C192" s="1"/>
      <c r="D192" s="1"/>
      <c r="E192" s="1"/>
      <c r="F192" s="4"/>
    </row>
    <row r="193" spans="1:6" ht="15.75" customHeight="1" x14ac:dyDescent="0.2">
      <c r="A193" s="1"/>
      <c r="B193" s="4"/>
      <c r="C193" s="1"/>
      <c r="D193" s="1"/>
      <c r="E193" s="1"/>
      <c r="F193" s="4"/>
    </row>
    <row r="194" spans="1:6" ht="15.75" customHeight="1" x14ac:dyDescent="0.2">
      <c r="A194" s="1"/>
      <c r="B194" s="4"/>
      <c r="C194" s="1"/>
      <c r="D194" s="1"/>
      <c r="E194" s="1"/>
      <c r="F194" s="4"/>
    </row>
    <row r="195" spans="1:6" ht="15.75" customHeight="1" x14ac:dyDescent="0.2">
      <c r="A195" s="1"/>
      <c r="B195" s="4"/>
      <c r="C195" s="1"/>
      <c r="D195" s="1"/>
      <c r="E195" s="1"/>
      <c r="F195" s="4"/>
    </row>
    <row r="196" spans="1:6" ht="15.75" customHeight="1" x14ac:dyDescent="0.2">
      <c r="A196" s="1"/>
      <c r="B196" s="4"/>
      <c r="C196" s="1"/>
      <c r="D196" s="1"/>
      <c r="E196" s="1"/>
      <c r="F196" s="4"/>
    </row>
    <row r="197" spans="1:6" ht="15.75" customHeight="1" x14ac:dyDescent="0.2">
      <c r="A197" s="1"/>
      <c r="B197" s="4"/>
      <c r="C197" s="1"/>
      <c r="D197" s="1"/>
      <c r="E197" s="1"/>
      <c r="F197" s="4"/>
    </row>
    <row r="198" spans="1:6" ht="15.75" customHeight="1" x14ac:dyDescent="0.2">
      <c r="A198" s="1"/>
      <c r="B198" s="4"/>
      <c r="C198" s="1"/>
      <c r="D198" s="1"/>
      <c r="E198" s="1"/>
      <c r="F198" s="4"/>
    </row>
    <row r="199" spans="1:6" ht="15.75" customHeight="1" x14ac:dyDescent="0.2">
      <c r="A199" s="1"/>
      <c r="B199" s="4"/>
      <c r="C199" s="1"/>
      <c r="D199" s="1"/>
      <c r="E199" s="1"/>
      <c r="F199" s="4"/>
    </row>
    <row r="200" spans="1:6" ht="15.75" customHeight="1" x14ac:dyDescent="0.2">
      <c r="A200" s="1"/>
      <c r="B200" s="4"/>
      <c r="C200" s="1"/>
      <c r="D200" s="1"/>
      <c r="E200" s="1"/>
      <c r="F200" s="4"/>
    </row>
    <row r="201" spans="1:6" ht="15.75" customHeight="1" x14ac:dyDescent="0.2">
      <c r="A201" s="1"/>
      <c r="B201" s="4"/>
      <c r="C201" s="1"/>
      <c r="D201" s="1"/>
      <c r="E201" s="1"/>
      <c r="F201" s="4"/>
    </row>
    <row r="202" spans="1:6" ht="15.75" customHeight="1" x14ac:dyDescent="0.2">
      <c r="A202" s="1"/>
      <c r="B202" s="4"/>
      <c r="C202" s="1"/>
      <c r="D202" s="1"/>
      <c r="E202" s="1"/>
      <c r="F202" s="1"/>
    </row>
    <row r="203" spans="1:6" ht="15.75" customHeight="1" x14ac:dyDescent="0.2">
      <c r="A203" s="1"/>
      <c r="B203" s="4"/>
      <c r="C203" s="1"/>
      <c r="D203" s="1"/>
      <c r="E203" s="1"/>
      <c r="F203" s="1"/>
    </row>
    <row r="204" spans="1:6" ht="15.75" customHeight="1" x14ac:dyDescent="0.2">
      <c r="A204" s="1"/>
      <c r="B204" s="4"/>
      <c r="C204" s="1"/>
      <c r="D204" s="1"/>
      <c r="E204" s="1"/>
      <c r="F204" s="1"/>
    </row>
    <row r="205" spans="1:6" ht="15.75" customHeight="1" x14ac:dyDescent="0.2">
      <c r="A205" s="1"/>
      <c r="B205" s="4"/>
      <c r="C205" s="1"/>
      <c r="D205" s="1"/>
      <c r="E205" s="1"/>
      <c r="F205" s="4"/>
    </row>
    <row r="206" spans="1:6" ht="15.75" customHeight="1" x14ac:dyDescent="0.2">
      <c r="A206" s="1"/>
      <c r="B206" s="4"/>
      <c r="C206" s="1"/>
      <c r="D206" s="1"/>
      <c r="E206" s="1"/>
      <c r="F206" s="4"/>
    </row>
    <row r="207" spans="1:6" ht="15.75" customHeight="1" x14ac:dyDescent="0.2">
      <c r="A207" s="1"/>
      <c r="B207" s="4"/>
      <c r="C207" s="1"/>
      <c r="D207" s="1"/>
      <c r="E207" s="1"/>
      <c r="F207" s="1"/>
    </row>
    <row r="208" spans="1:6" ht="15.75" customHeight="1" x14ac:dyDescent="0.2">
      <c r="A208" s="1"/>
      <c r="B208" s="4"/>
      <c r="C208" s="1"/>
      <c r="D208" s="1"/>
      <c r="E208" s="1"/>
      <c r="F208" s="4"/>
    </row>
    <row r="209" spans="1:6" ht="15.75" customHeight="1" x14ac:dyDescent="0.2">
      <c r="A209" s="1"/>
      <c r="B209" s="4"/>
      <c r="C209" s="1"/>
      <c r="D209" s="1"/>
      <c r="E209" s="1"/>
      <c r="F209" s="4"/>
    </row>
    <row r="210" spans="1:6" ht="15.75" customHeight="1" x14ac:dyDescent="0.2">
      <c r="A210" s="1"/>
      <c r="B210" s="4"/>
      <c r="C210" s="1"/>
      <c r="D210" s="1"/>
      <c r="E210" s="1"/>
      <c r="F210" s="4"/>
    </row>
    <row r="211" spans="1:6" ht="15.75" customHeight="1" x14ac:dyDescent="0.2">
      <c r="A211" s="1"/>
      <c r="B211" s="4"/>
      <c r="C211" s="1"/>
      <c r="D211" s="1"/>
      <c r="E211" s="1"/>
      <c r="F211" s="4"/>
    </row>
    <row r="212" spans="1:6" ht="15.75" customHeight="1" x14ac:dyDescent="0.2">
      <c r="A212" s="1"/>
      <c r="B212" s="4"/>
      <c r="C212" s="1"/>
      <c r="D212" s="1"/>
      <c r="E212" s="1"/>
      <c r="F212" s="4"/>
    </row>
    <row r="213" spans="1:6" ht="15.75" customHeight="1" x14ac:dyDescent="0.2">
      <c r="A213" s="1"/>
      <c r="B213" s="4"/>
      <c r="C213" s="1"/>
      <c r="D213" s="1"/>
      <c r="E213" s="1"/>
      <c r="F213" s="4"/>
    </row>
    <row r="214" spans="1:6" ht="15.75" customHeight="1" x14ac:dyDescent="0.2">
      <c r="A214" s="1"/>
      <c r="B214" s="4"/>
      <c r="C214" s="1"/>
      <c r="D214" s="1"/>
      <c r="E214" s="1"/>
      <c r="F214" s="4"/>
    </row>
    <row r="215" spans="1:6" ht="15.75" customHeight="1" x14ac:dyDescent="0.2">
      <c r="A215" s="1"/>
      <c r="B215" s="4"/>
      <c r="C215" s="1"/>
      <c r="D215" s="1"/>
      <c r="E215" s="1"/>
      <c r="F215" s="4"/>
    </row>
    <row r="216" spans="1:6" ht="15.75" customHeight="1" x14ac:dyDescent="0.2">
      <c r="A216" s="1"/>
      <c r="B216" s="4"/>
      <c r="C216" s="1"/>
      <c r="D216" s="1"/>
      <c r="E216" s="1"/>
      <c r="F216" s="4"/>
    </row>
    <row r="217" spans="1:6" ht="15.75" customHeight="1" x14ac:dyDescent="0.2">
      <c r="A217" s="1"/>
      <c r="B217" s="4"/>
      <c r="C217" s="1"/>
      <c r="D217" s="1"/>
      <c r="E217" s="1"/>
      <c r="F217" s="4"/>
    </row>
    <row r="218" spans="1:6" ht="15.75" customHeight="1" x14ac:dyDescent="0.2">
      <c r="A218" s="1"/>
      <c r="B218" s="4"/>
      <c r="C218" s="1"/>
      <c r="D218" s="1"/>
      <c r="E218" s="1"/>
      <c r="F218" s="4"/>
    </row>
    <row r="219" spans="1:6" ht="15.75" customHeight="1" x14ac:dyDescent="0.2">
      <c r="A219" s="1"/>
      <c r="B219" s="4"/>
      <c r="C219" s="1"/>
      <c r="D219" s="1"/>
      <c r="E219" s="1"/>
      <c r="F219" s="4"/>
    </row>
    <row r="220" spans="1:6" ht="15.75" customHeight="1" x14ac:dyDescent="0.2">
      <c r="A220" s="1"/>
      <c r="B220" s="4"/>
      <c r="C220" s="1"/>
      <c r="D220" s="1"/>
      <c r="E220" s="1"/>
      <c r="F220" s="4"/>
    </row>
    <row r="221" spans="1:6" ht="15.75" customHeight="1" x14ac:dyDescent="0.2">
      <c r="A221" s="1"/>
      <c r="B221" s="4"/>
      <c r="C221" s="1"/>
      <c r="D221" s="1"/>
      <c r="E221" s="1"/>
      <c r="F221" s="4"/>
    </row>
    <row r="222" spans="1:6" ht="15.75" customHeight="1" x14ac:dyDescent="0.2">
      <c r="A222" s="1"/>
      <c r="B222" s="4"/>
      <c r="C222" s="1"/>
      <c r="D222" s="1"/>
      <c r="E222" s="1"/>
      <c r="F222" s="4"/>
    </row>
    <row r="223" spans="1:6" ht="15.75" customHeight="1" x14ac:dyDescent="0.2">
      <c r="A223" s="1"/>
      <c r="B223" s="4"/>
      <c r="C223" s="1"/>
      <c r="D223" s="1"/>
      <c r="E223" s="1"/>
      <c r="F223" s="4"/>
    </row>
    <row r="224" spans="1:6" ht="15.75" customHeight="1" x14ac:dyDescent="0.2">
      <c r="A224" s="1"/>
      <c r="B224" s="4"/>
      <c r="C224" s="1"/>
      <c r="D224" s="1"/>
      <c r="E224" s="1"/>
      <c r="F224" s="4"/>
    </row>
    <row r="225" spans="1:6" ht="15.75" customHeight="1" x14ac:dyDescent="0.2">
      <c r="A225" s="1"/>
      <c r="B225" s="4"/>
      <c r="C225" s="1"/>
      <c r="D225" s="1"/>
      <c r="E225" s="1"/>
      <c r="F225" s="4"/>
    </row>
    <row r="226" spans="1:6" ht="15.75" customHeight="1" x14ac:dyDescent="0.2">
      <c r="A226" s="1"/>
      <c r="B226" s="4"/>
      <c r="C226" s="1"/>
      <c r="D226" s="1"/>
      <c r="E226" s="1"/>
      <c r="F226" s="4"/>
    </row>
    <row r="227" spans="1:6" ht="15.75" customHeight="1" x14ac:dyDescent="0.2">
      <c r="A227" s="1"/>
      <c r="B227" s="4"/>
      <c r="C227" s="1"/>
      <c r="D227" s="1"/>
      <c r="E227" s="1"/>
      <c r="F227" s="4"/>
    </row>
    <row r="228" spans="1:6" ht="15.75" customHeight="1" x14ac:dyDescent="0.2">
      <c r="A228" s="1"/>
      <c r="B228" s="4"/>
      <c r="C228" s="1"/>
      <c r="D228" s="1"/>
      <c r="E228" s="1"/>
      <c r="F228" s="4"/>
    </row>
    <row r="229" spans="1:6" ht="15.75" customHeight="1" x14ac:dyDescent="0.2">
      <c r="A229" s="1"/>
      <c r="B229" s="4"/>
      <c r="C229" s="1"/>
      <c r="D229" s="1"/>
      <c r="E229" s="1"/>
      <c r="F229" s="4"/>
    </row>
    <row r="230" spans="1:6" ht="15.75" customHeight="1" x14ac:dyDescent="0.2">
      <c r="A230" s="1"/>
      <c r="B230" s="4"/>
      <c r="C230" s="1"/>
      <c r="D230" s="1"/>
      <c r="E230" s="1"/>
      <c r="F230" s="4"/>
    </row>
    <row r="231" spans="1:6" ht="15.75" customHeight="1" x14ac:dyDescent="0.2">
      <c r="A231" s="1"/>
      <c r="B231" s="4"/>
      <c r="C231" s="1"/>
      <c r="D231" s="1"/>
      <c r="E231" s="1"/>
      <c r="F231" s="4"/>
    </row>
    <row r="232" spans="1:6" ht="15.75" customHeight="1" x14ac:dyDescent="0.2">
      <c r="A232" s="1"/>
      <c r="B232" s="4"/>
      <c r="C232" s="1"/>
      <c r="D232" s="1"/>
      <c r="E232" s="1"/>
      <c r="F232" s="4"/>
    </row>
    <row r="233" spans="1:6" ht="15.75" customHeight="1" x14ac:dyDescent="0.2">
      <c r="A233" s="1"/>
      <c r="B233" s="4"/>
      <c r="C233" s="1"/>
      <c r="D233" s="1"/>
      <c r="E233" s="1"/>
      <c r="F233" s="1"/>
    </row>
    <row r="234" spans="1:6" ht="15.75" customHeight="1" x14ac:dyDescent="0.2">
      <c r="A234" s="1"/>
      <c r="B234" s="4"/>
      <c r="C234" s="1"/>
      <c r="D234" s="1"/>
      <c r="E234" s="1"/>
      <c r="F234" s="1"/>
    </row>
    <row r="235" spans="1:6" ht="15.75" customHeight="1" x14ac:dyDescent="0.2">
      <c r="A235" s="1"/>
      <c r="B235" s="4"/>
      <c r="C235" s="1"/>
      <c r="D235" s="1"/>
      <c r="E235" s="1"/>
      <c r="F235" s="1"/>
    </row>
    <row r="236" spans="1:6" ht="15.75" customHeight="1" x14ac:dyDescent="0.2">
      <c r="A236" s="1"/>
      <c r="B236" s="4"/>
      <c r="C236" s="1"/>
      <c r="D236" s="1"/>
      <c r="E236" s="1"/>
      <c r="F236" s="4"/>
    </row>
    <row r="237" spans="1:6" ht="15.75" customHeight="1" x14ac:dyDescent="0.2">
      <c r="A237" s="1"/>
      <c r="B237" s="4"/>
      <c r="C237" s="1"/>
      <c r="D237" s="1"/>
      <c r="E237" s="1"/>
      <c r="F237" s="4"/>
    </row>
    <row r="238" spans="1:6" ht="15.75" customHeight="1" x14ac:dyDescent="0.2">
      <c r="A238" s="1"/>
      <c r="B238" s="4"/>
      <c r="C238" s="1"/>
      <c r="D238" s="1"/>
      <c r="E238" s="1"/>
      <c r="F238" s="4"/>
    </row>
    <row r="239" spans="1:6" ht="15.75" customHeight="1" x14ac:dyDescent="0.2">
      <c r="A239" s="1"/>
      <c r="B239" s="4"/>
      <c r="C239" s="1"/>
      <c r="D239" s="1"/>
      <c r="E239" s="1"/>
      <c r="F239" s="4"/>
    </row>
    <row r="240" spans="1:6" ht="15.75" customHeight="1" x14ac:dyDescent="0.2">
      <c r="A240" s="1"/>
      <c r="B240" s="4"/>
      <c r="C240" s="1"/>
      <c r="D240" s="1"/>
      <c r="E240" s="1"/>
      <c r="F240" s="4"/>
    </row>
    <row r="241" spans="1:6" ht="15.75" customHeight="1" x14ac:dyDescent="0.2">
      <c r="A241" s="1"/>
      <c r="B241" s="4"/>
      <c r="C241" s="1"/>
      <c r="D241" s="1"/>
      <c r="E241" s="1"/>
      <c r="F241" s="4"/>
    </row>
    <row r="242" spans="1:6" ht="15.75" customHeight="1" x14ac:dyDescent="0.2">
      <c r="A242" s="1"/>
      <c r="B242" s="4"/>
      <c r="C242" s="1"/>
      <c r="D242" s="1"/>
      <c r="E242" s="1"/>
      <c r="F242" s="4"/>
    </row>
    <row r="243" spans="1:6" ht="15.75" customHeight="1" x14ac:dyDescent="0.2">
      <c r="A243" s="1"/>
      <c r="B243" s="4"/>
      <c r="C243" s="1"/>
      <c r="D243" s="1"/>
      <c r="E243" s="1"/>
      <c r="F243" s="4"/>
    </row>
    <row r="244" spans="1:6" ht="15.75" customHeight="1" x14ac:dyDescent="0.2">
      <c r="A244" s="1"/>
      <c r="B244" s="4"/>
      <c r="C244" s="1"/>
      <c r="D244" s="1"/>
      <c r="E244" s="1"/>
      <c r="F244" s="4"/>
    </row>
    <row r="245" spans="1:6" ht="15.75" customHeight="1" x14ac:dyDescent="0.2">
      <c r="A245" s="1"/>
      <c r="B245" s="4"/>
      <c r="C245" s="1"/>
      <c r="D245" s="1"/>
      <c r="E245" s="1"/>
      <c r="F245" s="4"/>
    </row>
    <row r="246" spans="1:6" ht="15.75" customHeight="1" x14ac:dyDescent="0.2">
      <c r="A246" s="1"/>
      <c r="B246" s="4"/>
      <c r="C246" s="1"/>
      <c r="D246" s="1"/>
      <c r="E246" s="1"/>
      <c r="F246" s="4"/>
    </row>
    <row r="247" spans="1:6" ht="15.75" customHeight="1" x14ac:dyDescent="0.2">
      <c r="A247" s="1"/>
      <c r="B247" s="4"/>
      <c r="C247" s="1"/>
      <c r="D247" s="1"/>
      <c r="E247" s="1"/>
      <c r="F247" s="4"/>
    </row>
    <row r="248" spans="1:6" ht="15.75" customHeight="1" x14ac:dyDescent="0.2">
      <c r="A248" s="1"/>
      <c r="B248" s="4"/>
      <c r="C248" s="1"/>
      <c r="D248" s="1"/>
      <c r="E248" s="1"/>
      <c r="F248" s="4"/>
    </row>
    <row r="249" spans="1:6" ht="15.75" customHeight="1" x14ac:dyDescent="0.2">
      <c r="A249" s="1"/>
      <c r="B249" s="4"/>
      <c r="C249" s="1"/>
      <c r="D249" s="1"/>
      <c r="E249" s="1"/>
      <c r="F249" s="1"/>
    </row>
    <row r="250" spans="1:6" ht="15.75" customHeight="1" x14ac:dyDescent="0.2">
      <c r="A250" s="1"/>
      <c r="B250" s="4"/>
      <c r="C250" s="1"/>
      <c r="D250" s="1"/>
      <c r="E250" s="1"/>
      <c r="F250" s="4"/>
    </row>
    <row r="251" spans="1:6" ht="15.75" customHeight="1" x14ac:dyDescent="0.2">
      <c r="A251" s="1"/>
      <c r="B251" s="4"/>
      <c r="C251" s="1"/>
      <c r="D251" s="1"/>
      <c r="E251" s="1"/>
      <c r="F251" s="4"/>
    </row>
    <row r="252" spans="1:6" ht="15.75" customHeight="1" x14ac:dyDescent="0.2">
      <c r="A252" s="1"/>
      <c r="B252" s="4"/>
      <c r="C252" s="1"/>
      <c r="D252" s="1"/>
      <c r="E252" s="1"/>
      <c r="F252" s="4"/>
    </row>
    <row r="253" spans="1:6" ht="15.75" customHeight="1" x14ac:dyDescent="0.2">
      <c r="A253" s="1"/>
      <c r="B253" s="4"/>
      <c r="C253" s="1"/>
      <c r="D253" s="1"/>
      <c r="E253" s="1"/>
      <c r="F253" s="4"/>
    </row>
    <row r="254" spans="1:6" ht="15.75" customHeight="1" x14ac:dyDescent="0.2">
      <c r="A254" s="1"/>
      <c r="B254" s="4"/>
      <c r="C254" s="1"/>
      <c r="D254" s="1"/>
      <c r="E254" s="1"/>
      <c r="F254" s="4"/>
    </row>
    <row r="255" spans="1:6" ht="15.75" customHeight="1" x14ac:dyDescent="0.2">
      <c r="A255" s="1"/>
      <c r="B255" s="4"/>
      <c r="C255" s="1"/>
      <c r="D255" s="1"/>
      <c r="E255" s="1"/>
      <c r="F255" s="1"/>
    </row>
    <row r="256" spans="1:6" ht="15.75" customHeight="1" x14ac:dyDescent="0.2">
      <c r="A256" s="1"/>
      <c r="B256" s="4"/>
      <c r="C256" s="1"/>
      <c r="D256" s="1"/>
      <c r="E256" s="1"/>
      <c r="F256" s="4"/>
    </row>
    <row r="257" spans="1:6" ht="15.75" customHeight="1" x14ac:dyDescent="0.2">
      <c r="A257" s="1"/>
      <c r="B257" s="4"/>
      <c r="C257" s="1"/>
      <c r="D257" s="1"/>
      <c r="E257" s="1"/>
      <c r="F257" s="4"/>
    </row>
    <row r="258" spans="1:6" ht="15.75" customHeight="1" x14ac:dyDescent="0.2">
      <c r="A258" s="1"/>
      <c r="B258" s="4"/>
      <c r="C258" s="1"/>
      <c r="D258" s="1"/>
      <c r="E258" s="1"/>
      <c r="F258" s="4"/>
    </row>
    <row r="259" spans="1:6" ht="15.75" customHeight="1" x14ac:dyDescent="0.2">
      <c r="A259" s="1"/>
      <c r="B259" s="4"/>
      <c r="C259" s="1"/>
      <c r="D259" s="1"/>
      <c r="E259" s="1"/>
      <c r="F259" s="4"/>
    </row>
    <row r="260" spans="1:6" ht="15.75" customHeight="1" x14ac:dyDescent="0.2">
      <c r="A260" s="1"/>
      <c r="B260" s="4"/>
      <c r="C260" s="1"/>
      <c r="D260" s="1"/>
      <c r="E260" s="1"/>
      <c r="F260" s="4"/>
    </row>
    <row r="261" spans="1:6" ht="15.75" customHeight="1" x14ac:dyDescent="0.2">
      <c r="A261" s="1"/>
      <c r="B261" s="4"/>
      <c r="C261" s="1"/>
      <c r="D261" s="1"/>
      <c r="E261" s="1"/>
      <c r="F261" s="4"/>
    </row>
    <row r="262" spans="1:6" ht="15.75" customHeight="1" x14ac:dyDescent="0.2">
      <c r="A262" s="1"/>
      <c r="B262" s="4"/>
      <c r="C262" s="1"/>
      <c r="D262" s="1"/>
      <c r="E262" s="1"/>
      <c r="F262" s="4"/>
    </row>
    <row r="263" spans="1:6" ht="15.75" customHeight="1" x14ac:dyDescent="0.2">
      <c r="A263" s="1"/>
      <c r="B263" s="4"/>
      <c r="C263" s="1"/>
      <c r="D263" s="1"/>
      <c r="E263" s="1"/>
      <c r="F263" s="4"/>
    </row>
    <row r="264" spans="1:6" ht="15.75" customHeight="1" x14ac:dyDescent="0.2">
      <c r="A264" s="1"/>
      <c r="B264" s="4"/>
      <c r="C264" s="1"/>
      <c r="D264" s="1"/>
      <c r="E264" s="1"/>
      <c r="F264" s="4"/>
    </row>
    <row r="265" spans="1:6" ht="15.75" customHeight="1" x14ac:dyDescent="0.2">
      <c r="A265" s="1"/>
      <c r="B265" s="4"/>
      <c r="C265" s="1"/>
      <c r="D265" s="1"/>
      <c r="E265" s="1"/>
      <c r="F265" s="4"/>
    </row>
    <row r="266" spans="1:6" ht="15.75" customHeight="1" x14ac:dyDescent="0.2">
      <c r="A266" s="1"/>
      <c r="B266" s="4"/>
      <c r="C266" s="1"/>
      <c r="D266" s="1"/>
      <c r="E266" s="1"/>
      <c r="F266" s="4"/>
    </row>
    <row r="267" spans="1:6" ht="15.75" customHeight="1" x14ac:dyDescent="0.2">
      <c r="A267" s="1"/>
      <c r="B267" s="4"/>
      <c r="C267" s="1"/>
      <c r="D267" s="1"/>
      <c r="E267" s="1"/>
      <c r="F267" s="4"/>
    </row>
    <row r="268" spans="1:6" ht="15.75" customHeight="1" x14ac:dyDescent="0.2">
      <c r="A268" s="1"/>
      <c r="B268" s="4"/>
      <c r="C268" s="1"/>
      <c r="D268" s="1"/>
      <c r="E268" s="1"/>
      <c r="F268" s="4"/>
    </row>
    <row r="269" spans="1:6" ht="15.75" customHeight="1" x14ac:dyDescent="0.2">
      <c r="A269" s="1"/>
      <c r="B269" s="4"/>
      <c r="C269" s="1"/>
      <c r="D269" s="1"/>
      <c r="E269" s="1"/>
      <c r="F269" s="4"/>
    </row>
    <row r="270" spans="1:6" ht="15.75" customHeight="1" x14ac:dyDescent="0.2">
      <c r="A270" s="1"/>
      <c r="B270" s="4"/>
      <c r="C270" s="1"/>
      <c r="D270" s="1"/>
      <c r="E270" s="1"/>
      <c r="F270" s="4"/>
    </row>
    <row r="271" spans="1:6" ht="15.75" customHeight="1" x14ac:dyDescent="0.2">
      <c r="A271" s="1"/>
      <c r="B271" s="4"/>
      <c r="C271" s="1"/>
      <c r="D271" s="1"/>
      <c r="E271" s="1"/>
      <c r="F271" s="4"/>
    </row>
    <row r="272" spans="1:6" ht="15.75" customHeight="1" x14ac:dyDescent="0.2">
      <c r="A272" s="1"/>
      <c r="B272" s="4"/>
      <c r="C272" s="1"/>
      <c r="D272" s="1"/>
      <c r="E272" s="1"/>
      <c r="F272" s="4"/>
    </row>
    <row r="273" spans="1:6" ht="15.75" customHeight="1" x14ac:dyDescent="0.2">
      <c r="A273" s="1"/>
      <c r="B273" s="4"/>
      <c r="C273" s="1"/>
      <c r="D273" s="1"/>
      <c r="E273" s="1"/>
      <c r="F273" s="4"/>
    </row>
    <row r="274" spans="1:6" ht="15.75" customHeight="1" x14ac:dyDescent="0.2">
      <c r="A274" s="1"/>
      <c r="B274" s="4"/>
      <c r="C274" s="1"/>
      <c r="D274" s="1"/>
      <c r="E274" s="1"/>
      <c r="F274" s="4"/>
    </row>
    <row r="275" spans="1:6" ht="15.75" customHeight="1" x14ac:dyDescent="0.2">
      <c r="A275" s="1"/>
      <c r="B275" s="4"/>
      <c r="C275" s="1"/>
      <c r="D275" s="1"/>
      <c r="E275" s="1"/>
      <c r="F275" s="4"/>
    </row>
    <row r="276" spans="1:6" ht="15.75" customHeight="1" x14ac:dyDescent="0.2">
      <c r="A276" s="1"/>
      <c r="B276" s="4"/>
      <c r="C276" s="1"/>
      <c r="D276" s="1"/>
      <c r="E276" s="1"/>
      <c r="F276" s="4"/>
    </row>
    <row r="277" spans="1:6" ht="15.75" customHeight="1" x14ac:dyDescent="0.2">
      <c r="A277" s="1"/>
      <c r="B277" s="4"/>
      <c r="C277" s="1"/>
      <c r="D277" s="1"/>
      <c r="E277" s="1"/>
      <c r="F277" s="4"/>
    </row>
    <row r="278" spans="1:6" ht="15.75" customHeight="1" x14ac:dyDescent="0.2">
      <c r="A278" s="1"/>
      <c r="B278" s="4"/>
      <c r="C278" s="1"/>
      <c r="D278" s="1"/>
      <c r="E278" s="1"/>
      <c r="F278" s="4"/>
    </row>
    <row r="279" spans="1:6" ht="15.75" customHeight="1" x14ac:dyDescent="0.2">
      <c r="A279" s="1"/>
      <c r="B279" s="4"/>
      <c r="C279" s="1"/>
      <c r="D279" s="1"/>
      <c r="E279" s="1"/>
      <c r="F279" s="4"/>
    </row>
    <row r="280" spans="1:6" ht="15.75" customHeight="1" x14ac:dyDescent="0.2">
      <c r="A280" s="1"/>
      <c r="B280" s="4"/>
      <c r="C280" s="1"/>
      <c r="D280" s="1"/>
      <c r="E280" s="1"/>
      <c r="F280" s="4"/>
    </row>
    <row r="281" spans="1:6" ht="15.75" customHeight="1" x14ac:dyDescent="0.2">
      <c r="A281" s="1"/>
      <c r="B281" s="4"/>
      <c r="C281" s="1"/>
      <c r="D281" s="1"/>
      <c r="E281" s="1"/>
      <c r="F281" s="4"/>
    </row>
    <row r="282" spans="1:6" ht="15.75" customHeight="1" x14ac:dyDescent="0.2">
      <c r="A282" s="1"/>
      <c r="B282" s="4"/>
      <c r="C282" s="1"/>
      <c r="D282" s="1"/>
      <c r="E282" s="1"/>
      <c r="F282" s="4"/>
    </row>
    <row r="283" spans="1:6" ht="15.75" customHeight="1" x14ac:dyDescent="0.2">
      <c r="A283" s="1"/>
      <c r="B283" s="4"/>
      <c r="C283" s="1"/>
      <c r="D283" s="1"/>
      <c r="E283" s="1"/>
      <c r="F283" s="4"/>
    </row>
    <row r="284" spans="1:6" ht="15.75" customHeight="1" x14ac:dyDescent="0.2">
      <c r="A284" s="1"/>
      <c r="B284" s="4"/>
      <c r="C284" s="1"/>
      <c r="D284" s="1"/>
      <c r="E284" s="1"/>
      <c r="F284" s="4"/>
    </row>
    <row r="285" spans="1:6" ht="15.75" customHeight="1" x14ac:dyDescent="0.2">
      <c r="A285" s="1"/>
      <c r="B285" s="4"/>
      <c r="C285" s="1"/>
      <c r="D285" s="1"/>
      <c r="E285" s="1"/>
      <c r="F285" s="4"/>
    </row>
    <row r="286" spans="1:6" ht="15.75" customHeight="1" x14ac:dyDescent="0.2">
      <c r="A286" s="1"/>
      <c r="B286" s="4"/>
      <c r="C286" s="1"/>
      <c r="D286" s="1"/>
      <c r="E286" s="1"/>
      <c r="F286" s="1"/>
    </row>
    <row r="287" spans="1:6" ht="15.75" customHeight="1" x14ac:dyDescent="0.2">
      <c r="A287" s="1"/>
      <c r="B287" s="4"/>
      <c r="C287" s="1"/>
      <c r="D287" s="1"/>
      <c r="E287" s="1"/>
      <c r="F287" s="1"/>
    </row>
    <row r="288" spans="1:6" ht="15.75" customHeight="1" x14ac:dyDescent="0.2">
      <c r="A288" s="1"/>
      <c r="B288" s="4"/>
      <c r="C288" s="1"/>
      <c r="D288" s="1"/>
      <c r="E288" s="1"/>
      <c r="F288" s="4"/>
    </row>
    <row r="289" spans="1:6" ht="15.75" customHeight="1" x14ac:dyDescent="0.2">
      <c r="A289" s="1"/>
      <c r="B289" s="4"/>
      <c r="C289" s="1"/>
      <c r="D289" s="1"/>
      <c r="E289" s="1"/>
      <c r="F289" s="4"/>
    </row>
    <row r="290" spans="1:6" ht="15.75" customHeight="1" x14ac:dyDescent="0.2">
      <c r="A290" s="1"/>
      <c r="B290" s="4"/>
      <c r="C290" s="1"/>
      <c r="D290" s="1"/>
      <c r="E290" s="1"/>
      <c r="F290" s="4"/>
    </row>
    <row r="291" spans="1:6" ht="15.75" customHeight="1" x14ac:dyDescent="0.2">
      <c r="A291" s="1"/>
      <c r="B291" s="4"/>
      <c r="C291" s="1"/>
      <c r="D291" s="1"/>
      <c r="E291" s="1"/>
      <c r="F291" s="4"/>
    </row>
    <row r="292" spans="1:6" ht="15.75" customHeight="1" x14ac:dyDescent="0.2">
      <c r="A292" s="1"/>
      <c r="B292" s="4"/>
      <c r="C292" s="1"/>
      <c r="D292" s="1"/>
      <c r="E292" s="1"/>
      <c r="F292" s="4"/>
    </row>
    <row r="293" spans="1:6" ht="15.75" customHeight="1" x14ac:dyDescent="0.2">
      <c r="A293" s="1"/>
      <c r="B293" s="4"/>
      <c r="C293" s="1"/>
      <c r="D293" s="1"/>
      <c r="E293" s="1"/>
      <c r="F293" s="1"/>
    </row>
    <row r="294" spans="1:6" ht="15.75" customHeight="1" x14ac:dyDescent="0.2">
      <c r="A294" s="1"/>
      <c r="B294" s="4"/>
      <c r="C294" s="1"/>
      <c r="D294" s="1"/>
      <c r="E294" s="1"/>
      <c r="F294" s="1"/>
    </row>
    <row r="295" spans="1:6" ht="15.75" customHeight="1" x14ac:dyDescent="0.2">
      <c r="A295" s="1"/>
      <c r="B295" s="4"/>
      <c r="C295" s="1"/>
      <c r="D295" s="1"/>
      <c r="E295" s="1"/>
      <c r="F295" s="1"/>
    </row>
    <row r="296" spans="1:6" ht="15.75" customHeight="1" x14ac:dyDescent="0.2"/>
    <row r="297" spans="1:6" ht="15.75" customHeight="1" x14ac:dyDescent="0.2"/>
    <row r="298" spans="1:6" ht="15.75" customHeight="1" x14ac:dyDescent="0.2"/>
    <row r="299" spans="1:6" ht="15.75" customHeight="1" x14ac:dyDescent="0.2"/>
    <row r="300" spans="1:6" ht="15.75" customHeight="1" x14ac:dyDescent="0.2"/>
    <row r="301" spans="1:6" ht="15.75" customHeight="1" x14ac:dyDescent="0.2"/>
    <row r="302" spans="1:6" ht="15.75" customHeight="1" x14ac:dyDescent="0.2"/>
    <row r="303" spans="1:6" ht="15.75" customHeight="1" x14ac:dyDescent="0.2"/>
    <row r="304" spans="1: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sheetData>
  <conditionalFormatting sqref="A2:A1048576 B1:K1">
    <cfRule type="duplicateValues" dxfId="30" priority="2"/>
  </conditionalFormatting>
  <pageMargins left="0.7" right="0.7" top="0.75" bottom="0.75" header="0" footer="0"/>
  <pageSetup orientation="landscape"/>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9888F-9CDA-4BC1-BDCC-FF1E230B2850}">
  <sheetPr codeName="Sheet2"/>
  <dimension ref="A2:F75"/>
  <sheetViews>
    <sheetView topLeftCell="A16" workbookViewId="0">
      <selection activeCell="G55" sqref="G55"/>
    </sheetView>
  </sheetViews>
  <sheetFormatPr defaultRowHeight="12.75" x14ac:dyDescent="0.2"/>
  <cols>
    <col min="1" max="1" width="18.28515625" customWidth="1"/>
    <col min="2" max="2" width="12.42578125" customWidth="1"/>
    <col min="3" max="3" width="10.28515625" bestFit="1" customWidth="1"/>
    <col min="4" max="4" width="11.28515625" bestFit="1" customWidth="1"/>
    <col min="5" max="5" width="10.28515625" bestFit="1" customWidth="1"/>
  </cols>
  <sheetData>
    <row r="2" spans="1:6" ht="13.5" thickBot="1" x14ac:dyDescent="0.25">
      <c r="A2" s="15" t="s">
        <v>18</v>
      </c>
    </row>
    <row r="3" spans="1:6" ht="13.5" thickBot="1" x14ac:dyDescent="0.25">
      <c r="A3" s="30" t="s">
        <v>13</v>
      </c>
      <c r="B3" s="32" t="s">
        <v>34</v>
      </c>
    </row>
    <row r="4" spans="1:6" x14ac:dyDescent="0.2">
      <c r="A4" s="27" t="s">
        <v>6</v>
      </c>
      <c r="B4" s="17" t="s">
        <v>14</v>
      </c>
    </row>
    <row r="5" spans="1:6" x14ac:dyDescent="0.2">
      <c r="A5" s="22" t="s">
        <v>7</v>
      </c>
      <c r="B5" s="18" t="s">
        <v>15</v>
      </c>
    </row>
    <row r="6" spans="1:6" x14ac:dyDescent="0.2">
      <c r="A6" s="22" t="s">
        <v>9</v>
      </c>
      <c r="B6" s="18" t="s">
        <v>16</v>
      </c>
    </row>
    <row r="7" spans="1:6" ht="13.5" thickBot="1" x14ac:dyDescent="0.25">
      <c r="A7" s="24" t="s">
        <v>8</v>
      </c>
      <c r="B7" s="19" t="s">
        <v>17</v>
      </c>
    </row>
    <row r="11" spans="1:6" ht="13.5" thickBot="1" x14ac:dyDescent="0.25">
      <c r="A11" s="15" t="s">
        <v>45</v>
      </c>
    </row>
    <row r="12" spans="1:6" ht="13.5" thickBot="1" x14ac:dyDescent="0.25">
      <c r="A12" s="30" t="s">
        <v>19</v>
      </c>
      <c r="B12" s="31" t="s">
        <v>20</v>
      </c>
      <c r="C12" s="31" t="s">
        <v>21</v>
      </c>
      <c r="D12" s="31" t="s">
        <v>22</v>
      </c>
      <c r="E12" s="32" t="s">
        <v>23</v>
      </c>
      <c r="F12" s="74" t="s">
        <v>50</v>
      </c>
    </row>
    <row r="13" spans="1:6" x14ac:dyDescent="0.2">
      <c r="A13" s="27" t="s">
        <v>14</v>
      </c>
      <c r="B13" s="28">
        <v>200000</v>
      </c>
      <c r="C13" s="28">
        <v>250000</v>
      </c>
      <c r="D13" s="28">
        <v>250000</v>
      </c>
      <c r="E13" s="29">
        <v>300000</v>
      </c>
      <c r="F13" s="16" t="s">
        <v>49</v>
      </c>
    </row>
    <row r="14" spans="1:6" x14ac:dyDescent="0.2">
      <c r="A14" s="22" t="s">
        <v>15</v>
      </c>
      <c r="B14" s="20">
        <v>100000</v>
      </c>
      <c r="C14" s="20">
        <v>200000</v>
      </c>
      <c r="D14" s="20">
        <v>250000</v>
      </c>
      <c r="E14" s="23">
        <v>300000</v>
      </c>
    </row>
    <row r="15" spans="1:6" x14ac:dyDescent="0.2">
      <c r="A15" s="22" t="s">
        <v>16</v>
      </c>
      <c r="B15" s="20">
        <v>200000</v>
      </c>
      <c r="C15" s="20">
        <v>250000</v>
      </c>
      <c r="D15" s="20">
        <v>250000</v>
      </c>
      <c r="E15" s="23">
        <v>300000</v>
      </c>
    </row>
    <row r="16" spans="1:6" ht="13.5" thickBot="1" x14ac:dyDescent="0.25">
      <c r="A16" s="24" t="s">
        <v>17</v>
      </c>
      <c r="B16" s="25">
        <v>400000</v>
      </c>
      <c r="C16" s="25">
        <v>450000</v>
      </c>
      <c r="D16" s="25">
        <v>450000</v>
      </c>
      <c r="E16" s="26">
        <v>500000</v>
      </c>
    </row>
    <row r="20" spans="1:6" ht="13.5" thickBot="1" x14ac:dyDescent="0.25">
      <c r="A20" s="15" t="s">
        <v>46</v>
      </c>
    </row>
    <row r="21" spans="1:6" ht="13.5" thickBot="1" x14ac:dyDescent="0.25">
      <c r="A21" s="30" t="s">
        <v>19</v>
      </c>
      <c r="B21" s="31" t="s">
        <v>20</v>
      </c>
      <c r="C21" s="31" t="s">
        <v>21</v>
      </c>
      <c r="D21" s="31" t="s">
        <v>22</v>
      </c>
      <c r="E21" s="32" t="s">
        <v>23</v>
      </c>
      <c r="F21" s="74" t="s">
        <v>50</v>
      </c>
    </row>
    <row r="22" spans="1:6" x14ac:dyDescent="0.2">
      <c r="A22" s="21" t="s">
        <v>14</v>
      </c>
      <c r="B22" s="64">
        <f>B13*1.5</f>
        <v>300000</v>
      </c>
      <c r="C22" s="64">
        <f t="shared" ref="C22:E22" si="0">C13*1.5</f>
        <v>375000</v>
      </c>
      <c r="D22" s="64">
        <f t="shared" si="0"/>
        <v>375000</v>
      </c>
      <c r="E22" s="65">
        <f t="shared" si="0"/>
        <v>450000</v>
      </c>
      <c r="F22" s="16" t="s">
        <v>48</v>
      </c>
    </row>
    <row r="23" spans="1:6" x14ac:dyDescent="0.2">
      <c r="A23" s="22" t="s">
        <v>15</v>
      </c>
      <c r="B23" s="28">
        <f t="shared" ref="B23:E23" si="1">B14*1.5</f>
        <v>150000</v>
      </c>
      <c r="C23" s="28">
        <f t="shared" si="1"/>
        <v>300000</v>
      </c>
      <c r="D23" s="28">
        <f t="shared" si="1"/>
        <v>375000</v>
      </c>
      <c r="E23" s="29">
        <f t="shared" si="1"/>
        <v>450000</v>
      </c>
      <c r="F23" s="16" t="s">
        <v>48</v>
      </c>
    </row>
    <row r="24" spans="1:6" x14ac:dyDescent="0.2">
      <c r="A24" s="22" t="s">
        <v>16</v>
      </c>
      <c r="B24" s="28">
        <f t="shared" ref="B24:E24" si="2">B15*1.5</f>
        <v>300000</v>
      </c>
      <c r="C24" s="28">
        <f t="shared" si="2"/>
        <v>375000</v>
      </c>
      <c r="D24" s="28">
        <f t="shared" si="2"/>
        <v>375000</v>
      </c>
      <c r="E24" s="29">
        <f t="shared" si="2"/>
        <v>450000</v>
      </c>
      <c r="F24" s="16" t="s">
        <v>48</v>
      </c>
    </row>
    <row r="25" spans="1:6" ht="13.5" thickBot="1" x14ac:dyDescent="0.25">
      <c r="A25" s="24" t="s">
        <v>17</v>
      </c>
      <c r="B25" s="66">
        <f t="shared" ref="B25:E25" si="3">B16*1.5</f>
        <v>600000</v>
      </c>
      <c r="C25" s="66">
        <f t="shared" si="3"/>
        <v>675000</v>
      </c>
      <c r="D25" s="66">
        <f t="shared" si="3"/>
        <v>675000</v>
      </c>
      <c r="E25" s="67">
        <f t="shared" si="3"/>
        <v>750000</v>
      </c>
      <c r="F25" s="16" t="s">
        <v>48</v>
      </c>
    </row>
    <row r="29" spans="1:6" ht="13.5" thickBot="1" x14ac:dyDescent="0.25">
      <c r="A29" s="15" t="s">
        <v>47</v>
      </c>
    </row>
    <row r="30" spans="1:6" ht="13.5" thickBot="1" x14ac:dyDescent="0.25">
      <c r="A30" s="30" t="s">
        <v>19</v>
      </c>
      <c r="B30" s="31" t="s">
        <v>20</v>
      </c>
      <c r="C30" s="31" t="s">
        <v>21</v>
      </c>
      <c r="D30" s="31" t="s">
        <v>22</v>
      </c>
      <c r="E30" s="32" t="s">
        <v>23</v>
      </c>
      <c r="F30" s="74" t="s">
        <v>51</v>
      </c>
    </row>
    <row r="31" spans="1:6" x14ac:dyDescent="0.2">
      <c r="A31" s="68" t="s">
        <v>14</v>
      </c>
      <c r="B31" s="71">
        <f>B22+1</f>
        <v>300001</v>
      </c>
      <c r="C31" s="64">
        <f t="shared" ref="C31:E31" si="4">C22+1</f>
        <v>375001</v>
      </c>
      <c r="D31" s="64">
        <f t="shared" si="4"/>
        <v>375001</v>
      </c>
      <c r="E31" s="65">
        <f t="shared" si="4"/>
        <v>450001</v>
      </c>
      <c r="F31" s="16" t="s">
        <v>52</v>
      </c>
    </row>
    <row r="32" spans="1:6" x14ac:dyDescent="0.2">
      <c r="A32" s="69" t="s">
        <v>15</v>
      </c>
      <c r="B32" s="72">
        <f t="shared" ref="B32:E32" si="5">B23+1</f>
        <v>150001</v>
      </c>
      <c r="C32" s="28">
        <f t="shared" si="5"/>
        <v>300001</v>
      </c>
      <c r="D32" s="28">
        <f t="shared" si="5"/>
        <v>375001</v>
      </c>
      <c r="E32" s="29">
        <f t="shared" si="5"/>
        <v>450001</v>
      </c>
      <c r="F32" s="16" t="s">
        <v>52</v>
      </c>
    </row>
    <row r="33" spans="1:6" x14ac:dyDescent="0.2">
      <c r="A33" s="69" t="s">
        <v>16</v>
      </c>
      <c r="B33" s="72">
        <f t="shared" ref="B33:E33" si="6">B24+1</f>
        <v>300001</v>
      </c>
      <c r="C33" s="28">
        <f t="shared" si="6"/>
        <v>375001</v>
      </c>
      <c r="D33" s="28">
        <f t="shared" si="6"/>
        <v>375001</v>
      </c>
      <c r="E33" s="29">
        <f t="shared" si="6"/>
        <v>450001</v>
      </c>
      <c r="F33" s="16" t="s">
        <v>52</v>
      </c>
    </row>
    <row r="34" spans="1:6" ht="13.5" thickBot="1" x14ac:dyDescent="0.25">
      <c r="A34" s="70" t="s">
        <v>17</v>
      </c>
      <c r="B34" s="73">
        <f t="shared" ref="B34:E34" si="7">B25+1</f>
        <v>600001</v>
      </c>
      <c r="C34" s="66">
        <f t="shared" si="7"/>
        <v>675001</v>
      </c>
      <c r="D34" s="66">
        <f t="shared" si="7"/>
        <v>675001</v>
      </c>
      <c r="E34" s="67">
        <f t="shared" si="7"/>
        <v>750001</v>
      </c>
      <c r="F34" s="16" t="s">
        <v>52</v>
      </c>
    </row>
    <row r="37" spans="1:6" ht="13.5" thickBot="1" x14ac:dyDescent="0.25">
      <c r="A37" s="15" t="s">
        <v>24</v>
      </c>
    </row>
    <row r="38" spans="1:6" ht="13.5" thickBot="1" x14ac:dyDescent="0.25">
      <c r="A38" s="33" t="s">
        <v>19</v>
      </c>
      <c r="B38" s="34" t="s">
        <v>20</v>
      </c>
      <c r="C38" s="34" t="s">
        <v>21</v>
      </c>
      <c r="D38" s="34" t="s">
        <v>22</v>
      </c>
      <c r="E38" s="35" t="s">
        <v>23</v>
      </c>
    </row>
    <row r="39" spans="1:6" x14ac:dyDescent="0.2">
      <c r="A39" s="21" t="s">
        <v>14</v>
      </c>
      <c r="B39" s="76">
        <v>0.1</v>
      </c>
      <c r="C39" s="76">
        <v>0.08</v>
      </c>
      <c r="D39" s="76">
        <v>0.08</v>
      </c>
      <c r="E39" s="78">
        <v>7.0000000000000007E-2</v>
      </c>
    </row>
    <row r="40" spans="1:6" x14ac:dyDescent="0.2">
      <c r="A40" s="22" t="s">
        <v>15</v>
      </c>
      <c r="B40" s="75">
        <v>0.12</v>
      </c>
      <c r="C40" s="75">
        <v>0.11</v>
      </c>
      <c r="D40" s="75">
        <v>0.09</v>
      </c>
      <c r="E40" s="79">
        <v>7.0000000000000007E-2</v>
      </c>
    </row>
    <row r="41" spans="1:6" x14ac:dyDescent="0.2">
      <c r="A41" s="22" t="s">
        <v>16</v>
      </c>
      <c r="B41" s="75">
        <v>0.09</v>
      </c>
      <c r="C41" s="75">
        <v>7.0000000000000007E-2</v>
      </c>
      <c r="D41" s="75">
        <v>7.0000000000000007E-2</v>
      </c>
      <c r="E41" s="79">
        <v>0.06</v>
      </c>
    </row>
    <row r="42" spans="1:6" ht="13.5" thickBot="1" x14ac:dyDescent="0.25">
      <c r="A42" s="24" t="s">
        <v>17</v>
      </c>
      <c r="B42" s="77">
        <v>0.09</v>
      </c>
      <c r="C42" s="77">
        <v>0.08</v>
      </c>
      <c r="D42" s="77">
        <v>0.08</v>
      </c>
      <c r="E42" s="80">
        <v>7.0000000000000007E-2</v>
      </c>
    </row>
    <row r="45" spans="1:6" ht="13.5" thickBot="1" x14ac:dyDescent="0.25">
      <c r="A45" s="15" t="s">
        <v>124</v>
      </c>
    </row>
    <row r="46" spans="1:6" ht="13.5" thickBot="1" x14ac:dyDescent="0.25">
      <c r="A46" s="33" t="s">
        <v>19</v>
      </c>
      <c r="B46" s="34" t="s">
        <v>20</v>
      </c>
      <c r="C46" s="34" t="s">
        <v>21</v>
      </c>
      <c r="D46" s="34" t="s">
        <v>22</v>
      </c>
      <c r="E46" s="35" t="s">
        <v>23</v>
      </c>
    </row>
    <row r="47" spans="1:6" x14ac:dyDescent="0.2">
      <c r="A47" s="21" t="s">
        <v>14</v>
      </c>
      <c r="B47" s="76">
        <f>B39*$B$64</f>
        <v>0.15000000000000002</v>
      </c>
      <c r="C47" s="76">
        <f t="shared" ref="C47:E47" si="8">C39*$B$64</f>
        <v>0.12</v>
      </c>
      <c r="D47" s="76">
        <f t="shared" si="8"/>
        <v>0.12</v>
      </c>
      <c r="E47" s="78">
        <f t="shared" si="8"/>
        <v>0.10500000000000001</v>
      </c>
    </row>
    <row r="48" spans="1:6" x14ac:dyDescent="0.2">
      <c r="A48" s="22" t="s">
        <v>15</v>
      </c>
      <c r="B48" s="75">
        <f t="shared" ref="B48:E48" si="9">B40*$B$64</f>
        <v>0.18</v>
      </c>
      <c r="C48" s="75">
        <f t="shared" si="9"/>
        <v>0.16500000000000001</v>
      </c>
      <c r="D48" s="75">
        <f t="shared" si="9"/>
        <v>0.13500000000000001</v>
      </c>
      <c r="E48" s="79">
        <f t="shared" si="9"/>
        <v>0.10500000000000001</v>
      </c>
    </row>
    <row r="49" spans="1:5" x14ac:dyDescent="0.2">
      <c r="A49" s="22" t="s">
        <v>16</v>
      </c>
      <c r="B49" s="75">
        <f t="shared" ref="B49:E49" si="10">B41*$B$64</f>
        <v>0.13500000000000001</v>
      </c>
      <c r="C49" s="75">
        <f t="shared" si="10"/>
        <v>0.10500000000000001</v>
      </c>
      <c r="D49" s="75">
        <f t="shared" si="10"/>
        <v>0.10500000000000001</v>
      </c>
      <c r="E49" s="79">
        <f t="shared" si="10"/>
        <v>0.09</v>
      </c>
    </row>
    <row r="50" spans="1:5" ht="13.5" thickBot="1" x14ac:dyDescent="0.25">
      <c r="A50" s="24" t="s">
        <v>17</v>
      </c>
      <c r="B50" s="77">
        <f t="shared" ref="B50:E50" si="11">B42*$B$64</f>
        <v>0.13500000000000001</v>
      </c>
      <c r="C50" s="77">
        <f t="shared" si="11"/>
        <v>0.12</v>
      </c>
      <c r="D50" s="77">
        <f t="shared" si="11"/>
        <v>0.12</v>
      </c>
      <c r="E50" s="80">
        <f t="shared" si="11"/>
        <v>0.10500000000000001</v>
      </c>
    </row>
    <row r="53" spans="1:5" ht="13.5" thickBot="1" x14ac:dyDescent="0.25">
      <c r="A53" s="15" t="s">
        <v>125</v>
      </c>
    </row>
    <row r="54" spans="1:5" ht="13.5" thickBot="1" x14ac:dyDescent="0.25">
      <c r="A54" s="33" t="s">
        <v>19</v>
      </c>
      <c r="B54" s="34" t="s">
        <v>20</v>
      </c>
      <c r="C54" s="34" t="s">
        <v>21</v>
      </c>
      <c r="D54" s="34" t="s">
        <v>22</v>
      </c>
      <c r="E54" s="35" t="s">
        <v>23</v>
      </c>
    </row>
    <row r="55" spans="1:5" x14ac:dyDescent="0.2">
      <c r="A55" s="21" t="s">
        <v>14</v>
      </c>
      <c r="B55" s="37">
        <f>B39*$B$65</f>
        <v>0.2</v>
      </c>
      <c r="C55" s="37">
        <v>0.08</v>
      </c>
      <c r="D55" s="37">
        <v>0.08</v>
      </c>
      <c r="E55" s="38">
        <v>7.0000000000000007E-2</v>
      </c>
    </row>
    <row r="56" spans="1:5" x14ac:dyDescent="0.2">
      <c r="A56" s="22" t="s">
        <v>15</v>
      </c>
      <c r="B56" s="36">
        <v>0.12</v>
      </c>
      <c r="C56" s="36">
        <v>0.11</v>
      </c>
      <c r="D56" s="36">
        <v>0.09</v>
      </c>
      <c r="E56" s="39">
        <v>7.0000000000000007E-2</v>
      </c>
    </row>
    <row r="57" spans="1:5" x14ac:dyDescent="0.2">
      <c r="A57" s="22" t="s">
        <v>16</v>
      </c>
      <c r="B57" s="36">
        <v>0.09</v>
      </c>
      <c r="C57" s="36">
        <v>7.0000000000000007E-2</v>
      </c>
      <c r="D57" s="36">
        <v>7.0000000000000007E-2</v>
      </c>
      <c r="E57" s="39">
        <v>0.06</v>
      </c>
    </row>
    <row r="58" spans="1:5" ht="13.5" thickBot="1" x14ac:dyDescent="0.25">
      <c r="A58" s="24" t="s">
        <v>17</v>
      </c>
      <c r="B58" s="40">
        <v>0.09</v>
      </c>
      <c r="C58" s="40">
        <v>0.08</v>
      </c>
      <c r="D58" s="40">
        <v>0.08</v>
      </c>
      <c r="E58" s="41">
        <v>7.0000000000000007E-2</v>
      </c>
    </row>
    <row r="61" spans="1:5" ht="13.5" thickBot="1" x14ac:dyDescent="0.25">
      <c r="A61" s="15" t="s">
        <v>25</v>
      </c>
    </row>
    <row r="62" spans="1:5" ht="26.25" thickBot="1" x14ac:dyDescent="0.25">
      <c r="A62" s="45" t="s">
        <v>27</v>
      </c>
      <c r="B62" s="46" t="s">
        <v>26</v>
      </c>
    </row>
    <row r="63" spans="1:5" x14ac:dyDescent="0.2">
      <c r="A63" s="44" t="s">
        <v>28</v>
      </c>
      <c r="B63" s="14">
        <v>1</v>
      </c>
    </row>
    <row r="64" spans="1:5" x14ac:dyDescent="0.2">
      <c r="A64" s="42" t="s">
        <v>29</v>
      </c>
      <c r="B64" s="12">
        <v>1.5</v>
      </c>
    </row>
    <row r="65" spans="1:2" ht="13.5" thickBot="1" x14ac:dyDescent="0.25">
      <c r="A65" s="43" t="s">
        <v>30</v>
      </c>
      <c r="B65" s="13">
        <v>2</v>
      </c>
    </row>
    <row r="70" spans="1:2" ht="13.5" thickBot="1" x14ac:dyDescent="0.25">
      <c r="A70" s="15" t="s">
        <v>31</v>
      </c>
    </row>
    <row r="71" spans="1:2" ht="26.25" thickBot="1" x14ac:dyDescent="0.25">
      <c r="A71" s="45" t="s">
        <v>32</v>
      </c>
      <c r="B71" s="51" t="s">
        <v>31</v>
      </c>
    </row>
    <row r="72" spans="1:2" x14ac:dyDescent="0.2">
      <c r="A72" s="44" t="s">
        <v>20</v>
      </c>
      <c r="B72" s="50">
        <v>44651</v>
      </c>
    </row>
    <row r="73" spans="1:2" x14ac:dyDescent="0.2">
      <c r="A73" s="42" t="s">
        <v>21</v>
      </c>
      <c r="B73" s="48">
        <v>44742</v>
      </c>
    </row>
    <row r="74" spans="1:2" x14ac:dyDescent="0.2">
      <c r="A74" s="42" t="s">
        <v>22</v>
      </c>
      <c r="B74" s="48">
        <v>44834</v>
      </c>
    </row>
    <row r="75" spans="1:2" ht="13.5" thickBot="1" x14ac:dyDescent="0.25">
      <c r="A75" s="43" t="s">
        <v>23</v>
      </c>
      <c r="B75" s="49">
        <v>44926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 Data(Exercise)</vt:lpstr>
      <vt:lpstr>Q1 Commission Detail </vt:lpstr>
      <vt:lpstr>Q2 Commission Detail</vt:lpstr>
      <vt:lpstr>Pivot Data</vt:lpstr>
      <vt:lpstr>Deal Data</vt:lpstr>
      <vt:lpstr>Reference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Gabe</cp:lastModifiedBy>
  <dcterms:created xsi:type="dcterms:W3CDTF">2022-02-18T05:01:30Z</dcterms:created>
  <dcterms:modified xsi:type="dcterms:W3CDTF">2022-02-20T03:13:21Z</dcterms:modified>
</cp:coreProperties>
</file>