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Vyral\UCFBootcamp\CaptivateIQ Homework\Captive_Commissions\"/>
    </mc:Choice>
  </mc:AlternateContent>
  <xr:revisionPtr revIDLastSave="0" documentId="13_ncr:1_{AAB2C1A0-951A-4C24-B30A-8E9009F00AD0}" xr6:coauthVersionLast="47" xr6:coauthVersionMax="47" xr10:uidLastSave="{00000000-0000-0000-0000-000000000000}"/>
  <bookViews>
    <workbookView xWindow="-120" yWindow="-120" windowWidth="38640" windowHeight="21240" xr2:uid="{00000000-000D-0000-FFFF-FFFF00000000}"/>
  </bookViews>
  <sheets>
    <sheet name="Summary Data(Exercise)" sheetId="4" r:id="rId1"/>
    <sheet name="Deal Data" sheetId="1" r:id="rId2"/>
    <sheet name="Reference Data" sheetId="2" r:id="rId3"/>
    <sheet name="Employee_Info" sheetId="13" r:id="rId4"/>
    <sheet name="Payment_date" sheetId="12" r:id="rId5"/>
    <sheet name="Base attainment" sheetId="10" r:id="rId6"/>
    <sheet name="Comm_Rates" sheetId="9" r:id="rId7"/>
  </sheets>
  <definedNames>
    <definedName name="_xlnm._FilterDatabase" localSheetId="1" hidden="1">'Deal Data'!$A$1:$I$117</definedName>
    <definedName name="_xlcn.WorksheetConnection_CaptivateIQExerciseData202201Solved.xlsxQ1_Comm_Detail1" hidden="1">Q1_Comm_Detail</definedName>
    <definedName name="_xlcn.WorksheetConnection_CaptivateIQExerciseData202201Solved.xlsxQ2_Comm_Detail1" hidden="1">Q2_Comm_Detail</definedName>
    <definedName name="Slicer_Attainment_Quarter">#N/A</definedName>
    <definedName name="Slicer_Owner_Name">#N/A</definedName>
    <definedName name="Slicer_Payment_Quarter">#N/A</definedName>
  </definedNames>
  <calcPr calcId="191029"/>
  <pivotCaches>
    <pivotCache cacheId="18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Q2_Comm_Detail" name="Q2_Comm_Detail" connection="WorksheetConnection_CaptivateIQ - Exercise Data (2022-01) Solved.xlsx!Q2_Comm_Detail"/>
          <x15:modelTable id="Q1_Comm_Detail" name="Q1_Comm_Detail" connection="WorksheetConnection_CaptivateIQ - Exercise Data (2022-01) Solved.xlsx!Q1_Comm_Detail"/>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J36" i="1"/>
  <c r="B56" i="2"/>
  <c r="C56" i="2"/>
  <c r="D56" i="2"/>
  <c r="E56" i="2"/>
  <c r="B57" i="2"/>
  <c r="C57" i="2"/>
  <c r="D57" i="2"/>
  <c r="E57" i="2"/>
  <c r="B58" i="2"/>
  <c r="C58" i="2"/>
  <c r="D58" i="2"/>
  <c r="E58" i="2"/>
  <c r="C55" i="2"/>
  <c r="D55" i="2"/>
  <c r="E55" i="2"/>
  <c r="C17" i="10"/>
  <c r="C16" i="10"/>
  <c r="C15" i="10"/>
  <c r="C14" i="10"/>
  <c r="C13" i="10"/>
  <c r="C12" i="10"/>
  <c r="C11" i="10"/>
  <c r="C10" i="10"/>
  <c r="C9" i="10"/>
  <c r="C8" i="10"/>
  <c r="C7" i="10"/>
  <c r="C6" i="10"/>
  <c r="C5" i="10"/>
  <c r="C4" i="10"/>
  <c r="C3" i="10"/>
  <c r="C2" i="10"/>
  <c r="C17" i="9"/>
  <c r="C16" i="9"/>
  <c r="C15" i="9"/>
  <c r="C14" i="9"/>
  <c r="C13" i="9"/>
  <c r="C12" i="9"/>
  <c r="C11" i="9"/>
  <c r="C10" i="9"/>
  <c r="C9" i="9"/>
  <c r="C8" i="9"/>
  <c r="C7" i="9"/>
  <c r="C6" i="9"/>
  <c r="C5" i="9"/>
  <c r="C4" i="9"/>
  <c r="C3" i="9"/>
  <c r="C2" i="9"/>
  <c r="B55" i="2"/>
  <c r="E50" i="2"/>
  <c r="D50" i="2"/>
  <c r="C50" i="2"/>
  <c r="B50" i="2"/>
  <c r="E49" i="2"/>
  <c r="D49" i="2"/>
  <c r="C49" i="2"/>
  <c r="B49" i="2"/>
  <c r="E48" i="2"/>
  <c r="D48" i="2"/>
  <c r="C48" i="2"/>
  <c r="B48" i="2"/>
  <c r="E47" i="2"/>
  <c r="D47" i="2"/>
  <c r="C47" i="2"/>
  <c r="B47" i="2"/>
  <c r="B23" i="2"/>
  <c r="B32" i="2" s="1"/>
  <c r="C23" i="2"/>
  <c r="C32" i="2" s="1"/>
  <c r="D23" i="2"/>
  <c r="D32" i="2" s="1"/>
  <c r="E23" i="2"/>
  <c r="E32" i="2" s="1"/>
  <c r="B24" i="2"/>
  <c r="C24" i="2"/>
  <c r="C33" i="2" s="1"/>
  <c r="D24" i="2"/>
  <c r="D33" i="2" s="1"/>
  <c r="E24" i="2"/>
  <c r="E33" i="2" s="1"/>
  <c r="B25" i="2"/>
  <c r="B34" i="2" s="1"/>
  <c r="C25" i="2"/>
  <c r="C34" i="2" s="1"/>
  <c r="D25" i="2"/>
  <c r="D34" i="2" s="1"/>
  <c r="E25" i="2"/>
  <c r="E34" i="2" s="1"/>
  <c r="C22" i="2"/>
  <c r="C31" i="2" s="1"/>
  <c r="D22" i="2"/>
  <c r="D31" i="2" s="1"/>
  <c r="E22" i="2"/>
  <c r="E31" i="2" s="1"/>
  <c r="B22" i="2"/>
  <c r="B31" i="2" s="1"/>
  <c r="B33" i="2" l="1"/>
  <c r="I35" i="1" l="1"/>
  <c r="J35" i="1" s="1"/>
  <c r="I79" i="1"/>
  <c r="J79" i="1" s="1"/>
  <c r="I80" i="1"/>
  <c r="J80" i="1" s="1"/>
  <c r="I3" i="1"/>
  <c r="J3" i="1" s="1"/>
  <c r="I4" i="1"/>
  <c r="J4" i="1" s="1"/>
  <c r="I56" i="1"/>
  <c r="J56" i="1" s="1"/>
  <c r="I5" i="1"/>
  <c r="J5" i="1" s="1"/>
  <c r="I37" i="1"/>
  <c r="J37" i="1" s="1"/>
  <c r="I81" i="1"/>
  <c r="J81" i="1" s="1"/>
  <c r="I6" i="1"/>
  <c r="J6" i="1" s="1"/>
  <c r="I38" i="1"/>
  <c r="J38" i="1" s="1"/>
  <c r="I57" i="1"/>
  <c r="J57" i="1" s="1"/>
  <c r="I82" i="1"/>
  <c r="J82" i="1" s="1"/>
  <c r="I7" i="1"/>
  <c r="J7" i="1" s="1"/>
  <c r="I83" i="1"/>
  <c r="J83" i="1" s="1"/>
  <c r="I58" i="1"/>
  <c r="J58" i="1" s="1"/>
  <c r="I84" i="1"/>
  <c r="J84" i="1" s="1"/>
  <c r="I85" i="1"/>
  <c r="J85" i="1" s="1"/>
  <c r="I86" i="1"/>
  <c r="J86" i="1" s="1"/>
  <c r="I87" i="1"/>
  <c r="J87" i="1" s="1"/>
  <c r="I8" i="1"/>
  <c r="J8" i="1" s="1"/>
  <c r="I9" i="1"/>
  <c r="J9" i="1" s="1"/>
  <c r="I88" i="1"/>
  <c r="J88" i="1" s="1"/>
  <c r="I10" i="1"/>
  <c r="J10" i="1" s="1"/>
  <c r="I89" i="1"/>
  <c r="J89" i="1" s="1"/>
  <c r="I11" i="1"/>
  <c r="J11" i="1" s="1"/>
  <c r="I90" i="1"/>
  <c r="J90" i="1" s="1"/>
  <c r="I39" i="1"/>
  <c r="J39" i="1" s="1"/>
  <c r="I91" i="1"/>
  <c r="J91" i="1" s="1"/>
  <c r="I12" i="1"/>
  <c r="J12" i="1" s="1"/>
  <c r="I92" i="1"/>
  <c r="J92" i="1" s="1"/>
  <c r="I40" i="1"/>
  <c r="J40" i="1" s="1"/>
  <c r="I13" i="1"/>
  <c r="J13" i="1" s="1"/>
  <c r="I14" i="1"/>
  <c r="J14" i="1" s="1"/>
  <c r="I93" i="1"/>
  <c r="J93" i="1" s="1"/>
  <c r="I15" i="1"/>
  <c r="J15" i="1" s="1"/>
  <c r="I94" i="1"/>
  <c r="J94" i="1" s="1"/>
  <c r="I59" i="1"/>
  <c r="J59" i="1" s="1"/>
  <c r="I95" i="1"/>
  <c r="J95" i="1" s="1"/>
  <c r="I41" i="1"/>
  <c r="J41" i="1" s="1"/>
  <c r="I16" i="1"/>
  <c r="J16" i="1" s="1"/>
  <c r="I42" i="1"/>
  <c r="J42" i="1" s="1"/>
  <c r="I60" i="1"/>
  <c r="J60" i="1" s="1"/>
  <c r="I96" i="1"/>
  <c r="J96" i="1" s="1"/>
  <c r="I43" i="1"/>
  <c r="J43" i="1" s="1"/>
  <c r="I61" i="1"/>
  <c r="J61" i="1" s="1"/>
  <c r="I97" i="1"/>
  <c r="J97" i="1" s="1"/>
  <c r="I98" i="1"/>
  <c r="J98" i="1" s="1"/>
  <c r="I17" i="1"/>
  <c r="J17" i="1" s="1"/>
  <c r="I62" i="1"/>
  <c r="J62" i="1" s="1"/>
  <c r="I63" i="1"/>
  <c r="J63" i="1" s="1"/>
  <c r="I99" i="1"/>
  <c r="J99" i="1" s="1"/>
  <c r="I100" i="1"/>
  <c r="J100" i="1" s="1"/>
  <c r="I101" i="1"/>
  <c r="J101" i="1" s="1"/>
  <c r="I64" i="1"/>
  <c r="J64" i="1" s="1"/>
  <c r="I65" i="1"/>
  <c r="J65" i="1" s="1"/>
  <c r="I102" i="1"/>
  <c r="J102" i="1" s="1"/>
  <c r="I18" i="1"/>
  <c r="J18" i="1" s="1"/>
  <c r="I66" i="1"/>
  <c r="J66" i="1" s="1"/>
  <c r="I19" i="1"/>
  <c r="J19" i="1" s="1"/>
  <c r="I103" i="1"/>
  <c r="J103" i="1" s="1"/>
  <c r="I20" i="1"/>
  <c r="J20" i="1" s="1"/>
  <c r="I21" i="1"/>
  <c r="J21" i="1" s="1"/>
  <c r="I44" i="1"/>
  <c r="J44" i="1" s="1"/>
  <c r="I104" i="1"/>
  <c r="J104" i="1" s="1"/>
  <c r="I22" i="1"/>
  <c r="J22" i="1" s="1"/>
  <c r="I67" i="1"/>
  <c r="J67" i="1" s="1"/>
  <c r="I105" i="1"/>
  <c r="J105" i="1" s="1"/>
  <c r="I23" i="1"/>
  <c r="J23" i="1" s="1"/>
  <c r="I45" i="1"/>
  <c r="J45" i="1" s="1"/>
  <c r="I106" i="1"/>
  <c r="J106" i="1" s="1"/>
  <c r="I68" i="1"/>
  <c r="J68" i="1" s="1"/>
  <c r="I24" i="1"/>
  <c r="J24" i="1" s="1"/>
  <c r="I107" i="1"/>
  <c r="J107" i="1" s="1"/>
  <c r="I25" i="1"/>
  <c r="J25" i="1" s="1"/>
  <c r="I69" i="1"/>
  <c r="J69" i="1" s="1"/>
  <c r="I46" i="1"/>
  <c r="J46" i="1" s="1"/>
  <c r="I47" i="1"/>
  <c r="J47" i="1" s="1"/>
  <c r="I70" i="1"/>
  <c r="J70" i="1" s="1"/>
  <c r="I26" i="1"/>
  <c r="J26" i="1" s="1"/>
  <c r="I71" i="1"/>
  <c r="J71" i="1" s="1"/>
  <c r="I48" i="1"/>
  <c r="J48" i="1" s="1"/>
  <c r="I27" i="1"/>
  <c r="J27" i="1" s="1"/>
  <c r="I108" i="1"/>
  <c r="J108" i="1" s="1"/>
  <c r="I28" i="1"/>
  <c r="J28" i="1" s="1"/>
  <c r="I72" i="1"/>
  <c r="J72" i="1" s="1"/>
  <c r="I109" i="1"/>
  <c r="J109" i="1" s="1"/>
  <c r="I110" i="1"/>
  <c r="J110" i="1" s="1"/>
  <c r="I73" i="1"/>
  <c r="J73" i="1" s="1"/>
  <c r="I29" i="1"/>
  <c r="J29" i="1" s="1"/>
  <c r="I49" i="1"/>
  <c r="J49" i="1" s="1"/>
  <c r="I50" i="1"/>
  <c r="J50" i="1" s="1"/>
  <c r="I111" i="1"/>
  <c r="J111" i="1" s="1"/>
  <c r="I51" i="1"/>
  <c r="J51" i="1" s="1"/>
  <c r="I112" i="1"/>
  <c r="J112" i="1" s="1"/>
  <c r="I74" i="1"/>
  <c r="J74" i="1" s="1"/>
  <c r="I75" i="1"/>
  <c r="J75" i="1" s="1"/>
  <c r="I30" i="1"/>
  <c r="J30" i="1" s="1"/>
  <c r="I113" i="1"/>
  <c r="J113" i="1" s="1"/>
  <c r="I31" i="1"/>
  <c r="J31" i="1" s="1"/>
  <c r="I52" i="1"/>
  <c r="J52" i="1" s="1"/>
  <c r="I114" i="1"/>
  <c r="J114" i="1" s="1"/>
  <c r="I32" i="1"/>
  <c r="J32" i="1" s="1"/>
  <c r="I33" i="1"/>
  <c r="J33" i="1" s="1"/>
  <c r="I34" i="1"/>
  <c r="J34" i="1" s="1"/>
  <c r="I53" i="1"/>
  <c r="J53" i="1" s="1"/>
  <c r="I54" i="1"/>
  <c r="J54" i="1" s="1"/>
  <c r="I115" i="1"/>
  <c r="J115" i="1" s="1"/>
  <c r="I116" i="1"/>
  <c r="J116" i="1" s="1"/>
  <c r="I76" i="1"/>
  <c r="J76" i="1" s="1"/>
  <c r="I77" i="1"/>
  <c r="J77" i="1" s="1"/>
  <c r="I117" i="1"/>
  <c r="J117" i="1" s="1"/>
  <c r="I55" i="1"/>
  <c r="J55" i="1" s="1"/>
  <c r="I78" i="1"/>
  <c r="J78" i="1" s="1"/>
  <c r="I2" i="1"/>
  <c r="J2" i="1" s="1"/>
  <c r="H35" i="1"/>
  <c r="H79" i="1"/>
  <c r="H36" i="1"/>
  <c r="H80" i="1"/>
  <c r="H3" i="1"/>
  <c r="H4" i="1"/>
  <c r="H56" i="1"/>
  <c r="H5" i="1"/>
  <c r="H37" i="1"/>
  <c r="H81" i="1"/>
  <c r="H6" i="1"/>
  <c r="H38" i="1"/>
  <c r="H57" i="1"/>
  <c r="H82" i="1"/>
  <c r="H7" i="1"/>
  <c r="H83" i="1"/>
  <c r="H58" i="1"/>
  <c r="H84" i="1"/>
  <c r="H85" i="1"/>
  <c r="H86" i="1"/>
  <c r="H87" i="1"/>
  <c r="H8" i="1"/>
  <c r="H9" i="1"/>
  <c r="H88" i="1"/>
  <c r="H10" i="1"/>
  <c r="H89" i="1"/>
  <c r="H11" i="1"/>
  <c r="H90" i="1"/>
  <c r="H39" i="1"/>
  <c r="H91" i="1"/>
  <c r="H12" i="1"/>
  <c r="H92" i="1"/>
  <c r="H40" i="1"/>
  <c r="H13" i="1"/>
  <c r="H14" i="1"/>
  <c r="H93" i="1"/>
  <c r="H15" i="1"/>
  <c r="H94" i="1"/>
  <c r="H59" i="1"/>
  <c r="H95" i="1"/>
  <c r="H41" i="1"/>
  <c r="H16" i="1"/>
  <c r="H42" i="1"/>
  <c r="H60" i="1"/>
  <c r="H96" i="1"/>
  <c r="H43" i="1"/>
  <c r="H61" i="1"/>
  <c r="H97" i="1"/>
  <c r="H98" i="1"/>
  <c r="H17" i="1"/>
  <c r="H62" i="1"/>
  <c r="H63" i="1"/>
  <c r="H99" i="1"/>
  <c r="H100" i="1"/>
  <c r="H101" i="1"/>
  <c r="H64" i="1"/>
  <c r="H65" i="1"/>
  <c r="H102" i="1"/>
  <c r="H18" i="1"/>
  <c r="H66" i="1"/>
  <c r="H19" i="1"/>
  <c r="H103" i="1"/>
  <c r="H20" i="1"/>
  <c r="H21" i="1"/>
  <c r="H44" i="1"/>
  <c r="H104" i="1"/>
  <c r="H22" i="1"/>
  <c r="H67" i="1"/>
  <c r="H105" i="1"/>
  <c r="H23" i="1"/>
  <c r="H45" i="1"/>
  <c r="H106" i="1"/>
  <c r="H68" i="1"/>
  <c r="H24" i="1"/>
  <c r="H107" i="1"/>
  <c r="H25" i="1"/>
  <c r="H69" i="1"/>
  <c r="H46" i="1"/>
  <c r="H47" i="1"/>
  <c r="H70" i="1"/>
  <c r="H26" i="1"/>
  <c r="H71" i="1"/>
  <c r="H48" i="1"/>
  <c r="H27" i="1"/>
  <c r="H108" i="1"/>
  <c r="H28" i="1"/>
  <c r="H72" i="1"/>
  <c r="H109" i="1"/>
  <c r="H110" i="1"/>
  <c r="H73" i="1"/>
  <c r="H29" i="1"/>
  <c r="H49" i="1"/>
  <c r="H50" i="1"/>
  <c r="H111" i="1"/>
  <c r="H51" i="1"/>
  <c r="H112" i="1"/>
  <c r="H74" i="1"/>
  <c r="H75" i="1"/>
  <c r="H30" i="1"/>
  <c r="H113" i="1"/>
  <c r="H31" i="1"/>
  <c r="H52" i="1"/>
  <c r="H114" i="1"/>
  <c r="H32" i="1"/>
  <c r="H33" i="1"/>
  <c r="H34" i="1"/>
  <c r="H53" i="1"/>
  <c r="H54" i="1"/>
  <c r="H115" i="1"/>
  <c r="H116" i="1"/>
  <c r="H76" i="1"/>
  <c r="H77" i="1"/>
  <c r="H117" i="1"/>
  <c r="H55" i="1"/>
  <c r="H78" i="1"/>
  <c r="H2" i="1"/>
  <c r="G78" i="1"/>
  <c r="G55" i="1"/>
  <c r="G117" i="1"/>
  <c r="G77" i="1"/>
  <c r="G76" i="1"/>
  <c r="G116" i="1"/>
  <c r="G115" i="1"/>
  <c r="G54" i="1"/>
  <c r="G53" i="1"/>
  <c r="G34" i="1"/>
  <c r="G33" i="1"/>
  <c r="G32" i="1"/>
  <c r="G114" i="1"/>
  <c r="G52" i="1"/>
  <c r="G31" i="1"/>
  <c r="G113" i="1"/>
  <c r="G30" i="1"/>
  <c r="G75" i="1"/>
  <c r="G74" i="1"/>
  <c r="G112" i="1"/>
  <c r="G51" i="1"/>
  <c r="G111" i="1"/>
  <c r="G50" i="1"/>
  <c r="G49" i="1"/>
  <c r="G29" i="1"/>
  <c r="G73" i="1"/>
  <c r="G110" i="1"/>
  <c r="G109" i="1"/>
  <c r="G72" i="1"/>
  <c r="G28" i="1"/>
  <c r="G108" i="1"/>
  <c r="G27" i="1"/>
  <c r="G48" i="1"/>
  <c r="G71" i="1"/>
  <c r="G26" i="1"/>
  <c r="G70" i="1"/>
  <c r="G47" i="1"/>
  <c r="G46" i="1"/>
  <c r="G69" i="1"/>
  <c r="G25" i="1"/>
  <c r="G107" i="1"/>
  <c r="G24" i="1"/>
  <c r="G68" i="1"/>
  <c r="G106" i="1"/>
  <c r="G45" i="1"/>
  <c r="G23" i="1"/>
  <c r="G105" i="1"/>
  <c r="G67" i="1"/>
  <c r="G22" i="1"/>
  <c r="G104" i="1"/>
  <c r="G44" i="1"/>
  <c r="G21" i="1"/>
  <c r="G20" i="1"/>
  <c r="G103" i="1"/>
  <c r="G19" i="1"/>
  <c r="G66" i="1"/>
  <c r="G18" i="1"/>
  <c r="G102" i="1"/>
  <c r="G65" i="1"/>
  <c r="G64" i="1"/>
  <c r="G101" i="1"/>
  <c r="G100" i="1"/>
  <c r="G99" i="1"/>
  <c r="G63" i="1"/>
  <c r="G62" i="1"/>
  <c r="G17" i="1"/>
  <c r="G98" i="1"/>
  <c r="G97" i="1"/>
  <c r="G61" i="1"/>
  <c r="G43" i="1"/>
  <c r="G96" i="1"/>
  <c r="G60" i="1"/>
  <c r="G42" i="1"/>
  <c r="G16" i="1"/>
  <c r="G41" i="1"/>
  <c r="G95" i="1"/>
  <c r="G59" i="1"/>
  <c r="G94" i="1"/>
  <c r="G15" i="1"/>
  <c r="G93" i="1"/>
  <c r="G14" i="1"/>
  <c r="G13" i="1"/>
  <c r="G40" i="1"/>
  <c r="G92" i="1"/>
  <c r="G12" i="1"/>
  <c r="G91" i="1"/>
  <c r="G39" i="1"/>
  <c r="G90" i="1"/>
  <c r="G11" i="1"/>
  <c r="G89" i="1"/>
  <c r="G10" i="1"/>
  <c r="G88" i="1"/>
  <c r="G9" i="1"/>
  <c r="G8" i="1"/>
  <c r="G87" i="1"/>
  <c r="G86" i="1"/>
  <c r="G85" i="1"/>
  <c r="G84" i="1"/>
  <c r="G58" i="1"/>
  <c r="G83" i="1"/>
  <c r="G7" i="1"/>
  <c r="G82" i="1"/>
  <c r="G57" i="1"/>
  <c r="G38" i="1"/>
  <c r="G6" i="1"/>
  <c r="G81" i="1"/>
  <c r="G37" i="1"/>
  <c r="G5" i="1"/>
  <c r="G56" i="1"/>
  <c r="G4" i="1"/>
  <c r="G3" i="1"/>
  <c r="G80" i="1"/>
  <c r="G36" i="1"/>
  <c r="G79" i="1"/>
  <c r="G35" i="1"/>
  <c r="G2" i="1"/>
  <c r="M2" i="1" l="1"/>
  <c r="S2" i="1"/>
  <c r="U2" i="1"/>
  <c r="U24" i="1"/>
  <c r="S24" i="1"/>
  <c r="U107" i="1"/>
  <c r="S107" i="1"/>
  <c r="U69" i="1"/>
  <c r="S69" i="1"/>
  <c r="S56" i="1"/>
  <c r="U56" i="1"/>
  <c r="S46" i="1"/>
  <c r="U46" i="1"/>
  <c r="U79" i="1"/>
  <c r="S79" i="1"/>
  <c r="S35" i="1"/>
  <c r="U35" i="1"/>
  <c r="L61" i="1"/>
  <c r="M61" i="1"/>
  <c r="L83" i="1"/>
  <c r="M83" i="1"/>
  <c r="L35" i="1"/>
  <c r="M35" i="1"/>
  <c r="L58" i="1"/>
  <c r="M58" i="1"/>
  <c r="L40" i="1"/>
  <c r="M40" i="1"/>
  <c r="L98" i="1"/>
  <c r="Q98" i="1" s="1"/>
  <c r="M98" i="1"/>
  <c r="L44" i="1"/>
  <c r="Q44" i="1" s="1"/>
  <c r="M44" i="1"/>
  <c r="L26" i="1"/>
  <c r="O26" i="1" s="1"/>
  <c r="P26" i="1" s="1"/>
  <c r="M26" i="1"/>
  <c r="L74" i="1"/>
  <c r="M74" i="1"/>
  <c r="L117" i="1"/>
  <c r="M117" i="1"/>
  <c r="L76" i="1"/>
  <c r="M76" i="1"/>
  <c r="L13" i="1"/>
  <c r="M13" i="1"/>
  <c r="L62" i="1"/>
  <c r="Q62" i="1" s="1"/>
  <c r="M62" i="1"/>
  <c r="L80" i="1"/>
  <c r="Q80" i="1" s="1"/>
  <c r="M80" i="1"/>
  <c r="L93" i="1"/>
  <c r="M93" i="1"/>
  <c r="L63" i="1"/>
  <c r="O63" i="1" s="1"/>
  <c r="P63" i="1" s="1"/>
  <c r="M63" i="1"/>
  <c r="L67" i="1"/>
  <c r="M67" i="1"/>
  <c r="L27" i="1"/>
  <c r="M27" i="1"/>
  <c r="L113" i="1"/>
  <c r="M113" i="1"/>
  <c r="L112" i="1"/>
  <c r="M112" i="1"/>
  <c r="L84" i="1"/>
  <c r="M84" i="1"/>
  <c r="L48" i="1"/>
  <c r="O48" i="1" s="1"/>
  <c r="P48" i="1" s="1"/>
  <c r="M48" i="1"/>
  <c r="L55" i="1"/>
  <c r="O55" i="1" s="1"/>
  <c r="P55" i="1" s="1"/>
  <c r="M55" i="1"/>
  <c r="L47" i="1"/>
  <c r="Q47" i="1" s="1"/>
  <c r="M47" i="1"/>
  <c r="L70" i="1"/>
  <c r="M70" i="1"/>
  <c r="L104" i="1"/>
  <c r="M104" i="1"/>
  <c r="L22" i="1"/>
  <c r="M22" i="1"/>
  <c r="L15" i="1"/>
  <c r="Q15" i="1" s="1"/>
  <c r="M15" i="1"/>
  <c r="L105" i="1"/>
  <c r="O105" i="1" s="1"/>
  <c r="P105" i="1" s="1"/>
  <c r="M105" i="1"/>
  <c r="L100" i="1"/>
  <c r="Q100" i="1" s="1"/>
  <c r="M100" i="1"/>
  <c r="L52" i="1"/>
  <c r="O52" i="1" s="1"/>
  <c r="P52" i="1" s="1"/>
  <c r="M52" i="1"/>
  <c r="L56" i="1"/>
  <c r="Q56" i="1" s="1"/>
  <c r="M56" i="1"/>
  <c r="L101" i="1"/>
  <c r="M101" i="1"/>
  <c r="L114" i="1"/>
  <c r="M114" i="1"/>
  <c r="L5" i="1"/>
  <c r="O5" i="1" s="1"/>
  <c r="P5" i="1" s="1"/>
  <c r="M5" i="1"/>
  <c r="L88" i="1"/>
  <c r="M88" i="1"/>
  <c r="L95" i="1"/>
  <c r="M95" i="1"/>
  <c r="L64" i="1"/>
  <c r="M64" i="1"/>
  <c r="L106" i="1"/>
  <c r="O106" i="1" s="1"/>
  <c r="P106" i="1" s="1"/>
  <c r="M106" i="1"/>
  <c r="L109" i="1"/>
  <c r="Q109" i="1" s="1"/>
  <c r="M109" i="1"/>
  <c r="L32" i="1"/>
  <c r="M32" i="1"/>
  <c r="L20" i="1"/>
  <c r="M20" i="1"/>
  <c r="L97" i="1"/>
  <c r="O97" i="1" s="1"/>
  <c r="P97" i="1" s="1"/>
  <c r="M97" i="1"/>
  <c r="L75" i="1"/>
  <c r="Q75" i="1" s="1"/>
  <c r="M75" i="1"/>
  <c r="L30" i="1"/>
  <c r="O30" i="1" s="1"/>
  <c r="P30" i="1" s="1"/>
  <c r="M30" i="1"/>
  <c r="L87" i="1"/>
  <c r="Q87" i="1" s="1"/>
  <c r="M87" i="1"/>
  <c r="L31" i="1"/>
  <c r="O31" i="1" s="1"/>
  <c r="P31" i="1" s="1"/>
  <c r="M31" i="1"/>
  <c r="L4" i="1"/>
  <c r="Q4" i="1" s="1"/>
  <c r="M4" i="1"/>
  <c r="L28" i="1"/>
  <c r="M28" i="1"/>
  <c r="L9" i="1"/>
  <c r="M9" i="1"/>
  <c r="L45" i="1"/>
  <c r="O45" i="1" s="1"/>
  <c r="P45" i="1" s="1"/>
  <c r="M45" i="1"/>
  <c r="L37" i="1"/>
  <c r="Q37" i="1" s="1"/>
  <c r="M37" i="1"/>
  <c r="L65" i="1"/>
  <c r="M65" i="1"/>
  <c r="L110" i="1"/>
  <c r="Q110" i="1" s="1"/>
  <c r="M110" i="1"/>
  <c r="Q76" i="1"/>
  <c r="L7" i="1"/>
  <c r="Q7" i="1" s="1"/>
  <c r="M7" i="1"/>
  <c r="L59" i="1"/>
  <c r="M59" i="1"/>
  <c r="L72" i="1"/>
  <c r="Q72" i="1" s="1"/>
  <c r="M72" i="1"/>
  <c r="L10" i="1"/>
  <c r="Q10" i="1" s="1"/>
  <c r="M10" i="1"/>
  <c r="L41" i="1"/>
  <c r="M41" i="1"/>
  <c r="L68" i="1"/>
  <c r="O68" i="1" s="1"/>
  <c r="P68" i="1" s="1"/>
  <c r="M68" i="1"/>
  <c r="L33" i="1"/>
  <c r="O33" i="1" s="1"/>
  <c r="P33" i="1" s="1"/>
  <c r="M33" i="1"/>
  <c r="L81" i="1"/>
  <c r="O81" i="1" s="1"/>
  <c r="P81" i="1" s="1"/>
  <c r="M81" i="1"/>
  <c r="L89" i="1"/>
  <c r="Q89" i="1" s="1"/>
  <c r="M89" i="1"/>
  <c r="L16" i="1"/>
  <c r="M16" i="1"/>
  <c r="L102" i="1"/>
  <c r="Q102" i="1" s="1"/>
  <c r="M102" i="1"/>
  <c r="L24" i="1"/>
  <c r="Q24" i="1" s="1"/>
  <c r="M24" i="1"/>
  <c r="L73" i="1"/>
  <c r="Q73" i="1" s="1"/>
  <c r="M73" i="1"/>
  <c r="L34" i="1"/>
  <c r="O34" i="1" s="1"/>
  <c r="P34" i="1" s="1"/>
  <c r="M34" i="1"/>
  <c r="L53" i="1"/>
  <c r="M53" i="1"/>
  <c r="L51" i="1"/>
  <c r="M51" i="1"/>
  <c r="L21" i="1"/>
  <c r="O21" i="1" s="1"/>
  <c r="P21" i="1" s="1"/>
  <c r="M21" i="1"/>
  <c r="L17" i="1"/>
  <c r="M17" i="1"/>
  <c r="L85" i="1"/>
  <c r="O85" i="1" s="1"/>
  <c r="P85" i="1" s="1"/>
  <c r="M85" i="1"/>
  <c r="L78" i="1"/>
  <c r="O78" i="1" s="1"/>
  <c r="P78" i="1" s="1"/>
  <c r="M78" i="1"/>
  <c r="L3" i="1"/>
  <c r="O3" i="1" s="1"/>
  <c r="P3" i="1" s="1"/>
  <c r="M3" i="1"/>
  <c r="L108" i="1"/>
  <c r="O108" i="1" s="1"/>
  <c r="P108" i="1" s="1"/>
  <c r="M108" i="1"/>
  <c r="L8" i="1"/>
  <c r="M8" i="1"/>
  <c r="L23" i="1"/>
  <c r="O23" i="1" s="1"/>
  <c r="P23" i="1" s="1"/>
  <c r="M23" i="1"/>
  <c r="L6" i="1"/>
  <c r="M6" i="1"/>
  <c r="L11" i="1"/>
  <c r="O11" i="1" s="1"/>
  <c r="P11" i="1" s="1"/>
  <c r="M11" i="1"/>
  <c r="L42" i="1"/>
  <c r="O42" i="1" s="1"/>
  <c r="P42" i="1" s="1"/>
  <c r="M42" i="1"/>
  <c r="L18" i="1"/>
  <c r="M18" i="1"/>
  <c r="L107" i="1"/>
  <c r="O107" i="1" s="1"/>
  <c r="P107" i="1" s="1"/>
  <c r="M107" i="1"/>
  <c r="L29" i="1"/>
  <c r="O29" i="1" s="1"/>
  <c r="P29" i="1" s="1"/>
  <c r="M29" i="1"/>
  <c r="L38" i="1"/>
  <c r="M38" i="1"/>
  <c r="L90" i="1"/>
  <c r="O90" i="1" s="1"/>
  <c r="P90" i="1" s="1"/>
  <c r="M90" i="1"/>
  <c r="L60" i="1"/>
  <c r="M60" i="1"/>
  <c r="L66" i="1"/>
  <c r="M66" i="1"/>
  <c r="L25" i="1"/>
  <c r="O25" i="1" s="1"/>
  <c r="P25" i="1" s="1"/>
  <c r="M25" i="1"/>
  <c r="L49" i="1"/>
  <c r="M49" i="1"/>
  <c r="L54" i="1"/>
  <c r="O54" i="1" s="1"/>
  <c r="P54" i="1" s="1"/>
  <c r="M54" i="1"/>
  <c r="L12" i="1"/>
  <c r="Q12" i="1" s="1"/>
  <c r="M12" i="1"/>
  <c r="L92" i="1"/>
  <c r="O92" i="1" s="1"/>
  <c r="P92" i="1" s="1"/>
  <c r="M92" i="1"/>
  <c r="L79" i="1"/>
  <c r="O79" i="1" s="1"/>
  <c r="P79" i="1" s="1"/>
  <c r="M79" i="1"/>
  <c r="L36" i="1"/>
  <c r="O36" i="1" s="1"/>
  <c r="P36" i="1" s="1"/>
  <c r="M36" i="1"/>
  <c r="L19" i="1"/>
  <c r="O19" i="1" s="1"/>
  <c r="P19" i="1" s="1"/>
  <c r="M19" i="1"/>
  <c r="L77" i="1"/>
  <c r="O77" i="1" s="1"/>
  <c r="P77" i="1" s="1"/>
  <c r="M77" i="1"/>
  <c r="L71" i="1"/>
  <c r="O71" i="1" s="1"/>
  <c r="P71" i="1" s="1"/>
  <c r="M71" i="1"/>
  <c r="L14" i="1"/>
  <c r="O14" i="1" s="1"/>
  <c r="P14" i="1" s="1"/>
  <c r="M14" i="1"/>
  <c r="L86" i="1"/>
  <c r="O86" i="1" s="1"/>
  <c r="P86" i="1" s="1"/>
  <c r="M86" i="1"/>
  <c r="L99" i="1"/>
  <c r="Q99" i="1" s="1"/>
  <c r="M99" i="1"/>
  <c r="L94" i="1"/>
  <c r="O94" i="1" s="1"/>
  <c r="P94" i="1" s="1"/>
  <c r="M94" i="1"/>
  <c r="L57" i="1"/>
  <c r="M57" i="1"/>
  <c r="L39" i="1"/>
  <c r="O39" i="1" s="1"/>
  <c r="P39" i="1" s="1"/>
  <c r="M39" i="1"/>
  <c r="L96" i="1"/>
  <c r="O96" i="1" s="1"/>
  <c r="P96" i="1" s="1"/>
  <c r="M96" i="1"/>
  <c r="L69" i="1"/>
  <c r="O69" i="1" s="1"/>
  <c r="P69" i="1" s="1"/>
  <c r="M69" i="1"/>
  <c r="L50" i="1"/>
  <c r="Q50" i="1" s="1"/>
  <c r="M50" i="1"/>
  <c r="L115" i="1"/>
  <c r="Q115" i="1" s="1"/>
  <c r="M115" i="1"/>
  <c r="L82" i="1"/>
  <c r="O82" i="1" s="1"/>
  <c r="P82" i="1" s="1"/>
  <c r="M82" i="1"/>
  <c r="L91" i="1"/>
  <c r="O91" i="1" s="1"/>
  <c r="P91" i="1" s="1"/>
  <c r="M91" i="1"/>
  <c r="L43" i="1"/>
  <c r="M43" i="1"/>
  <c r="L103" i="1"/>
  <c r="O103" i="1" s="1"/>
  <c r="P103" i="1" s="1"/>
  <c r="M103" i="1"/>
  <c r="L46" i="1"/>
  <c r="M46" i="1"/>
  <c r="L111" i="1"/>
  <c r="Q111" i="1" s="1"/>
  <c r="M111" i="1"/>
  <c r="L116" i="1"/>
  <c r="O116" i="1" s="1"/>
  <c r="P116" i="1" s="1"/>
  <c r="M116" i="1"/>
  <c r="Q104" i="1"/>
  <c r="Q17" i="1"/>
  <c r="Q13" i="1"/>
  <c r="Q84" i="1"/>
  <c r="Q117" i="1"/>
  <c r="Q74" i="1"/>
  <c r="Q40" i="1"/>
  <c r="Q58" i="1"/>
  <c r="Q35" i="1"/>
  <c r="Q112" i="1"/>
  <c r="Q70" i="1"/>
  <c r="Q83" i="1"/>
  <c r="Q20" i="1"/>
  <c r="Q61" i="1"/>
  <c r="Q66" i="1"/>
  <c r="Q16" i="1"/>
  <c r="Q65" i="1"/>
  <c r="Q41" i="1"/>
  <c r="Q32" i="1"/>
  <c r="Q64" i="1"/>
  <c r="Q95" i="1"/>
  <c r="Q88" i="1"/>
  <c r="Q114" i="1"/>
  <c r="Q101" i="1"/>
  <c r="Q59" i="1"/>
  <c r="Q9" i="1"/>
  <c r="Q28" i="1"/>
  <c r="Q113" i="1"/>
  <c r="Q27" i="1"/>
  <c r="Q67" i="1"/>
  <c r="Q93" i="1"/>
  <c r="L2" i="1"/>
  <c r="O2" i="1" s="1"/>
  <c r="P2" i="1" s="1"/>
  <c r="T68" i="1" l="1"/>
  <c r="T116" i="1"/>
  <c r="T19" i="1"/>
  <c r="T29" i="1"/>
  <c r="R29" i="1"/>
  <c r="W29" i="1" s="1"/>
  <c r="R108" i="1"/>
  <c r="W108" i="1" s="1"/>
  <c r="T108" i="1"/>
  <c r="T34" i="1"/>
  <c r="R34" i="1"/>
  <c r="W34" i="1" s="1"/>
  <c r="T86" i="1"/>
  <c r="R86" i="1"/>
  <c r="W86" i="1" s="1"/>
  <c r="T105" i="1"/>
  <c r="R105" i="1"/>
  <c r="W105" i="1" s="1"/>
  <c r="T45" i="1"/>
  <c r="R45" i="1"/>
  <c r="W45" i="1" s="1"/>
  <c r="R97" i="1"/>
  <c r="W97" i="1" s="1"/>
  <c r="T97" i="1"/>
  <c r="T5" i="1"/>
  <c r="R5" i="1"/>
  <c r="W5" i="1" s="1"/>
  <c r="T69" i="1"/>
  <c r="R69" i="1"/>
  <c r="W69" i="1" s="1"/>
  <c r="T71" i="1"/>
  <c r="R71" i="1"/>
  <c r="W71" i="1" s="1"/>
  <c r="T78" i="1"/>
  <c r="T77" i="1"/>
  <c r="R77" i="1"/>
  <c r="W77" i="1" s="1"/>
  <c r="R42" i="1"/>
  <c r="W42" i="1" s="1"/>
  <c r="T42" i="1"/>
  <c r="T85" i="1"/>
  <c r="R85" i="1"/>
  <c r="W85" i="1" s="1"/>
  <c r="R107" i="1"/>
  <c r="W107" i="1" s="1"/>
  <c r="T107" i="1"/>
  <c r="T96" i="1"/>
  <c r="R96" i="1"/>
  <c r="W96" i="1" s="1"/>
  <c r="T25" i="1"/>
  <c r="R25" i="1"/>
  <c r="W25" i="1" s="1"/>
  <c r="R39" i="1"/>
  <c r="W39" i="1" s="1"/>
  <c r="T39" i="1"/>
  <c r="R11" i="1"/>
  <c r="W11" i="1" s="1"/>
  <c r="T11" i="1"/>
  <c r="T30" i="1"/>
  <c r="R30" i="1"/>
  <c r="W30" i="1" s="1"/>
  <c r="T3" i="1"/>
  <c r="R3" i="1"/>
  <c r="W3" i="1" s="1"/>
  <c r="T103" i="1"/>
  <c r="R103" i="1"/>
  <c r="W103" i="1" s="1"/>
  <c r="T36" i="1"/>
  <c r="R36" i="1"/>
  <c r="W36" i="1" s="1"/>
  <c r="T21" i="1"/>
  <c r="T63" i="1"/>
  <c r="R63" i="1"/>
  <c r="W63" i="1" s="1"/>
  <c r="T26" i="1"/>
  <c r="R26" i="1"/>
  <c r="W26" i="1" s="1"/>
  <c r="R14" i="1"/>
  <c r="W14" i="1" s="1"/>
  <c r="T14" i="1"/>
  <c r="T31" i="1"/>
  <c r="R31" i="1"/>
  <c r="W31" i="1" s="1"/>
  <c r="R106" i="1"/>
  <c r="W106" i="1" s="1"/>
  <c r="T106" i="1"/>
  <c r="R91" i="1"/>
  <c r="W91" i="1" s="1"/>
  <c r="T91" i="1"/>
  <c r="R94" i="1"/>
  <c r="W94" i="1" s="1"/>
  <c r="T94" i="1"/>
  <c r="T79" i="1"/>
  <c r="R79" i="1"/>
  <c r="W79" i="1" s="1"/>
  <c r="R90" i="1"/>
  <c r="W90" i="1" s="1"/>
  <c r="T90" i="1"/>
  <c r="R81" i="1"/>
  <c r="W81" i="1" s="1"/>
  <c r="T81" i="1"/>
  <c r="T82" i="1"/>
  <c r="R82" i="1"/>
  <c r="W82" i="1" s="1"/>
  <c r="R92" i="1"/>
  <c r="W92" i="1" s="1"/>
  <c r="T92" i="1"/>
  <c r="T33" i="1"/>
  <c r="R33" i="1"/>
  <c r="W33" i="1" s="1"/>
  <c r="T48" i="1"/>
  <c r="R48" i="1"/>
  <c r="W48" i="1" s="1"/>
  <c r="T2" i="1"/>
  <c r="R2" i="1"/>
  <c r="W2" i="1" s="1"/>
  <c r="N51" i="1"/>
  <c r="O51" i="1"/>
  <c r="P51" i="1" s="1"/>
  <c r="T51" i="1" s="1"/>
  <c r="N93" i="1"/>
  <c r="O93" i="1"/>
  <c r="P93" i="1" s="1"/>
  <c r="T93" i="1" s="1"/>
  <c r="N44" i="1"/>
  <c r="O44" i="1"/>
  <c r="P44" i="1" s="1"/>
  <c r="T44" i="1" s="1"/>
  <c r="N57" i="1"/>
  <c r="O57" i="1"/>
  <c r="P57" i="1" s="1"/>
  <c r="T57" i="1" s="1"/>
  <c r="N110" i="1"/>
  <c r="O110" i="1"/>
  <c r="P110" i="1" s="1"/>
  <c r="T110" i="1" s="1"/>
  <c r="N87" i="1"/>
  <c r="O87" i="1"/>
  <c r="P87" i="1" s="1"/>
  <c r="T87" i="1" s="1"/>
  <c r="N64" i="1"/>
  <c r="O64" i="1"/>
  <c r="P64" i="1" s="1"/>
  <c r="T64" i="1" s="1"/>
  <c r="N100" i="1"/>
  <c r="O100" i="1"/>
  <c r="P100" i="1" s="1"/>
  <c r="T100" i="1" s="1"/>
  <c r="N99" i="1"/>
  <c r="O99" i="1"/>
  <c r="P99" i="1" s="1"/>
  <c r="T99" i="1" s="1"/>
  <c r="N38" i="1"/>
  <c r="O38" i="1"/>
  <c r="P38" i="1" s="1"/>
  <c r="T38" i="1" s="1"/>
  <c r="N8" i="1"/>
  <c r="O8" i="1"/>
  <c r="P8" i="1" s="1"/>
  <c r="T8" i="1" s="1"/>
  <c r="N53" i="1"/>
  <c r="O53" i="1"/>
  <c r="P53" i="1" s="1"/>
  <c r="N80" i="1"/>
  <c r="O80" i="1"/>
  <c r="P80" i="1" s="1"/>
  <c r="T80" i="1" s="1"/>
  <c r="N98" i="1"/>
  <c r="O98" i="1"/>
  <c r="P98" i="1" s="1"/>
  <c r="T98" i="1" s="1"/>
  <c r="N43" i="1"/>
  <c r="O43" i="1"/>
  <c r="P43" i="1" s="1"/>
  <c r="T43" i="1" s="1"/>
  <c r="N65" i="1"/>
  <c r="O65" i="1"/>
  <c r="P65" i="1" s="1"/>
  <c r="T65" i="1" s="1"/>
  <c r="N95" i="1"/>
  <c r="O95" i="1"/>
  <c r="P95" i="1" s="1"/>
  <c r="T95" i="1" s="1"/>
  <c r="N60" i="1"/>
  <c r="O60" i="1"/>
  <c r="P60" i="1" s="1"/>
  <c r="T60" i="1" s="1"/>
  <c r="N7" i="1"/>
  <c r="O7" i="1"/>
  <c r="P7" i="1" s="1"/>
  <c r="T7" i="1" s="1"/>
  <c r="N115" i="1"/>
  <c r="O115" i="1"/>
  <c r="P115" i="1" s="1"/>
  <c r="T115" i="1" s="1"/>
  <c r="N12" i="1"/>
  <c r="O12" i="1"/>
  <c r="P12" i="1" s="1"/>
  <c r="T12" i="1" s="1"/>
  <c r="N84" i="1"/>
  <c r="O84" i="1"/>
  <c r="P84" i="1" s="1"/>
  <c r="T84" i="1" s="1"/>
  <c r="N62" i="1"/>
  <c r="O62" i="1"/>
  <c r="P62" i="1" s="1"/>
  <c r="T62" i="1" s="1"/>
  <c r="N40" i="1"/>
  <c r="O40" i="1"/>
  <c r="P40" i="1" s="1"/>
  <c r="T40" i="1" s="1"/>
  <c r="N37" i="1"/>
  <c r="O37" i="1"/>
  <c r="P37" i="1" s="1"/>
  <c r="T37" i="1" s="1"/>
  <c r="N75" i="1"/>
  <c r="O75" i="1"/>
  <c r="P75" i="1" s="1"/>
  <c r="T75" i="1" s="1"/>
  <c r="N88" i="1"/>
  <c r="O88" i="1"/>
  <c r="P88" i="1" s="1"/>
  <c r="T88" i="1" s="1"/>
  <c r="N15" i="1"/>
  <c r="O15" i="1"/>
  <c r="P15" i="1" s="1"/>
  <c r="T15" i="1" s="1"/>
  <c r="N50" i="1"/>
  <c r="O50" i="1"/>
  <c r="P50" i="1" s="1"/>
  <c r="T50" i="1" s="1"/>
  <c r="N73" i="1"/>
  <c r="O73" i="1"/>
  <c r="P73" i="1" s="1"/>
  <c r="T73" i="1" s="1"/>
  <c r="N41" i="1"/>
  <c r="O41" i="1"/>
  <c r="P41" i="1" s="1"/>
  <c r="T41" i="1" s="1"/>
  <c r="N112" i="1"/>
  <c r="O112" i="1"/>
  <c r="P112" i="1" s="1"/>
  <c r="T112" i="1" s="1"/>
  <c r="N13" i="1"/>
  <c r="O13" i="1"/>
  <c r="P13" i="1" s="1"/>
  <c r="T13" i="1" s="1"/>
  <c r="N58" i="1"/>
  <c r="O58" i="1"/>
  <c r="P58" i="1" s="1"/>
  <c r="T58" i="1" s="1"/>
  <c r="N89" i="1"/>
  <c r="O89" i="1"/>
  <c r="P89" i="1" s="1"/>
  <c r="T89" i="1" s="1"/>
  <c r="N22" i="1"/>
  <c r="O22" i="1"/>
  <c r="P22" i="1" s="1"/>
  <c r="T22" i="1" s="1"/>
  <c r="N111" i="1"/>
  <c r="O111" i="1"/>
  <c r="P111" i="1" s="1"/>
  <c r="T111" i="1" s="1"/>
  <c r="N49" i="1"/>
  <c r="O49" i="1"/>
  <c r="P49" i="1" s="1"/>
  <c r="T49" i="1" s="1"/>
  <c r="N18" i="1"/>
  <c r="O18" i="1"/>
  <c r="P18" i="1" s="1"/>
  <c r="T18" i="1" s="1"/>
  <c r="N24" i="1"/>
  <c r="O24" i="1"/>
  <c r="P24" i="1" s="1"/>
  <c r="T24" i="1" s="1"/>
  <c r="N10" i="1"/>
  <c r="O10" i="1"/>
  <c r="P10" i="1" s="1"/>
  <c r="T10" i="1" s="1"/>
  <c r="N113" i="1"/>
  <c r="O113" i="1"/>
  <c r="P113" i="1" s="1"/>
  <c r="T113" i="1" s="1"/>
  <c r="N76" i="1"/>
  <c r="O76" i="1"/>
  <c r="P76" i="1" s="1"/>
  <c r="T76" i="1" s="1"/>
  <c r="N35" i="1"/>
  <c r="O35" i="1"/>
  <c r="P35" i="1" s="1"/>
  <c r="T35" i="1" s="1"/>
  <c r="N9" i="1"/>
  <c r="O9" i="1"/>
  <c r="P9" i="1" s="1"/>
  <c r="T9" i="1" s="1"/>
  <c r="N20" i="1"/>
  <c r="O20" i="1"/>
  <c r="P20" i="1" s="1"/>
  <c r="T20" i="1" s="1"/>
  <c r="N114" i="1"/>
  <c r="O114" i="1"/>
  <c r="P114" i="1" s="1"/>
  <c r="T114" i="1" s="1"/>
  <c r="N104" i="1"/>
  <c r="O104" i="1"/>
  <c r="P104" i="1" s="1"/>
  <c r="T104" i="1" s="1"/>
  <c r="N6" i="1"/>
  <c r="O6" i="1"/>
  <c r="P6" i="1" s="1"/>
  <c r="T6" i="1" s="1"/>
  <c r="Q60" i="1"/>
  <c r="N46" i="1"/>
  <c r="O46" i="1"/>
  <c r="P46" i="1" s="1"/>
  <c r="T46" i="1" s="1"/>
  <c r="N102" i="1"/>
  <c r="O102" i="1"/>
  <c r="P102" i="1" s="1"/>
  <c r="T102" i="1" s="1"/>
  <c r="N72" i="1"/>
  <c r="O72" i="1"/>
  <c r="P72" i="1" s="1"/>
  <c r="T72" i="1" s="1"/>
  <c r="N27" i="1"/>
  <c r="O27" i="1"/>
  <c r="P27" i="1" s="1"/>
  <c r="T27" i="1" s="1"/>
  <c r="N117" i="1"/>
  <c r="O117" i="1"/>
  <c r="P117" i="1" s="1"/>
  <c r="T117" i="1" s="1"/>
  <c r="N83" i="1"/>
  <c r="O83" i="1"/>
  <c r="P83" i="1" s="1"/>
  <c r="T83" i="1" s="1"/>
  <c r="N28" i="1"/>
  <c r="O28" i="1"/>
  <c r="P28" i="1" s="1"/>
  <c r="T28" i="1" s="1"/>
  <c r="N32" i="1"/>
  <c r="O32" i="1"/>
  <c r="P32" i="1" s="1"/>
  <c r="T32" i="1" s="1"/>
  <c r="N101" i="1"/>
  <c r="O101" i="1"/>
  <c r="P101" i="1" s="1"/>
  <c r="T101" i="1" s="1"/>
  <c r="N70" i="1"/>
  <c r="O70" i="1"/>
  <c r="P70" i="1" s="1"/>
  <c r="T70" i="1" s="1"/>
  <c r="Q49" i="1"/>
  <c r="N66" i="1"/>
  <c r="O66" i="1"/>
  <c r="P66" i="1" s="1"/>
  <c r="T66" i="1" s="1"/>
  <c r="N17" i="1"/>
  <c r="O17" i="1"/>
  <c r="P17" i="1" s="1"/>
  <c r="T17" i="1" s="1"/>
  <c r="N16" i="1"/>
  <c r="O16" i="1"/>
  <c r="P16" i="1" s="1"/>
  <c r="T16" i="1" s="1"/>
  <c r="N59" i="1"/>
  <c r="O59" i="1"/>
  <c r="P59" i="1" s="1"/>
  <c r="T59" i="1" s="1"/>
  <c r="N67" i="1"/>
  <c r="O67" i="1"/>
  <c r="P67" i="1" s="1"/>
  <c r="T67" i="1" s="1"/>
  <c r="N74" i="1"/>
  <c r="O74" i="1"/>
  <c r="P74" i="1" s="1"/>
  <c r="T74" i="1" s="1"/>
  <c r="N61" i="1"/>
  <c r="O61" i="1"/>
  <c r="P61" i="1" s="1"/>
  <c r="T61" i="1" s="1"/>
  <c r="Q6" i="1"/>
  <c r="Q57" i="1"/>
  <c r="N4" i="1"/>
  <c r="O4" i="1"/>
  <c r="P4" i="1" s="1"/>
  <c r="T4" i="1" s="1"/>
  <c r="N109" i="1"/>
  <c r="O109" i="1"/>
  <c r="P109" i="1" s="1"/>
  <c r="T109" i="1" s="1"/>
  <c r="N56" i="1"/>
  <c r="O56" i="1"/>
  <c r="P56" i="1" s="1"/>
  <c r="T56" i="1" s="1"/>
  <c r="N47" i="1"/>
  <c r="O47" i="1"/>
  <c r="P47" i="1" s="1"/>
  <c r="T47" i="1" s="1"/>
  <c r="Q63" i="1"/>
  <c r="V63" i="1" s="1"/>
  <c r="N63" i="1"/>
  <c r="Q96" i="1"/>
  <c r="N96" i="1"/>
  <c r="Q46" i="1"/>
  <c r="Q36" i="1"/>
  <c r="N36" i="1"/>
  <c r="Q21" i="1"/>
  <c r="N21" i="1"/>
  <c r="Q23" i="1"/>
  <c r="N23" i="1"/>
  <c r="Q81" i="1"/>
  <c r="V81" i="1" s="1"/>
  <c r="N81" i="1"/>
  <c r="Q55" i="1"/>
  <c r="N55" i="1"/>
  <c r="Q22" i="1"/>
  <c r="Q31" i="1"/>
  <c r="N31" i="1"/>
  <c r="Q33" i="1"/>
  <c r="N33" i="1"/>
  <c r="Q106" i="1"/>
  <c r="V106" i="1" s="1"/>
  <c r="N106" i="1"/>
  <c r="Q79" i="1"/>
  <c r="N79" i="1"/>
  <c r="Q92" i="1"/>
  <c r="N92" i="1"/>
  <c r="Q30" i="1"/>
  <c r="N30" i="1"/>
  <c r="Q105" i="1"/>
  <c r="N105" i="1"/>
  <c r="Q48" i="1"/>
  <c r="N48" i="1"/>
  <c r="Q52" i="1"/>
  <c r="N52" i="1"/>
  <c r="Q91" i="1"/>
  <c r="N91" i="1"/>
  <c r="Q82" i="1"/>
  <c r="V82" i="1" s="1"/>
  <c r="N82" i="1"/>
  <c r="Q18" i="1"/>
  <c r="Q86" i="1"/>
  <c r="V86" i="1" s="1"/>
  <c r="N86" i="1"/>
  <c r="Q29" i="1"/>
  <c r="V29" i="1" s="1"/>
  <c r="N29" i="1"/>
  <c r="Q108" i="1"/>
  <c r="N108" i="1"/>
  <c r="Q34" i="1"/>
  <c r="N34" i="1"/>
  <c r="Q68" i="1"/>
  <c r="N68" i="1"/>
  <c r="Q26" i="1"/>
  <c r="N26" i="1"/>
  <c r="Q90" i="1"/>
  <c r="V90" i="1" s="1"/>
  <c r="N90" i="1"/>
  <c r="Q53" i="1"/>
  <c r="Q51" i="1"/>
  <c r="Q94" i="1"/>
  <c r="N94" i="1"/>
  <c r="Q2" i="1"/>
  <c r="N2" i="1"/>
  <c r="Q38" i="1"/>
  <c r="Q116" i="1"/>
  <c r="N116" i="1"/>
  <c r="Q14" i="1"/>
  <c r="V14" i="1" s="1"/>
  <c r="N14" i="1"/>
  <c r="Q54" i="1"/>
  <c r="N54" i="1"/>
  <c r="Q107" i="1"/>
  <c r="N107" i="1"/>
  <c r="Q3" i="1"/>
  <c r="N3" i="1"/>
  <c r="Q45" i="1"/>
  <c r="N45" i="1"/>
  <c r="Q97" i="1"/>
  <c r="N97" i="1"/>
  <c r="Q5" i="1"/>
  <c r="V5" i="1" s="1"/>
  <c r="N5" i="1"/>
  <c r="Q69" i="1"/>
  <c r="V69" i="1" s="1"/>
  <c r="N69" i="1"/>
  <c r="Q71" i="1"/>
  <c r="N71" i="1"/>
  <c r="Q78" i="1"/>
  <c r="N78" i="1"/>
  <c r="Q25" i="1"/>
  <c r="V25" i="1" s="1"/>
  <c r="N25" i="1"/>
  <c r="Q85" i="1"/>
  <c r="N85" i="1"/>
  <c r="Q77" i="1"/>
  <c r="N77" i="1"/>
  <c r="Q42" i="1"/>
  <c r="N42" i="1"/>
  <c r="Q8" i="1"/>
  <c r="Q103" i="1"/>
  <c r="N103" i="1"/>
  <c r="Q39" i="1"/>
  <c r="N39" i="1"/>
  <c r="Q19" i="1"/>
  <c r="N19" i="1"/>
  <c r="Q11" i="1"/>
  <c r="N11" i="1"/>
  <c r="Q43" i="1"/>
  <c r="V48" i="1" l="1"/>
  <c r="V3" i="1"/>
  <c r="V103" i="1"/>
  <c r="V94" i="1"/>
  <c r="V2" i="1"/>
  <c r="R8" i="1"/>
  <c r="W8" i="1" s="1"/>
  <c r="V97" i="1"/>
  <c r="V30" i="1"/>
  <c r="V45" i="1"/>
  <c r="V85" i="1"/>
  <c r="V31" i="1"/>
  <c r="R57" i="1"/>
  <c r="R43" i="1"/>
  <c r="W43" i="1" s="1"/>
  <c r="R49" i="1"/>
  <c r="V11" i="1"/>
  <c r="R64" i="1"/>
  <c r="R4" i="1"/>
  <c r="V77" i="1"/>
  <c r="R87" i="1"/>
  <c r="V39" i="1"/>
  <c r="R98" i="1"/>
  <c r="V105" i="1"/>
  <c r="R65" i="1"/>
  <c r="R59" i="1"/>
  <c r="V92" i="1"/>
  <c r="V36" i="1"/>
  <c r="R100" i="1"/>
  <c r="R44" i="1"/>
  <c r="R95" i="1"/>
  <c r="R111" i="1"/>
  <c r="R58" i="1"/>
  <c r="R70" i="1"/>
  <c r="S70" i="1" s="1"/>
  <c r="R13" i="1"/>
  <c r="V107" i="1"/>
  <c r="V91" i="1"/>
  <c r="V33" i="1"/>
  <c r="V96" i="1"/>
  <c r="R38" i="1"/>
  <c r="R93" i="1"/>
  <c r="R83" i="1"/>
  <c r="R73" i="1"/>
  <c r="R35" i="1"/>
  <c r="R112" i="1"/>
  <c r="R101" i="1"/>
  <c r="R12" i="1"/>
  <c r="V51" i="1"/>
  <c r="R46" i="1"/>
  <c r="R115" i="1"/>
  <c r="V26" i="1"/>
  <c r="R99" i="1"/>
  <c r="R7" i="1"/>
  <c r="R66" i="1"/>
  <c r="R32" i="1"/>
  <c r="R27" i="1"/>
  <c r="R104" i="1"/>
  <c r="R76" i="1"/>
  <c r="R110" i="1"/>
  <c r="R51" i="1"/>
  <c r="W51" i="1" s="1"/>
  <c r="R89" i="1"/>
  <c r="R50" i="1"/>
  <c r="V71" i="1"/>
  <c r="V34" i="1"/>
  <c r="R28" i="1"/>
  <c r="R72" i="1"/>
  <c r="R114" i="1"/>
  <c r="R113" i="1"/>
  <c r="R47" i="1"/>
  <c r="R15" i="1"/>
  <c r="R40" i="1"/>
  <c r="V79" i="1"/>
  <c r="V108" i="1"/>
  <c r="R80" i="1"/>
  <c r="R102" i="1"/>
  <c r="R10" i="1"/>
  <c r="R88" i="1"/>
  <c r="R6" i="1"/>
  <c r="R56" i="1"/>
  <c r="R61" i="1"/>
  <c r="R24" i="1"/>
  <c r="V43" i="1"/>
  <c r="R60" i="1"/>
  <c r="R9" i="1"/>
  <c r="R62" i="1"/>
  <c r="R75" i="1"/>
  <c r="R84" i="1"/>
  <c r="V8" i="1"/>
  <c r="V42" i="1"/>
  <c r="R109" i="1"/>
  <c r="R74" i="1"/>
  <c r="R41" i="1"/>
  <c r="R37" i="1"/>
  <c r="U82" i="1"/>
  <c r="U98" i="1"/>
  <c r="U83" i="1"/>
  <c r="U99" i="1"/>
  <c r="U84" i="1"/>
  <c r="U100" i="1"/>
  <c r="U85" i="1"/>
  <c r="U101" i="1"/>
  <c r="U86" i="1"/>
  <c r="U102" i="1"/>
  <c r="U81" i="1"/>
  <c r="U87" i="1"/>
  <c r="U103" i="1"/>
  <c r="U88" i="1"/>
  <c r="U104" i="1"/>
  <c r="U89" i="1"/>
  <c r="U105" i="1"/>
  <c r="U90" i="1"/>
  <c r="U106" i="1"/>
  <c r="U91" i="1"/>
  <c r="U97" i="1"/>
  <c r="U92" i="1"/>
  <c r="U93" i="1"/>
  <c r="U94" i="1"/>
  <c r="U95" i="1"/>
  <c r="U80" i="1"/>
  <c r="U96" i="1"/>
  <c r="U50" i="1"/>
  <c r="U51" i="1"/>
  <c r="T52" i="1" s="1"/>
  <c r="U52" i="1" s="1"/>
  <c r="U49" i="1"/>
  <c r="U47" i="1"/>
  <c r="U48" i="1"/>
  <c r="U34" i="1"/>
  <c r="U25" i="1"/>
  <c r="U26" i="1"/>
  <c r="U27" i="1"/>
  <c r="U28" i="1"/>
  <c r="U29" i="1"/>
  <c r="U30" i="1"/>
  <c r="U31" i="1"/>
  <c r="U33" i="1"/>
  <c r="U32" i="1"/>
  <c r="U114" i="1"/>
  <c r="U115" i="1"/>
  <c r="U108" i="1"/>
  <c r="U113" i="1"/>
  <c r="U109" i="1"/>
  <c r="U110" i="1"/>
  <c r="U111" i="1"/>
  <c r="U112" i="1"/>
  <c r="U70" i="1"/>
  <c r="U71" i="1"/>
  <c r="U72" i="1"/>
  <c r="U73" i="1"/>
  <c r="U74" i="1"/>
  <c r="U75" i="1"/>
  <c r="U76" i="1"/>
  <c r="U77" i="1"/>
  <c r="U78" i="1"/>
  <c r="U66" i="1"/>
  <c r="U67" i="1"/>
  <c r="U68" i="1"/>
  <c r="U57" i="1"/>
  <c r="U58" i="1"/>
  <c r="U59" i="1"/>
  <c r="U60" i="1"/>
  <c r="U61" i="1"/>
  <c r="U62" i="1"/>
  <c r="U65" i="1"/>
  <c r="U63" i="1"/>
  <c r="U64" i="1"/>
  <c r="U18" i="1"/>
  <c r="U3" i="1"/>
  <c r="U19" i="1"/>
  <c r="U4" i="1"/>
  <c r="U20" i="1"/>
  <c r="U5" i="1"/>
  <c r="U21" i="1"/>
  <c r="U6" i="1"/>
  <c r="U22" i="1"/>
  <c r="U7" i="1"/>
  <c r="U8" i="1"/>
  <c r="U9" i="1"/>
  <c r="U10" i="1"/>
  <c r="U11" i="1"/>
  <c r="U12" i="1"/>
  <c r="U13" i="1"/>
  <c r="U14" i="1"/>
  <c r="U15" i="1"/>
  <c r="U16" i="1"/>
  <c r="U17" i="1"/>
  <c r="U36" i="1"/>
  <c r="U37" i="1"/>
  <c r="U38" i="1"/>
  <c r="U39" i="1"/>
  <c r="U40" i="1"/>
  <c r="U41" i="1"/>
  <c r="U42" i="1"/>
  <c r="U43" i="1"/>
  <c r="U44" i="1"/>
  <c r="U45" i="1"/>
  <c r="S3" i="1"/>
  <c r="S36" i="1"/>
  <c r="S109" i="1"/>
  <c r="S108" i="1"/>
  <c r="U116" i="1"/>
  <c r="V28" i="1" l="1"/>
  <c r="W28" i="1"/>
  <c r="V61" i="1"/>
  <c r="W61" i="1"/>
  <c r="V111" i="1"/>
  <c r="W111" i="1"/>
  <c r="V49" i="1"/>
  <c r="W49" i="1"/>
  <c r="V37" i="1"/>
  <c r="W37" i="1"/>
  <c r="V88" i="1"/>
  <c r="W88" i="1"/>
  <c r="V89" i="1"/>
  <c r="W89" i="1"/>
  <c r="V112" i="1"/>
  <c r="W112" i="1"/>
  <c r="V100" i="1"/>
  <c r="W100" i="1"/>
  <c r="V50" i="1"/>
  <c r="W50" i="1"/>
  <c r="V57" i="1"/>
  <c r="W57" i="1"/>
  <c r="V41" i="1"/>
  <c r="W41" i="1"/>
  <c r="V10" i="1"/>
  <c r="W10" i="1"/>
  <c r="V35" i="1"/>
  <c r="W35" i="1"/>
  <c r="V74" i="1"/>
  <c r="W74" i="1"/>
  <c r="V102" i="1"/>
  <c r="W102" i="1"/>
  <c r="V110" i="1"/>
  <c r="W110" i="1"/>
  <c r="V73" i="1"/>
  <c r="W73" i="1"/>
  <c r="V95" i="1"/>
  <c r="W95" i="1"/>
  <c r="V109" i="1"/>
  <c r="W109" i="1"/>
  <c r="V80" i="1"/>
  <c r="W80" i="1"/>
  <c r="V76" i="1"/>
  <c r="W76" i="1"/>
  <c r="V83" i="1"/>
  <c r="W83" i="1"/>
  <c r="V59" i="1"/>
  <c r="W59" i="1"/>
  <c r="V46" i="1"/>
  <c r="W46" i="1"/>
  <c r="V104" i="1"/>
  <c r="W104" i="1"/>
  <c r="V93" i="1"/>
  <c r="W93" i="1"/>
  <c r="V65" i="1"/>
  <c r="W65" i="1"/>
  <c r="V27" i="1"/>
  <c r="W27" i="1"/>
  <c r="V38" i="1"/>
  <c r="W38" i="1"/>
  <c r="V56" i="1"/>
  <c r="W56" i="1"/>
  <c r="V84" i="1"/>
  <c r="W84" i="1"/>
  <c r="V40" i="1"/>
  <c r="W40" i="1"/>
  <c r="V32" i="1"/>
  <c r="W32" i="1"/>
  <c r="V98" i="1"/>
  <c r="W98" i="1"/>
  <c r="V75" i="1"/>
  <c r="W75" i="1"/>
  <c r="V15" i="1"/>
  <c r="W15" i="1"/>
  <c r="V66" i="1"/>
  <c r="W66" i="1"/>
  <c r="V115" i="1"/>
  <c r="W115" i="1"/>
  <c r="V12" i="1"/>
  <c r="W12" i="1"/>
  <c r="V62" i="1"/>
  <c r="W62" i="1"/>
  <c r="V47" i="1"/>
  <c r="W47" i="1"/>
  <c r="V7" i="1"/>
  <c r="W7" i="1"/>
  <c r="V87" i="1"/>
  <c r="W87" i="1"/>
  <c r="V24" i="1"/>
  <c r="W24" i="1"/>
  <c r="V58" i="1"/>
  <c r="W58" i="1"/>
  <c r="V101" i="1"/>
  <c r="W101" i="1"/>
  <c r="V44" i="1"/>
  <c r="W44" i="1"/>
  <c r="V9" i="1"/>
  <c r="W9" i="1"/>
  <c r="V113" i="1"/>
  <c r="W113" i="1"/>
  <c r="V99" i="1"/>
  <c r="W99" i="1"/>
  <c r="V72" i="1"/>
  <c r="W72" i="1"/>
  <c r="V70" i="1"/>
  <c r="W70" i="1"/>
  <c r="V64" i="1"/>
  <c r="W64" i="1"/>
  <c r="V6" i="1"/>
  <c r="W6" i="1"/>
  <c r="V60" i="1"/>
  <c r="W60" i="1"/>
  <c r="V114" i="1"/>
  <c r="W114" i="1"/>
  <c r="V13" i="1"/>
  <c r="W13" i="1"/>
  <c r="V4" i="1"/>
  <c r="W4" i="1"/>
  <c r="S115" i="1"/>
  <c r="R116" i="1" s="1"/>
  <c r="S95" i="1"/>
  <c r="S102" i="1"/>
  <c r="S43" i="1"/>
  <c r="S9" i="1"/>
  <c r="T23" i="1"/>
  <c r="U23" i="1" s="1"/>
  <c r="U117" i="1"/>
  <c r="S116" i="1"/>
  <c r="R117" i="1" s="1"/>
  <c r="W117" i="1" s="1"/>
  <c r="S96" i="1"/>
  <c r="S11" i="1"/>
  <c r="S12" i="1"/>
  <c r="S13" i="1"/>
  <c r="S10" i="1"/>
  <c r="S14" i="1"/>
  <c r="S15" i="1"/>
  <c r="R16" i="1" s="1"/>
  <c r="S72" i="1"/>
  <c r="S4" i="1"/>
  <c r="S44" i="1"/>
  <c r="S5" i="1"/>
  <c r="S45" i="1"/>
  <c r="S6" i="1"/>
  <c r="S7" i="1"/>
  <c r="S37" i="1"/>
  <c r="S8" i="1"/>
  <c r="S94" i="1"/>
  <c r="S71" i="1"/>
  <c r="S80" i="1"/>
  <c r="S73" i="1"/>
  <c r="S38" i="1"/>
  <c r="S81" i="1"/>
  <c r="S74" i="1"/>
  <c r="S87" i="1"/>
  <c r="S97" i="1"/>
  <c r="S103" i="1"/>
  <c r="S82" i="1"/>
  <c r="S75" i="1"/>
  <c r="S76" i="1"/>
  <c r="S88" i="1"/>
  <c r="S98" i="1"/>
  <c r="S77" i="1"/>
  <c r="R78" i="1" s="1"/>
  <c r="W78" i="1" s="1"/>
  <c r="S104" i="1"/>
  <c r="S83" i="1"/>
  <c r="S89" i="1"/>
  <c r="S99" i="1"/>
  <c r="S34" i="1"/>
  <c r="S33" i="1"/>
  <c r="S32" i="1"/>
  <c r="S31" i="1"/>
  <c r="S30" i="1"/>
  <c r="S29" i="1"/>
  <c r="S28" i="1"/>
  <c r="S27" i="1"/>
  <c r="S26" i="1"/>
  <c r="S25" i="1"/>
  <c r="S110" i="1"/>
  <c r="S105" i="1"/>
  <c r="S84" i="1"/>
  <c r="S111" i="1"/>
  <c r="S39" i="1"/>
  <c r="S90" i="1"/>
  <c r="S100" i="1"/>
  <c r="S112" i="1"/>
  <c r="S40" i="1"/>
  <c r="S106" i="1"/>
  <c r="S85" i="1"/>
  <c r="S113" i="1"/>
  <c r="S41" i="1"/>
  <c r="S91" i="1"/>
  <c r="S101" i="1"/>
  <c r="S66" i="1"/>
  <c r="R67" i="1" s="1"/>
  <c r="S65" i="1"/>
  <c r="S64" i="1"/>
  <c r="S63" i="1"/>
  <c r="S62" i="1"/>
  <c r="S61" i="1"/>
  <c r="S60" i="1"/>
  <c r="S59" i="1"/>
  <c r="S58" i="1"/>
  <c r="S57" i="1"/>
  <c r="S51" i="1"/>
  <c r="R52" i="1" s="1"/>
  <c r="S50" i="1"/>
  <c r="S49" i="1"/>
  <c r="S48" i="1"/>
  <c r="S47" i="1"/>
  <c r="S114" i="1"/>
  <c r="S42" i="1"/>
  <c r="S92" i="1"/>
  <c r="S86" i="1"/>
  <c r="S93" i="1"/>
  <c r="V116" i="1" l="1"/>
  <c r="W116" i="1"/>
  <c r="V16" i="1"/>
  <c r="W16" i="1"/>
  <c r="V52" i="1"/>
  <c r="W52" i="1"/>
  <c r="V67" i="1"/>
  <c r="W67" i="1"/>
  <c r="S78" i="1"/>
  <c r="V78" i="1"/>
  <c r="S117" i="1"/>
  <c r="V117" i="1"/>
  <c r="T53" i="1"/>
  <c r="U53" i="1"/>
  <c r="T54" i="1" s="1"/>
  <c r="U54" i="1" s="1"/>
  <c r="T55" i="1" s="1"/>
  <c r="S52" i="1"/>
  <c r="R53" i="1" s="1"/>
  <c r="S67" i="1"/>
  <c r="R68" i="1" s="1"/>
  <c r="W68" i="1" s="1"/>
  <c r="S16" i="1"/>
  <c r="R17" i="1" s="1"/>
  <c r="W17" i="1" s="1"/>
  <c r="V53" i="1" l="1"/>
  <c r="W53" i="1"/>
  <c r="S68" i="1"/>
  <c r="V68" i="1"/>
  <c r="S17" i="1"/>
  <c r="R18" i="1" s="1"/>
  <c r="V17" i="1"/>
  <c r="U55" i="1"/>
  <c r="S18" i="1"/>
  <c r="R19" i="1" s="1"/>
  <c r="S53" i="1"/>
  <c r="R54" i="1" s="1"/>
  <c r="W54" i="1" s="1"/>
  <c r="V19" i="1" l="1"/>
  <c r="W19" i="1"/>
  <c r="V18" i="1"/>
  <c r="W18" i="1"/>
  <c r="S54" i="1"/>
  <c r="R55" i="1" s="1"/>
  <c r="V54" i="1"/>
  <c r="S19" i="1"/>
  <c r="R20" i="1" s="1"/>
  <c r="V20" i="1" l="1"/>
  <c r="W20" i="1"/>
  <c r="V55" i="1"/>
  <c r="W55" i="1"/>
  <c r="S55" i="1"/>
  <c r="S20" i="1"/>
  <c r="R21" i="1" s="1"/>
  <c r="V21" i="1" l="1"/>
  <c r="W21" i="1"/>
  <c r="S21" i="1"/>
  <c r="R22" i="1" s="1"/>
  <c r="V22" i="1" l="1"/>
  <c r="W22" i="1"/>
  <c r="S22" i="1"/>
  <c r="R23" i="1" s="1"/>
  <c r="S23" i="1" l="1"/>
  <c r="W23" i="1"/>
  <c r="V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Gabe</author>
  </authors>
  <commentList>
    <comment ref="I36" authorId="0" shapeId="0" xr:uid="{1EAF7E3C-BA76-422B-AFE4-6789C8F892D8}">
      <text>
        <r>
          <rPr>
            <b/>
            <sz val="9"/>
            <color indexed="81"/>
            <rFont val="Tahoma"/>
            <family val="2"/>
          </rPr>
          <t>Gabe:</t>
        </r>
        <r>
          <rPr>
            <sz val="9"/>
            <color indexed="81"/>
            <rFont val="Tahoma"/>
            <family val="2"/>
          </rPr>
          <t xml:space="preserve">
Payment was made before deal was closed.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367560-9F88-4CB3-9AC2-C7ACFAA4C1F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58E47FA-6D4B-465B-BC43-D08C56260511}" name="WorksheetConnection_CaptivateIQ - Exercise Data (2022-01) Solved.xlsx!Q1_Comm_Detail" type="102" refreshedVersion="7" minRefreshableVersion="5">
    <extLst>
      <ext xmlns:x15="http://schemas.microsoft.com/office/spreadsheetml/2010/11/main" uri="{DE250136-89BD-433C-8126-D09CA5730AF9}">
        <x15:connection id="Q1_Comm_Detail">
          <x15:rangePr sourceName="_xlcn.WorksheetConnection_CaptivateIQExerciseData202201Solved.xlsxQ1_Comm_Detail1"/>
        </x15:connection>
      </ext>
    </extLst>
  </connection>
  <connection id="3" xr16:uid="{122CA744-0F33-4555-91BD-D1ADCF44F1DE}" name="WorksheetConnection_CaptivateIQ - Exercise Data (2022-01) Solved.xlsx!Q2_Comm_Detail" type="102" refreshedVersion="7" minRefreshableVersion="5">
    <extLst>
      <ext xmlns:x15="http://schemas.microsoft.com/office/spreadsheetml/2010/11/main" uri="{DE250136-89BD-433C-8126-D09CA5730AF9}">
        <x15:connection id="Q2_Comm_Detail">
          <x15:rangePr sourceName="_xlcn.WorksheetConnection_CaptivateIQExerciseData202201Solved.xlsxQ2_Comm_Detail1"/>
        </x15:connection>
      </ext>
    </extLst>
  </connection>
</connections>
</file>

<file path=xl/sharedStrings.xml><?xml version="1.0" encoding="utf-8"?>
<sst xmlns="http://schemas.openxmlformats.org/spreadsheetml/2006/main" count="399" uniqueCount="83">
  <si>
    <t>Opportunity ID</t>
  </si>
  <si>
    <t>Closed Won Date</t>
  </si>
  <si>
    <t>Owner User ID</t>
  </si>
  <si>
    <t>Contract Length (Months)</t>
  </si>
  <si>
    <t>Total Contract Value</t>
  </si>
  <si>
    <t>First Payment Date</t>
  </si>
  <si>
    <t>A</t>
  </si>
  <si>
    <t>B</t>
  </si>
  <si>
    <t>D</t>
  </si>
  <si>
    <t>C</t>
  </si>
  <si>
    <t/>
  </si>
  <si>
    <t>Attainment Quarter</t>
  </si>
  <si>
    <t>Payment Quarter</t>
  </si>
  <si>
    <t>ID</t>
  </si>
  <si>
    <t>Bob</t>
  </si>
  <si>
    <t>Jane</t>
  </si>
  <si>
    <t>Joe</t>
  </si>
  <si>
    <t>Lin</t>
  </si>
  <si>
    <t>Emloyee Information</t>
  </si>
  <si>
    <t>Quarter</t>
  </si>
  <si>
    <t>Q1</t>
  </si>
  <si>
    <t>Q2</t>
  </si>
  <si>
    <t>Q3</t>
  </si>
  <si>
    <t>Q4</t>
  </si>
  <si>
    <t>Base Commission Rate</t>
  </si>
  <si>
    <t>Attainment Tiers and Multipliers</t>
  </si>
  <si>
    <t>Multiplier</t>
  </si>
  <si>
    <t>Attainment Range (% of Quota)</t>
  </si>
  <si>
    <t>Tier 1: 0&lt;= 100</t>
  </si>
  <si>
    <t>Tier 2: 100 &lt;= 150</t>
  </si>
  <si>
    <t>Tier 3: 150&lt;</t>
  </si>
  <si>
    <t>Payment Date</t>
  </si>
  <si>
    <t>1st Payment
Quarter</t>
  </si>
  <si>
    <t>Owner Name</t>
  </si>
  <si>
    <t>Name</t>
  </si>
  <si>
    <t>Grand Total</t>
  </si>
  <si>
    <t>Column Labels</t>
  </si>
  <si>
    <t>Accumulative ARR</t>
  </si>
  <si>
    <t>Quarterly Quotas Tier 1</t>
  </si>
  <si>
    <t>Quarterly Quotas Tier 2</t>
  </si>
  <si>
    <t>Quarterly Quotas Tier 3</t>
  </si>
  <si>
    <t>Tier 2</t>
  </si>
  <si>
    <t>Tier 1</t>
  </si>
  <si>
    <t>Tier</t>
  </si>
  <si>
    <t xml:space="preserve">Tier </t>
  </si>
  <si>
    <t>Tier 3</t>
  </si>
  <si>
    <t>First Payment Pending</t>
  </si>
  <si>
    <t>Tier 2 Commission Rate</t>
  </si>
  <si>
    <t>Tier 3 Commission Rate</t>
  </si>
  <si>
    <t xml:space="preserve"> Commissionable ARR</t>
  </si>
  <si>
    <t>Rate</t>
  </si>
  <si>
    <t>UniqueIdentifier</t>
  </si>
  <si>
    <t>Goal</t>
  </si>
  <si>
    <t>Base Commission</t>
  </si>
  <si>
    <t>Base Rate</t>
  </si>
  <si>
    <t>Attainment Goal</t>
  </si>
  <si>
    <t>Tier 3 Bonus</t>
  </si>
  <si>
    <t>Tier 2 Bonus</t>
  </si>
  <si>
    <t>Max Attainment Goal</t>
  </si>
  <si>
    <t>Accumulative Bonus 1</t>
  </si>
  <si>
    <t>Accumlative Bonus 2</t>
  </si>
  <si>
    <t>Total Commission</t>
  </si>
  <si>
    <t>Commissionable ARR</t>
  </si>
  <si>
    <t>Commissionable ARR Qualifies</t>
  </si>
  <si>
    <t>No</t>
  </si>
  <si>
    <t>Yes</t>
  </si>
  <si>
    <t xml:space="preserve">Qualifing Commissionable ARR </t>
  </si>
  <si>
    <t>EE Name</t>
  </si>
  <si>
    <t>Excerise Answer 1</t>
  </si>
  <si>
    <t>Excerise Answer 2</t>
  </si>
  <si>
    <t>Commission released</t>
  </si>
  <si>
    <t>Quota Attainment By Quarter</t>
  </si>
  <si>
    <t>Quarters</t>
  </si>
  <si>
    <t>Qualifies for Multipliers</t>
  </si>
  <si>
    <t>Total Commission Earned</t>
  </si>
  <si>
    <t>(blank)</t>
  </si>
  <si>
    <t>Total Commission Released</t>
  </si>
  <si>
    <t>Excerise Answer 5(a)</t>
  </si>
  <si>
    <t>Excerise Answer 5(b)</t>
  </si>
  <si>
    <t>Excerise Answer 5(c)</t>
  </si>
  <si>
    <t>See Deal Data Tab</t>
  </si>
  <si>
    <t>Excerise Answer 3</t>
  </si>
  <si>
    <t>Excerise Answer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</si>
</sst>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_(* #,##0_);_(* \(#,##0\);_(* &quot;-&quot;??_);_(@_)"/>
    <numFmt numFmtId="166" formatCode="&quot;$&quot;#,##0.00"/>
  </numFmts>
  <fonts count="6" x14ac:knownFonts="1">
    <font>
      <sz val="10"/>
      <color rgb="FF000000"/>
      <name val="Arial"/>
    </font>
    <font>
      <sz val="10"/>
      <color rgb="FF000000"/>
      <name val="Arial"/>
      <family val="2"/>
    </font>
    <font>
      <sz val="9"/>
      <color indexed="81"/>
      <name val="Tahoma"/>
      <family val="2"/>
    </font>
    <font>
      <b/>
      <sz val="9"/>
      <color indexed="81"/>
      <name val="Tahoma"/>
      <family val="2"/>
    </font>
    <font>
      <b/>
      <sz val="10"/>
      <color rgb="FF000000"/>
      <name val="Arial"/>
      <family val="2"/>
    </font>
    <font>
      <sz val="10"/>
      <color rgb="FF000000"/>
      <name val="Arial"/>
      <family val="2"/>
    </font>
  </fonts>
  <fills count="2">
    <fill>
      <patternFill patternType="none"/>
    </fill>
    <fill>
      <patternFill patternType="gray125"/>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7">
    <xf numFmtId="0" fontId="0" fillId="0" borderId="0" xfId="0" applyFont="1" applyAlignment="1"/>
    <xf numFmtId="43" fontId="0" fillId="0" borderId="0" xfId="1" applyFont="1" applyAlignment="1"/>
    <xf numFmtId="0" fontId="0" fillId="0" borderId="5" xfId="0" applyFont="1" applyBorder="1" applyAlignment="1"/>
    <xf numFmtId="0" fontId="0" fillId="0" borderId="7" xfId="0" applyFont="1" applyBorder="1" applyAlignment="1"/>
    <xf numFmtId="0" fontId="0" fillId="0" borderId="9" xfId="0" applyFont="1" applyBorder="1" applyAlignment="1"/>
    <xf numFmtId="0" fontId="4" fillId="0" borderId="0" xfId="0" applyFont="1" applyAlignment="1"/>
    <xf numFmtId="0" fontId="5" fillId="0" borderId="0" xfId="0" applyFont="1" applyAlignment="1"/>
    <xf numFmtId="0" fontId="0" fillId="0" borderId="9" xfId="0" applyFont="1" applyBorder="1" applyAlignment="1">
      <alignment horizontal="center"/>
    </xf>
    <xf numFmtId="0" fontId="0" fillId="0" borderId="5" xfId="0" applyFont="1" applyBorder="1" applyAlignment="1">
      <alignment horizontal="center"/>
    </xf>
    <xf numFmtId="0" fontId="0" fillId="0" borderId="7" xfId="0" applyFont="1" applyBorder="1" applyAlignment="1">
      <alignment horizontal="center"/>
    </xf>
    <xf numFmtId="165" fontId="0" fillId="0" borderId="1" xfId="1" applyNumberFormat="1"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165" fontId="0" fillId="0" borderId="5" xfId="1" applyNumberFormat="1" applyFont="1" applyBorder="1" applyAlignment="1">
      <alignment horizontal="center"/>
    </xf>
    <xf numFmtId="0" fontId="5" fillId="0" borderId="6" xfId="0" applyFont="1" applyBorder="1" applyAlignment="1">
      <alignment horizontal="center"/>
    </xf>
    <xf numFmtId="165" fontId="0" fillId="0" borderId="13" xfId="1" applyNumberFormat="1" applyFont="1" applyBorder="1" applyAlignment="1">
      <alignment horizontal="center"/>
    </xf>
    <xf numFmtId="165" fontId="0" fillId="0" borderId="7" xfId="1" applyNumberFormat="1" applyFont="1" applyBorder="1" applyAlignment="1">
      <alignment horizontal="center"/>
    </xf>
    <xf numFmtId="0" fontId="5" fillId="0" borderId="8" xfId="0" applyFont="1" applyBorder="1" applyAlignment="1">
      <alignment horizontal="center"/>
    </xf>
    <xf numFmtId="165" fontId="0" fillId="0" borderId="14" xfId="1" applyNumberFormat="1" applyFont="1" applyBorder="1" applyAlignment="1">
      <alignment horizontal="center"/>
    </xf>
    <xf numFmtId="165" fontId="0" fillId="0" borderId="9" xfId="1" applyNumberFormat="1" applyFont="1" applyBorder="1" applyAlignment="1">
      <alignment horizontal="center"/>
    </xf>
    <xf numFmtId="0" fontId="5" fillId="0" borderId="10" xfId="0" applyFont="1" applyBorder="1" applyAlignment="1">
      <alignment horizontal="center"/>
    </xf>
    <xf numFmtId="0" fontId="5" fillId="0" borderId="15" xfId="0" applyFont="1" applyBorder="1" applyAlignment="1">
      <alignment horizontal="center"/>
    </xf>
    <xf numFmtId="0" fontId="5" fillId="0" borderId="11"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0" fontId="5" fillId="0" borderId="18" xfId="0" applyFont="1" applyBorder="1" applyAlignment="1">
      <alignment horizontal="center"/>
    </xf>
    <xf numFmtId="9" fontId="0" fillId="0" borderId="12" xfId="2" applyFont="1" applyBorder="1" applyAlignment="1"/>
    <xf numFmtId="0" fontId="5" fillId="0" borderId="4" xfId="0" applyFont="1" applyBorder="1" applyAlignment="1"/>
    <xf numFmtId="0" fontId="5" fillId="0" borderId="6" xfId="0" applyFont="1" applyBorder="1" applyAlignment="1"/>
    <xf numFmtId="0" fontId="5" fillId="0" borderId="8" xfId="0" applyFont="1" applyBorder="1" applyAlignment="1"/>
    <xf numFmtId="0" fontId="5" fillId="0" borderId="10" xfId="0" applyFont="1" applyBorder="1" applyAlignment="1">
      <alignment horizontal="center" wrapText="1"/>
    </xf>
    <xf numFmtId="0" fontId="5" fillId="0" borderId="11" xfId="0" applyFont="1" applyBorder="1" applyAlignment="1">
      <alignment horizontal="center" wrapText="1"/>
    </xf>
    <xf numFmtId="14" fontId="0" fillId="0" borderId="5" xfId="0" applyNumberFormat="1" applyFont="1" applyBorder="1" applyAlignment="1"/>
    <xf numFmtId="14" fontId="0" fillId="0" borderId="7" xfId="0" applyNumberFormat="1" applyFont="1" applyBorder="1" applyAlignment="1"/>
    <xf numFmtId="14" fontId="0" fillId="0" borderId="9" xfId="0" applyNumberFormat="1" applyFont="1" applyBorder="1" applyAlignment="1"/>
    <xf numFmtId="0" fontId="5" fillId="0" borderId="11" xfId="0" applyFont="1" applyBorder="1" applyAlignment="1"/>
    <xf numFmtId="0" fontId="0" fillId="0" borderId="0" xfId="0" pivotButton="1" applyFont="1" applyAlignment="1"/>
    <xf numFmtId="0" fontId="0" fillId="0" borderId="0" xfId="0" applyFont="1" applyAlignment="1">
      <alignment horizontal="left"/>
    </xf>
    <xf numFmtId="43" fontId="0" fillId="0" borderId="0" xfId="0" applyNumberFormat="1" applyFont="1" applyAlignment="1"/>
    <xf numFmtId="165" fontId="0" fillId="0" borderId="12" xfId="1" applyNumberFormat="1" applyFont="1" applyBorder="1" applyAlignment="1">
      <alignment horizontal="center"/>
    </xf>
    <xf numFmtId="165" fontId="0" fillId="0" borderId="3" xfId="1" applyNumberFormat="1" applyFont="1" applyBorder="1" applyAlignment="1">
      <alignment horizontal="center"/>
    </xf>
    <xf numFmtId="165" fontId="0" fillId="0" borderId="19" xfId="1" applyNumberFormat="1" applyFont="1" applyBorder="1" applyAlignment="1">
      <alignment horizontal="center"/>
    </xf>
    <xf numFmtId="165" fontId="0" fillId="0" borderId="20" xfId="1" applyNumberFormat="1" applyFont="1" applyBorder="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165" fontId="0" fillId="0" borderId="2" xfId="1" applyNumberFormat="1" applyFont="1" applyBorder="1" applyAlignment="1">
      <alignment horizontal="center"/>
    </xf>
    <xf numFmtId="165" fontId="0" fillId="0" borderId="8" xfId="1" applyNumberFormat="1" applyFont="1" applyBorder="1" applyAlignment="1">
      <alignment horizontal="center"/>
    </xf>
    <xf numFmtId="165" fontId="0" fillId="0" borderId="24" xfId="1" applyNumberFormat="1" applyFont="1" applyBorder="1" applyAlignment="1">
      <alignment horizontal="center"/>
    </xf>
    <xf numFmtId="0" fontId="5" fillId="0" borderId="0" xfId="0" applyFont="1" applyFill="1" applyBorder="1" applyAlignment="1">
      <alignment horizontal="center"/>
    </xf>
    <xf numFmtId="10" fontId="0" fillId="0" borderId="1" xfId="2" applyNumberFormat="1" applyFont="1" applyBorder="1" applyAlignment="1"/>
    <xf numFmtId="10" fontId="0" fillId="0" borderId="12" xfId="2" applyNumberFormat="1" applyFont="1" applyBorder="1" applyAlignment="1"/>
    <xf numFmtId="10" fontId="0" fillId="0" borderId="13" xfId="2" applyNumberFormat="1" applyFont="1" applyBorder="1" applyAlignment="1"/>
    <xf numFmtId="10" fontId="0" fillId="0" borderId="3" xfId="2" applyNumberFormat="1" applyFont="1" applyBorder="1" applyAlignment="1"/>
    <xf numFmtId="10" fontId="0" fillId="0" borderId="5" xfId="2" applyNumberFormat="1" applyFont="1" applyBorder="1" applyAlignment="1"/>
    <xf numFmtId="10" fontId="0" fillId="0" borderId="7" xfId="2" applyNumberFormat="1" applyFont="1" applyBorder="1" applyAlignment="1"/>
    <xf numFmtId="166" fontId="0" fillId="0" borderId="0" xfId="0" applyNumberFormat="1" applyFont="1" applyAlignment="1"/>
    <xf numFmtId="0" fontId="4" fillId="0" borderId="0" xfId="0" applyFont="1" applyBorder="1" applyAlignment="1">
      <alignment horizontal="center"/>
    </xf>
    <xf numFmtId="0" fontId="0" fillId="0" borderId="0" xfId="0" applyFont="1" applyBorder="1" applyAlignment="1"/>
    <xf numFmtId="0" fontId="5" fillId="0" borderId="26" xfId="0" applyFont="1" applyBorder="1" applyAlignment="1">
      <alignment horizontal="center"/>
    </xf>
    <xf numFmtId="0" fontId="1" fillId="0" borderId="0" xfId="0" applyFont="1" applyBorder="1" applyAlignment="1">
      <alignment horizontal="center"/>
    </xf>
    <xf numFmtId="0" fontId="5" fillId="0" borderId="0" xfId="0" applyFont="1" applyBorder="1" applyAlignment="1">
      <alignment horizontal="center"/>
    </xf>
    <xf numFmtId="10" fontId="0" fillId="0" borderId="0" xfId="2" applyNumberFormat="1" applyFont="1" applyBorder="1" applyAlignment="1"/>
    <xf numFmtId="0" fontId="1" fillId="0" borderId="0" xfId="0" applyFont="1" applyBorder="1" applyAlignment="1"/>
    <xf numFmtId="0" fontId="1" fillId="0" borderId="0" xfId="0" applyFont="1" applyFill="1" applyBorder="1" applyAlignment="1">
      <alignment horizontal="center"/>
    </xf>
    <xf numFmtId="0" fontId="5" fillId="0" borderId="27" xfId="0" applyFont="1" applyBorder="1" applyAlignment="1">
      <alignment horizontal="center"/>
    </xf>
    <xf numFmtId="165" fontId="0" fillId="0" borderId="0" xfId="1" applyNumberFormat="1" applyFont="1" applyBorder="1" applyAlignment="1">
      <alignment horizontal="center"/>
    </xf>
    <xf numFmtId="0" fontId="1" fillId="0" borderId="0" xfId="0" applyFont="1" applyAlignment="1"/>
    <xf numFmtId="0" fontId="0" fillId="0" borderId="0" xfId="0"/>
    <xf numFmtId="14" fontId="0" fillId="0" borderId="0" xfId="0" applyNumberFormat="1"/>
    <xf numFmtId="0" fontId="5" fillId="0" borderId="27" xfId="0" applyFont="1" applyBorder="1" applyAlignment="1"/>
    <xf numFmtId="0" fontId="5" fillId="0" borderId="26" xfId="0" applyFont="1" applyBorder="1" applyAlignment="1"/>
    <xf numFmtId="14" fontId="0" fillId="0" borderId="28" xfId="0" applyNumberFormat="1" applyFont="1" applyBorder="1" applyAlignment="1"/>
    <xf numFmtId="14" fontId="0" fillId="0" borderId="25" xfId="0" applyNumberFormat="1" applyFont="1" applyBorder="1" applyAlignment="1"/>
    <xf numFmtId="0" fontId="5" fillId="0" borderId="29" xfId="0" applyFont="1" applyBorder="1" applyAlignment="1">
      <alignment horizontal="center" wrapText="1"/>
    </xf>
    <xf numFmtId="0" fontId="5" fillId="0" borderId="30" xfId="0" applyFont="1" applyBorder="1" applyAlignment="1"/>
    <xf numFmtId="0" fontId="5" fillId="0" borderId="31" xfId="0" applyFont="1" applyBorder="1" applyAlignment="1"/>
    <xf numFmtId="14" fontId="0" fillId="0" borderId="32" xfId="0" applyNumberFormat="1" applyFont="1" applyBorder="1" applyAlignment="1"/>
    <xf numFmtId="0" fontId="0" fillId="0" borderId="28" xfId="0" applyFont="1" applyBorder="1" applyAlignment="1">
      <alignment horizontal="center"/>
    </xf>
    <xf numFmtId="0" fontId="0" fillId="0" borderId="25"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0" fillId="0" borderId="32" xfId="0" applyFont="1" applyBorder="1" applyAlignment="1">
      <alignment horizontal="center"/>
    </xf>
    <xf numFmtId="43" fontId="0" fillId="0" borderId="0" xfId="1" applyFont="1"/>
    <xf numFmtId="9" fontId="0" fillId="0" borderId="0" xfId="2" applyFont="1"/>
    <xf numFmtId="0" fontId="1" fillId="0" borderId="0" xfId="0" applyFont="1"/>
  </cellXfs>
  <cellStyles count="3">
    <cellStyle name="Comma" xfId="1" builtinId="3"/>
    <cellStyle name="Normal" xfId="0" builtinId="0"/>
    <cellStyle name="Percent" xfId="2" builtinId="5"/>
  </cellStyles>
  <dxfs count="5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0" formatCode="General"/>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
      <numFmt numFmtId="19" formatCode="m/d/yyyy"/>
    </dxf>
    <dxf>
      <font>
        <b val="0"/>
        <i val="0"/>
        <strike val="0"/>
        <condense val="0"/>
        <extend val="0"/>
        <outline val="0"/>
        <shadow val="0"/>
        <u val="none"/>
        <vertAlign val="baseline"/>
        <sz val="10"/>
        <color rgb="FF000000"/>
        <name val="Arial"/>
        <scheme val="none"/>
      </font>
      <numFmt numFmtId="19" formatCode="m/d/yyyy"/>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
      <numFmt numFmtId="19" formatCode="m/d/yyyy"/>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5" formatCode="_(* #,##0_);_(* \(#,##0\);_(* &quot;-&quot;??_);_(@_)"/>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16</xdr:col>
      <xdr:colOff>152400</xdr:colOff>
      <xdr:row>1</xdr:row>
      <xdr:rowOff>104775</xdr:rowOff>
    </xdr:from>
    <xdr:to>
      <xdr:col>19</xdr:col>
      <xdr:colOff>152400</xdr:colOff>
      <xdr:row>16</xdr:row>
      <xdr:rowOff>57150</xdr:rowOff>
    </xdr:to>
    <mc:AlternateContent xmlns:mc="http://schemas.openxmlformats.org/markup-compatibility/2006" xmlns:a14="http://schemas.microsoft.com/office/drawing/2010/main">
      <mc:Choice Requires="a14">
        <xdr:graphicFrame macro="">
          <xdr:nvGraphicFramePr>
            <xdr:cNvPr id="3" name="Attainment Quarter">
              <a:extLst>
                <a:ext uri="{FF2B5EF4-FFF2-40B4-BE49-F238E27FC236}">
                  <a16:creationId xmlns:a16="http://schemas.microsoft.com/office/drawing/2014/main" id="{C8110011-8330-41DA-86E8-6EB6B90949DB}"/>
                </a:ext>
              </a:extLst>
            </xdr:cNvPr>
            <xdr:cNvGraphicFramePr/>
          </xdr:nvGraphicFramePr>
          <xdr:xfrm>
            <a:off x="0" y="0"/>
            <a:ext cx="0" cy="0"/>
          </xdr:xfrm>
          <a:graphic>
            <a:graphicData uri="http://schemas.microsoft.com/office/drawing/2010/slicer">
              <sle:slicer xmlns:sle="http://schemas.microsoft.com/office/drawing/2010/slicer" name="Attainment Quarter"/>
            </a:graphicData>
          </a:graphic>
        </xdr:graphicFrame>
      </mc:Choice>
      <mc:Fallback xmlns="">
        <xdr:sp macro="" textlink="">
          <xdr:nvSpPr>
            <xdr:cNvPr id="0" name=""/>
            <xdr:cNvSpPr>
              <a:spLocks noTextEdit="1"/>
            </xdr:cNvSpPr>
          </xdr:nvSpPr>
          <xdr:spPr>
            <a:xfrm>
              <a:off x="17049750" y="2762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1</xdr:row>
      <xdr:rowOff>95250</xdr:rowOff>
    </xdr:from>
    <xdr:to>
      <xdr:col>15</xdr:col>
      <xdr:colOff>180975</xdr:colOff>
      <xdr:row>16</xdr:row>
      <xdr:rowOff>47625</xdr:rowOff>
    </xdr:to>
    <mc:AlternateContent xmlns:mc="http://schemas.openxmlformats.org/markup-compatibility/2006" xmlns:a14="http://schemas.microsoft.com/office/drawing/2010/main">
      <mc:Choice Requires="a14">
        <xdr:graphicFrame macro="">
          <xdr:nvGraphicFramePr>
            <xdr:cNvPr id="4" name="Payment Quarter">
              <a:extLst>
                <a:ext uri="{FF2B5EF4-FFF2-40B4-BE49-F238E27FC236}">
                  <a16:creationId xmlns:a16="http://schemas.microsoft.com/office/drawing/2014/main" id="{169445BB-3B5A-4023-9211-EA88620CD7FB}"/>
                </a:ext>
              </a:extLst>
            </xdr:cNvPr>
            <xdr:cNvGraphicFramePr/>
          </xdr:nvGraphicFramePr>
          <xdr:xfrm>
            <a:off x="0" y="0"/>
            <a:ext cx="0" cy="0"/>
          </xdr:xfrm>
          <a:graphic>
            <a:graphicData uri="http://schemas.microsoft.com/office/drawing/2010/slicer">
              <sle:slicer xmlns:sle="http://schemas.microsoft.com/office/drawing/2010/slicer" name="Payment Quarter"/>
            </a:graphicData>
          </a:graphic>
        </xdr:graphicFrame>
      </mc:Choice>
      <mc:Fallback xmlns="">
        <xdr:sp macro="" textlink="">
          <xdr:nvSpPr>
            <xdr:cNvPr id="0" name=""/>
            <xdr:cNvSpPr>
              <a:spLocks noTextEdit="1"/>
            </xdr:cNvSpPr>
          </xdr:nvSpPr>
          <xdr:spPr>
            <a:xfrm>
              <a:off x="14639925" y="2667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18</xdr:row>
      <xdr:rowOff>28575</xdr:rowOff>
    </xdr:from>
    <xdr:to>
      <xdr:col>15</xdr:col>
      <xdr:colOff>228600</xdr:colOff>
      <xdr:row>32</xdr:row>
      <xdr:rowOff>142875</xdr:rowOff>
    </xdr:to>
    <mc:AlternateContent xmlns:mc="http://schemas.openxmlformats.org/markup-compatibility/2006" xmlns:a14="http://schemas.microsoft.com/office/drawing/2010/main">
      <mc:Choice Requires="a14">
        <xdr:graphicFrame macro="">
          <xdr:nvGraphicFramePr>
            <xdr:cNvPr id="5" name="Owner Name">
              <a:extLst>
                <a:ext uri="{FF2B5EF4-FFF2-40B4-BE49-F238E27FC236}">
                  <a16:creationId xmlns:a16="http://schemas.microsoft.com/office/drawing/2014/main" id="{8B7A84D6-8EC7-45FF-B2A2-F34DB5CD3978}"/>
                </a:ext>
              </a:extLst>
            </xdr:cNvPr>
            <xdr:cNvGraphicFramePr/>
          </xdr:nvGraphicFramePr>
          <xdr:xfrm>
            <a:off x="0" y="0"/>
            <a:ext cx="0" cy="0"/>
          </xdr:xfrm>
          <a:graphic>
            <a:graphicData uri="http://schemas.microsoft.com/office/drawing/2010/slicer">
              <sle:slicer xmlns:sle="http://schemas.microsoft.com/office/drawing/2010/slicer" name="Owner Name"/>
            </a:graphicData>
          </a:graphic>
        </xdr:graphicFrame>
      </mc:Choice>
      <mc:Fallback xmlns="">
        <xdr:sp macro="" textlink="">
          <xdr:nvSpPr>
            <xdr:cNvPr id="0" name=""/>
            <xdr:cNvSpPr>
              <a:spLocks noTextEdit="1"/>
            </xdr:cNvSpPr>
          </xdr:nvSpPr>
          <xdr:spPr>
            <a:xfrm>
              <a:off x="14687550" y="29622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e" refreshedDate="44613.020056944442" createdVersion="7" refreshedVersion="7" minRefreshableVersion="3" recordCount="116" xr:uid="{80DE3EA7-5043-4A2B-8A6F-FE6603ECDF5F}">
  <cacheSource type="worksheet">
    <worksheetSource name="CommissionDetail"/>
  </cacheSource>
  <cacheFields count="24">
    <cacheField name="Opportunity ID" numFmtId="0">
      <sharedItems containsSemiMixedTypes="0" containsString="0" containsNumber="1" containsInteger="1" minValue="10001" maxValue="10318" count="116">
        <n v="10286"/>
        <n v="10281"/>
        <n v="10276"/>
        <n v="10271"/>
        <n v="10266"/>
        <n v="10131"/>
        <n v="10151"/>
        <n v="10156"/>
        <n v="10291"/>
        <n v="10141"/>
        <n v="10001"/>
        <n v="10046"/>
        <n v="10051"/>
        <n v="10246"/>
        <n v="10241"/>
        <n v="10036"/>
        <n v="10206"/>
        <n v="10216"/>
        <n v="10226"/>
        <n v="10221"/>
        <n v="10186"/>
        <n v="10191"/>
        <n v="10196"/>
        <n v="10181"/>
        <n v="10011"/>
        <n v="10016"/>
        <n v="10296"/>
        <n v="10006"/>
        <n v="10301"/>
        <n v="10236"/>
        <n v="10316"/>
        <n v="10306"/>
        <n v="10311"/>
        <n v="10272"/>
        <n v="10237"/>
        <n v="10282"/>
        <n v="10277"/>
        <n v="10287"/>
        <n v="10052"/>
        <n v="10042"/>
        <n v="10027"/>
        <n v="10232"/>
        <n v="10222"/>
        <n v="10192"/>
        <n v="10012"/>
        <n v="10207"/>
        <n v="10017"/>
        <n v="10007"/>
        <n v="10002"/>
        <n v="10297"/>
        <n v="10302"/>
        <n v="10312"/>
        <n v="10307"/>
        <n v="10317"/>
        <n v="10133"/>
        <n v="10128"/>
        <n v="10288"/>
        <n v="10058"/>
        <n v="10028"/>
        <n v="10233"/>
        <n v="10023"/>
        <n v="10033"/>
        <n v="10213"/>
        <n v="10183"/>
        <n v="10208"/>
        <n v="10188"/>
        <n v="10198"/>
        <n v="10193"/>
        <n v="10013"/>
        <n v="10008"/>
        <n v="10003"/>
        <n v="10303"/>
        <n v="10293"/>
        <n v="10298"/>
        <n v="10308"/>
        <n v="10313"/>
        <n v="10318"/>
        <n v="10230"/>
        <n v="10110"/>
        <n v="10265"/>
        <n v="10270"/>
        <n v="10150"/>
        <n v="10260"/>
        <n v="10160"/>
        <n v="10165"/>
        <n v="10145"/>
        <n v="10155"/>
        <n v="10140"/>
        <n v="10285"/>
        <n v="10290"/>
        <n v="10280"/>
        <n v="10215"/>
        <n v="10045"/>
        <n v="10025"/>
        <n v="10245"/>
        <n v="10020"/>
        <n v="10035"/>
        <n v="10240"/>
        <n v="10030"/>
        <n v="10210"/>
        <n v="10205"/>
        <n v="10225"/>
        <n v="10185"/>
        <n v="10190"/>
        <n v="10195"/>
        <n v="10180"/>
        <n v="10295"/>
        <n v="10010"/>
        <n v="10015"/>
        <n v="10005"/>
        <n v="10300"/>
        <n v="10235"/>
        <n v="10200"/>
        <n v="10310"/>
        <n v="10305"/>
        <n v="10315"/>
      </sharedItems>
    </cacheField>
    <cacheField name="Closed Won Date" numFmtId="14">
      <sharedItems containsSemiMixedTypes="0" containsNonDate="0" containsDate="1" containsString="0" minDate="2022-01-01T00:00:00" maxDate="2022-07-01T00:00:00"/>
    </cacheField>
    <cacheField name="Owner User ID" numFmtId="0">
      <sharedItems/>
    </cacheField>
    <cacheField name="Contract Length (Months)" numFmtId="0">
      <sharedItems containsSemiMixedTypes="0" containsString="0" containsNumber="1" containsInteger="1" minValue="12" maxValue="36"/>
    </cacheField>
    <cacheField name="Total Contract Value" numFmtId="43">
      <sharedItems containsSemiMixedTypes="0" containsString="0" containsNumber="1" minValue="360" maxValue="215000"/>
    </cacheField>
    <cacheField name="First Payment Date" numFmtId="14">
      <sharedItems containsDate="1" containsMixedTypes="1" minDate="2021-12-09T00:00:00" maxDate="2022-07-01T00:00:00"/>
    </cacheField>
    <cacheField name="Attainment Quarter" numFmtId="0">
      <sharedItems count="2">
        <s v="Q1"/>
        <s v="Q2"/>
      </sharedItems>
    </cacheField>
    <cacheField name=" Commissionable ARR" numFmtId="43">
      <sharedItems containsSemiMixedTypes="0" containsString="0" containsNumber="1" minValue="360" maxValue="215000"/>
    </cacheField>
    <cacheField name="Payment Quarter" numFmtId="0">
      <sharedItems containsBlank="1" count="4">
        <s v="Q1"/>
        <s v="First Payment Pending"/>
        <s v="Q2"/>
        <m/>
      </sharedItems>
    </cacheField>
    <cacheField name="Payment Date" numFmtId="14">
      <sharedItems containsDate="1" containsMixedTypes="1" minDate="2022-03-31T00:00:00" maxDate="2022-07-01T00:00:00"/>
    </cacheField>
    <cacheField name="Owner Name" numFmtId="0">
      <sharedItems count="4">
        <s v="Bob"/>
        <s v="Jane"/>
        <s v="Joe"/>
        <s v="Lin"/>
      </sharedItems>
    </cacheField>
    <cacheField name="UniqueIdentifier" numFmtId="0">
      <sharedItems/>
    </cacheField>
    <cacheField name="Accumulative ARR" numFmtId="43">
      <sharedItems containsSemiMixedTypes="0" containsString="0" containsNumber="1" minValue="0" maxValue="496872"/>
    </cacheField>
    <cacheField name="Base Rate" numFmtId="9">
      <sharedItems containsSemiMixedTypes="0" containsString="0" containsNumber="1" minValue="7.0000000000000007E-2" maxValue="0.12"/>
    </cacheField>
    <cacheField name="Attainment Goal" numFmtId="43">
      <sharedItems containsSemiMixedTypes="0" containsString="0" containsNumber="1" containsInteger="1" minValue="100000" maxValue="450000"/>
    </cacheField>
    <cacheField name="Max Attainment Goal" numFmtId="43">
      <sharedItems containsSemiMixedTypes="0" containsString="0" containsNumber="1" containsInteger="1" minValue="150000" maxValue="675000"/>
    </cacheField>
    <cacheField name="Base Commission" numFmtId="43">
      <sharedItems containsSemiMixedTypes="0" containsString="0" containsNumber="1" minValue="43.199999999999996" maxValue="23650"/>
    </cacheField>
    <cacheField name="Tier 2 Bonus" numFmtId="43">
      <sharedItems containsSemiMixedTypes="0" containsString="0" containsNumber="1" minValue="0" maxValue="6653.6830555555562"/>
    </cacheField>
    <cacheField name="Accumulative Bonus 1" numFmtId="43">
      <sharedItems containsSemiMixedTypes="0" containsString="0" containsNumber="1" minValue="0" maxValue="8116.6830555555562"/>
    </cacheField>
    <cacheField name="Tier 3 Bonus" numFmtId="43">
      <sharedItems containsSemiMixedTypes="0" containsString="0" containsNumber="1" minValue="0" maxValue="1153.6830555555559"/>
    </cacheField>
    <cacheField name="Accumlative Bonus 2" numFmtId="43">
      <sharedItems containsSemiMixedTypes="0" containsString="0" containsNumber="1" minValue="0" maxValue="2616.6830555555557"/>
    </cacheField>
    <cacheField name="Total Commission" numFmtId="43">
      <sharedItems containsSemiMixedTypes="0" containsString="0" containsNumber="1" minValue="43.199999999999996" maxValue="31457.366111111114"/>
    </cacheField>
    <cacheField name="Commissionable ARR Qualifies" numFmtId="43">
      <sharedItems count="2">
        <s v="No"/>
        <s v="Yes"/>
      </sharedItems>
    </cacheField>
    <cacheField name="Commission released" numFmtId="43">
      <sharedItems containsSemiMixedTypes="0" containsString="0" containsNumber="1" minValue="0" maxValue="31457.366111111114"/>
    </cacheField>
  </cacheFields>
  <extLst>
    <ext xmlns:x14="http://schemas.microsoft.com/office/spreadsheetml/2009/9/main" uri="{725AE2AE-9491-48be-B2B4-4EB974FC3084}">
      <x14:pivotCacheDefinition pivotCacheId="903562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d v="2022-01-01T00:00:00"/>
    <s v="A"/>
    <n v="30"/>
    <n v="15600"/>
    <d v="2022-01-20T00:00:00"/>
    <x v="0"/>
    <n v="6240"/>
    <x v="0"/>
    <d v="2022-03-31T00:00:00"/>
    <x v="0"/>
    <s v="BobQ1"/>
    <n v="0"/>
    <n v="0.1"/>
    <n v="200000"/>
    <n v="300000"/>
    <n v="624"/>
    <n v="0"/>
    <n v="0"/>
    <n v="0"/>
    <n v="0"/>
    <n v="624"/>
    <x v="0"/>
    <n v="624"/>
  </r>
  <r>
    <x v="1"/>
    <d v="2022-01-26T00:00:00"/>
    <s v="A"/>
    <n v="12"/>
    <n v="5114.67"/>
    <d v="2022-02-23T00:00:00"/>
    <x v="0"/>
    <n v="5114.67"/>
    <x v="0"/>
    <d v="2022-03-31T00:00:00"/>
    <x v="0"/>
    <s v="BobQ1"/>
    <n v="11354.67"/>
    <n v="0.1"/>
    <n v="200000"/>
    <n v="300000"/>
    <n v="511.46700000000004"/>
    <n v="0"/>
    <n v="0"/>
    <n v="0"/>
    <n v="0"/>
    <n v="511.46700000000004"/>
    <x v="0"/>
    <n v="511.46700000000004"/>
  </r>
  <r>
    <x v="2"/>
    <d v="2022-01-27T00:00:00"/>
    <s v="A"/>
    <n v="12"/>
    <n v="14412"/>
    <d v="2022-02-01T00:00:00"/>
    <x v="0"/>
    <n v="14412"/>
    <x v="0"/>
    <d v="2022-03-31T00:00:00"/>
    <x v="0"/>
    <s v="BobQ1"/>
    <n v="25766.67"/>
    <n v="0.1"/>
    <n v="200000"/>
    <n v="300000"/>
    <n v="1441.2"/>
    <n v="0"/>
    <n v="0"/>
    <n v="0"/>
    <n v="0"/>
    <n v="1441.2"/>
    <x v="0"/>
    <n v="1441.2"/>
  </r>
  <r>
    <x v="3"/>
    <d v="2022-01-31T00:00:00"/>
    <s v="A"/>
    <n v="12"/>
    <n v="12000"/>
    <d v="2022-02-10T00:00:00"/>
    <x v="0"/>
    <n v="12000"/>
    <x v="0"/>
    <d v="2022-03-31T00:00:00"/>
    <x v="0"/>
    <s v="BobQ1"/>
    <n v="37766.67"/>
    <n v="0.1"/>
    <n v="200000"/>
    <n v="300000"/>
    <n v="1200"/>
    <n v="0"/>
    <n v="0"/>
    <n v="0"/>
    <n v="0"/>
    <n v="1200"/>
    <x v="0"/>
    <n v="1200"/>
  </r>
  <r>
    <x v="4"/>
    <d v="2022-02-03T00:00:00"/>
    <s v="A"/>
    <n v="36"/>
    <n v="18000"/>
    <d v="2022-02-14T00:00:00"/>
    <x v="0"/>
    <n v="6000"/>
    <x v="0"/>
    <d v="2022-03-31T00:00:00"/>
    <x v="0"/>
    <s v="BobQ1"/>
    <n v="43766.67"/>
    <n v="0.1"/>
    <n v="200000"/>
    <n v="300000"/>
    <n v="600"/>
    <n v="0"/>
    <n v="0"/>
    <n v="0"/>
    <n v="0"/>
    <n v="600"/>
    <x v="0"/>
    <n v="600"/>
  </r>
  <r>
    <x v="5"/>
    <d v="2022-02-14T00:00:00"/>
    <s v="A"/>
    <n v="12"/>
    <n v="24000"/>
    <s v=""/>
    <x v="0"/>
    <n v="24000"/>
    <x v="1"/>
    <s v="First Payment Pending"/>
    <x v="0"/>
    <s v="BobQ1"/>
    <n v="67766.67"/>
    <n v="0.1"/>
    <n v="200000"/>
    <n v="300000"/>
    <n v="2400"/>
    <n v="0"/>
    <n v="0"/>
    <n v="0"/>
    <n v="0"/>
    <n v="2400"/>
    <x v="0"/>
    <n v="0"/>
  </r>
  <r>
    <x v="6"/>
    <d v="2022-02-28T00:00:00"/>
    <s v="A"/>
    <n v="24"/>
    <n v="4000"/>
    <d v="2022-05-03T00:00:00"/>
    <x v="0"/>
    <n v="2000"/>
    <x v="2"/>
    <d v="2022-06-30T00:00:00"/>
    <x v="0"/>
    <s v="BobQ1"/>
    <n v="69766.67"/>
    <n v="0.1"/>
    <n v="200000"/>
    <n v="300000"/>
    <n v="200"/>
    <n v="0"/>
    <n v="0"/>
    <n v="0"/>
    <n v="0"/>
    <n v="200"/>
    <x v="0"/>
    <n v="200"/>
  </r>
  <r>
    <x v="7"/>
    <d v="2022-02-28T00:00:00"/>
    <s v="A"/>
    <n v="12"/>
    <n v="5175"/>
    <d v="2022-05-04T00:00:00"/>
    <x v="0"/>
    <n v="5175"/>
    <x v="2"/>
    <d v="2022-06-30T00:00:00"/>
    <x v="0"/>
    <s v="BobQ1"/>
    <n v="74941.67"/>
    <n v="0.1"/>
    <n v="200000"/>
    <n v="300000"/>
    <n v="517.5"/>
    <n v="0"/>
    <n v="0"/>
    <n v="0"/>
    <n v="0"/>
    <n v="517.5"/>
    <x v="0"/>
    <n v="517.5"/>
  </r>
  <r>
    <x v="8"/>
    <d v="2022-03-02T00:00:00"/>
    <s v="A"/>
    <n v="30"/>
    <n v="85000"/>
    <d v="2022-06-12T00:00:00"/>
    <x v="0"/>
    <n v="34000"/>
    <x v="2"/>
    <d v="2022-06-30T00:00:00"/>
    <x v="0"/>
    <s v="BobQ1"/>
    <n v="108941.67"/>
    <n v="0.1"/>
    <n v="200000"/>
    <n v="300000"/>
    <n v="3400"/>
    <n v="0"/>
    <n v="0"/>
    <n v="0"/>
    <n v="0"/>
    <n v="3400"/>
    <x v="0"/>
    <n v="3400"/>
  </r>
  <r>
    <x v="9"/>
    <d v="2022-03-05T00:00:00"/>
    <s v="A"/>
    <n v="12"/>
    <n v="20000"/>
    <d v="2022-05-02T00:00:00"/>
    <x v="0"/>
    <n v="20000"/>
    <x v="2"/>
    <d v="2022-06-30T00:00:00"/>
    <x v="0"/>
    <s v="BobQ1"/>
    <n v="128941.67"/>
    <n v="0.1"/>
    <n v="200000"/>
    <n v="300000"/>
    <n v="2000"/>
    <n v="0"/>
    <n v="0"/>
    <n v="0"/>
    <n v="0"/>
    <n v="2000"/>
    <x v="0"/>
    <n v="2000"/>
  </r>
  <r>
    <x v="10"/>
    <d v="2022-03-13T00:00:00"/>
    <s v="A"/>
    <n v="12"/>
    <n v="45000"/>
    <s v=""/>
    <x v="0"/>
    <n v="45000"/>
    <x v="1"/>
    <s v="First Payment Pending"/>
    <x v="0"/>
    <s v="BobQ1"/>
    <n v="173941.66999999998"/>
    <n v="0.1"/>
    <n v="200000"/>
    <n v="300000"/>
    <n v="4500"/>
    <n v="0"/>
    <n v="0"/>
    <n v="0"/>
    <n v="0"/>
    <n v="4500"/>
    <x v="0"/>
    <n v="0"/>
  </r>
  <r>
    <x v="11"/>
    <d v="2022-03-16T00:00:00"/>
    <s v="A"/>
    <n v="12"/>
    <n v="3000"/>
    <d v="2022-03-24T00:00:00"/>
    <x v="0"/>
    <n v="3000"/>
    <x v="0"/>
    <d v="2022-03-31T00:00:00"/>
    <x v="0"/>
    <s v="BobQ1"/>
    <n v="176941.66999999998"/>
    <n v="0.1"/>
    <n v="200000"/>
    <n v="300000"/>
    <n v="300"/>
    <n v="0"/>
    <n v="0"/>
    <n v="0"/>
    <n v="0"/>
    <n v="300"/>
    <x v="0"/>
    <n v="300"/>
  </r>
  <r>
    <x v="12"/>
    <d v="2022-03-16T00:00:00"/>
    <s v="A"/>
    <n v="30"/>
    <n v="24000"/>
    <s v=""/>
    <x v="0"/>
    <n v="9600"/>
    <x v="1"/>
    <s v="First Payment Pending"/>
    <x v="0"/>
    <s v="BobQ1"/>
    <n v="186541.66999999998"/>
    <n v="0.1"/>
    <n v="200000"/>
    <n v="300000"/>
    <n v="960"/>
    <n v="0"/>
    <n v="0"/>
    <n v="0"/>
    <n v="0"/>
    <n v="960"/>
    <x v="0"/>
    <n v="0"/>
  </r>
  <r>
    <x v="13"/>
    <d v="2022-03-20T00:00:00"/>
    <s v="A"/>
    <n v="12"/>
    <n v="7200"/>
    <d v="2022-03-22T00:00:00"/>
    <x v="0"/>
    <n v="7200"/>
    <x v="0"/>
    <d v="2022-03-31T00:00:00"/>
    <x v="0"/>
    <s v="BobQ1"/>
    <n v="193741.66999999998"/>
    <n v="0.1"/>
    <n v="200000"/>
    <n v="300000"/>
    <n v="720"/>
    <n v="0"/>
    <n v="0"/>
    <n v="0"/>
    <n v="0"/>
    <n v="720"/>
    <x v="0"/>
    <n v="720"/>
  </r>
  <r>
    <x v="14"/>
    <d v="2022-03-22T00:00:00"/>
    <s v="A"/>
    <n v="12"/>
    <n v="7000"/>
    <d v="2022-04-27T00:00:00"/>
    <x v="0"/>
    <n v="7000"/>
    <x v="2"/>
    <d v="2022-06-30T00:00:00"/>
    <x v="0"/>
    <s v="BobQ1"/>
    <n v="200741.66999999998"/>
    <n v="0.1"/>
    <n v="200000"/>
    <n v="300000"/>
    <n v="700"/>
    <n v="37.083499999999184"/>
    <n v="37.083499999999184"/>
    <n v="0"/>
    <n v="0"/>
    <n v="737.08349999999916"/>
    <x v="1"/>
    <n v="737.08349999999916"/>
  </r>
  <r>
    <x v="15"/>
    <d v="2022-03-26T00:00:00"/>
    <s v="A"/>
    <n v="30"/>
    <n v="12000"/>
    <d v="2022-06-08T00:00:00"/>
    <x v="0"/>
    <n v="4800"/>
    <x v="2"/>
    <d v="2022-06-30T00:00:00"/>
    <x v="0"/>
    <s v="BobQ1"/>
    <n v="205541.66999999998"/>
    <n v="0.1"/>
    <n v="200000"/>
    <n v="300000"/>
    <n v="480"/>
    <n v="240.00000000000003"/>
    <n v="277.08349999999922"/>
    <n v="0"/>
    <n v="0"/>
    <n v="720"/>
    <x v="1"/>
    <n v="720"/>
  </r>
  <r>
    <x v="16"/>
    <d v="2022-03-29T00:00:00"/>
    <s v="A"/>
    <n v="12"/>
    <n v="18000"/>
    <d v="2022-04-23T00:00:00"/>
    <x v="0"/>
    <n v="18000"/>
    <x v="2"/>
    <d v="2022-06-30T00:00:00"/>
    <x v="0"/>
    <s v="BobQ1"/>
    <n v="223541.66999999998"/>
    <n v="0.1"/>
    <n v="200000"/>
    <n v="300000"/>
    <n v="1800"/>
    <n v="900"/>
    <n v="1177.0834999999993"/>
    <n v="0"/>
    <n v="0"/>
    <n v="2700"/>
    <x v="1"/>
    <n v="2700"/>
  </r>
  <r>
    <x v="17"/>
    <d v="2022-03-29T00:00:00"/>
    <s v="A"/>
    <n v="12"/>
    <n v="18000"/>
    <d v="2022-05-02T00:00:00"/>
    <x v="0"/>
    <n v="18000"/>
    <x v="2"/>
    <d v="2022-06-30T00:00:00"/>
    <x v="0"/>
    <s v="BobQ1"/>
    <n v="241541.66999999998"/>
    <n v="0.1"/>
    <n v="200000"/>
    <n v="300000"/>
    <n v="1800"/>
    <n v="900"/>
    <n v="2077.0834999999993"/>
    <n v="0"/>
    <n v="0"/>
    <n v="2700"/>
    <x v="1"/>
    <n v="2700"/>
  </r>
  <r>
    <x v="18"/>
    <d v="2022-03-29T00:00:00"/>
    <s v="A"/>
    <n v="12"/>
    <n v="9000"/>
    <s v=""/>
    <x v="0"/>
    <n v="9000"/>
    <x v="1"/>
    <s v="First Payment Pending"/>
    <x v="0"/>
    <s v="BobQ1"/>
    <n v="250541.66999999998"/>
    <n v="0.1"/>
    <n v="200000"/>
    <n v="300000"/>
    <n v="900"/>
    <n v="450"/>
    <n v="2527.0834999999993"/>
    <n v="0"/>
    <n v="0"/>
    <n v="1350"/>
    <x v="1"/>
    <n v="0"/>
  </r>
  <r>
    <x v="19"/>
    <d v="2022-03-30T00:00:00"/>
    <s v="A"/>
    <n v="12"/>
    <n v="29000"/>
    <d v="2022-06-07T00:00:00"/>
    <x v="0"/>
    <n v="29000"/>
    <x v="2"/>
    <d v="2022-06-30T00:00:00"/>
    <x v="0"/>
    <s v="BobQ1"/>
    <n v="279541.67"/>
    <n v="0.1"/>
    <n v="200000"/>
    <n v="300000"/>
    <n v="2900"/>
    <n v="1450"/>
    <n v="3977.0834999999993"/>
    <n v="0"/>
    <n v="0"/>
    <n v="4350"/>
    <x v="1"/>
    <n v="4350"/>
  </r>
  <r>
    <x v="20"/>
    <d v="2022-03-31T00:00:00"/>
    <s v="A"/>
    <n v="12"/>
    <n v="7000"/>
    <d v="2022-04-13T00:00:00"/>
    <x v="0"/>
    <n v="7000"/>
    <x v="2"/>
    <d v="2022-06-30T00:00:00"/>
    <x v="0"/>
    <s v="BobQ1"/>
    <n v="286541.67"/>
    <n v="0.1"/>
    <n v="200000"/>
    <n v="300000"/>
    <n v="700"/>
    <n v="350.00000000000045"/>
    <n v="4327.0834999999997"/>
    <n v="0"/>
    <n v="0"/>
    <n v="1050.0000000000005"/>
    <x v="1"/>
    <n v="1050.0000000000005"/>
  </r>
  <r>
    <x v="21"/>
    <d v="2022-03-31T00:00:00"/>
    <s v="A"/>
    <n v="12"/>
    <n v="15000"/>
    <d v="2022-06-09T00:00:00"/>
    <x v="0"/>
    <n v="15000"/>
    <x v="2"/>
    <d v="2022-06-30T00:00:00"/>
    <x v="0"/>
    <s v="BobQ1"/>
    <n v="301541.67"/>
    <n v="0.1"/>
    <n v="200000"/>
    <n v="300000"/>
    <n v="1500"/>
    <n v="750"/>
    <n v="5077.0834999999997"/>
    <n v="77.083499999999191"/>
    <n v="77.083499999999191"/>
    <n v="2327.0834999999993"/>
    <x v="1"/>
    <n v="2327.0834999999993"/>
  </r>
  <r>
    <x v="22"/>
    <d v="2022-04-01T00:00:00"/>
    <s v="A"/>
    <n v="20"/>
    <n v="70200"/>
    <d v="2022-04-13T00:00:00"/>
    <x v="1"/>
    <n v="42120"/>
    <x v="2"/>
    <d v="2022-06-30T00:00:00"/>
    <x v="0"/>
    <s v="BobQ2"/>
    <n v="0"/>
    <n v="0.08"/>
    <n v="250000"/>
    <n v="375000"/>
    <n v="3369.6"/>
    <n v="0"/>
    <n v="0"/>
    <n v="0"/>
    <n v="0"/>
    <n v="3369.6"/>
    <x v="0"/>
    <n v="3369.6"/>
  </r>
  <r>
    <x v="23"/>
    <d v="2022-04-17T00:00:00"/>
    <s v="A"/>
    <n v="12"/>
    <n v="948"/>
    <d v="2022-05-24T00:00:00"/>
    <x v="1"/>
    <n v="948"/>
    <x v="2"/>
    <d v="2022-06-30T00:00:00"/>
    <x v="0"/>
    <s v="BobQ2"/>
    <n v="43068"/>
    <n v="0.08"/>
    <n v="250000"/>
    <n v="375000"/>
    <n v="75.84"/>
    <n v="0"/>
    <n v="0"/>
    <n v="0"/>
    <n v="0"/>
    <n v="75.84"/>
    <x v="0"/>
    <n v="75.84"/>
  </r>
  <r>
    <x v="24"/>
    <d v="2022-04-24T00:00:00"/>
    <s v="A"/>
    <n v="36"/>
    <n v="30000"/>
    <s v=""/>
    <x v="1"/>
    <n v="10000"/>
    <x v="1"/>
    <s v="First Payment Pending"/>
    <x v="0"/>
    <s v="BobQ2"/>
    <n v="53068"/>
    <n v="0.08"/>
    <n v="250000"/>
    <n v="375000"/>
    <n v="800"/>
    <n v="0"/>
    <n v="0"/>
    <n v="0"/>
    <n v="0"/>
    <n v="800"/>
    <x v="0"/>
    <n v="0"/>
  </r>
  <r>
    <x v="25"/>
    <d v="2022-04-27T00:00:00"/>
    <s v="A"/>
    <n v="36"/>
    <n v="15000"/>
    <s v=""/>
    <x v="1"/>
    <n v="5000"/>
    <x v="1"/>
    <s v="First Payment Pending"/>
    <x v="0"/>
    <s v="BobQ2"/>
    <n v="58068"/>
    <n v="0.08"/>
    <n v="250000"/>
    <n v="375000"/>
    <n v="400"/>
    <n v="0"/>
    <n v="0"/>
    <n v="0"/>
    <n v="0"/>
    <n v="400"/>
    <x v="0"/>
    <n v="0"/>
  </r>
  <r>
    <x v="26"/>
    <d v="2022-04-28T00:00:00"/>
    <s v="A"/>
    <n v="12"/>
    <n v="20000"/>
    <d v="2022-06-06T00:00:00"/>
    <x v="1"/>
    <n v="20000"/>
    <x v="2"/>
    <d v="2022-06-30T00:00:00"/>
    <x v="0"/>
    <s v="BobQ2"/>
    <n v="78068"/>
    <n v="0.08"/>
    <n v="250000"/>
    <n v="375000"/>
    <n v="1600"/>
    <n v="0"/>
    <n v="0"/>
    <n v="0"/>
    <n v="0"/>
    <n v="1600"/>
    <x v="0"/>
    <n v="1600"/>
  </r>
  <r>
    <x v="27"/>
    <d v="2022-05-01T00:00:00"/>
    <s v="A"/>
    <n v="12"/>
    <n v="4500"/>
    <s v=""/>
    <x v="1"/>
    <n v="4500"/>
    <x v="1"/>
    <s v="First Payment Pending"/>
    <x v="0"/>
    <s v="BobQ2"/>
    <n v="82568"/>
    <n v="0.08"/>
    <n v="250000"/>
    <n v="375000"/>
    <n v="360"/>
    <n v="0"/>
    <n v="0"/>
    <n v="0"/>
    <n v="0"/>
    <n v="360"/>
    <x v="0"/>
    <n v="0"/>
  </r>
  <r>
    <x v="28"/>
    <d v="2022-05-11T00:00:00"/>
    <s v="A"/>
    <n v="30"/>
    <n v="15000"/>
    <d v="2022-06-28T00:00:00"/>
    <x v="1"/>
    <n v="6000"/>
    <x v="2"/>
    <d v="2022-06-30T00:00:00"/>
    <x v="0"/>
    <s v="BobQ2"/>
    <n v="88568"/>
    <n v="0.08"/>
    <n v="250000"/>
    <n v="375000"/>
    <n v="480"/>
    <n v="0"/>
    <n v="0"/>
    <n v="0"/>
    <n v="0"/>
    <n v="480"/>
    <x v="0"/>
    <n v="480"/>
  </r>
  <r>
    <x v="29"/>
    <d v="2022-05-26T00:00:00"/>
    <s v="A"/>
    <n v="20"/>
    <n v="20000"/>
    <d v="2022-06-09T00:00:00"/>
    <x v="1"/>
    <n v="12000"/>
    <x v="2"/>
    <d v="2022-06-30T00:00:00"/>
    <x v="0"/>
    <s v="BobQ2"/>
    <n v="100568"/>
    <n v="0.08"/>
    <n v="250000"/>
    <n v="375000"/>
    <n v="960"/>
    <n v="0"/>
    <n v="0"/>
    <n v="0"/>
    <n v="0"/>
    <n v="960"/>
    <x v="0"/>
    <n v="960"/>
  </r>
  <r>
    <x v="30"/>
    <d v="2022-06-02T00:00:00"/>
    <s v="A"/>
    <n v="16"/>
    <n v="4295"/>
    <d v="2022-06-20T00:00:00"/>
    <x v="1"/>
    <n v="3221.25"/>
    <x v="2"/>
    <d v="2022-06-30T00:00:00"/>
    <x v="0"/>
    <s v="BobQ2"/>
    <n v="103789.25"/>
    <n v="0.08"/>
    <n v="250000"/>
    <n v="375000"/>
    <n v="257.7"/>
    <n v="0"/>
    <n v="0"/>
    <n v="0"/>
    <n v="0"/>
    <n v="257.7"/>
    <x v="0"/>
    <n v="257.7"/>
  </r>
  <r>
    <x v="31"/>
    <d v="2022-06-20T00:00:00"/>
    <s v="A"/>
    <n v="12"/>
    <n v="9000"/>
    <d v="2022-06-27T00:00:00"/>
    <x v="1"/>
    <n v="9000"/>
    <x v="2"/>
    <d v="2022-06-30T00:00:00"/>
    <x v="0"/>
    <s v="BobQ2"/>
    <n v="112789.25"/>
    <n v="0.08"/>
    <n v="250000"/>
    <n v="375000"/>
    <n v="720"/>
    <n v="0"/>
    <n v="0"/>
    <n v="0"/>
    <n v="0"/>
    <n v="720"/>
    <x v="0"/>
    <n v="720"/>
  </r>
  <r>
    <x v="32"/>
    <d v="2022-06-20T00:00:00"/>
    <s v="A"/>
    <n v="12"/>
    <n v="27500"/>
    <d v="2022-06-01T00:00:00"/>
    <x v="1"/>
    <n v="27500"/>
    <x v="2"/>
    <d v="2022-06-30T00:00:00"/>
    <x v="0"/>
    <s v="BobQ2"/>
    <n v="140289.25"/>
    <n v="0.08"/>
    <n v="250000"/>
    <n v="375000"/>
    <n v="2200"/>
    <n v="0"/>
    <n v="0"/>
    <n v="0"/>
    <n v="0"/>
    <n v="2200"/>
    <x v="0"/>
    <n v="2200"/>
  </r>
  <r>
    <x v="33"/>
    <d v="2022-01-11T00:00:00"/>
    <s v="B"/>
    <n v="36"/>
    <n v="1800"/>
    <d v="2022-02-01T00:00:00"/>
    <x v="0"/>
    <n v="600"/>
    <x v="0"/>
    <d v="2022-03-31T00:00:00"/>
    <x v="1"/>
    <s v="JaneQ1"/>
    <n v="0"/>
    <n v="0.12"/>
    <n v="100000"/>
    <n v="150000"/>
    <n v="72"/>
    <n v="0"/>
    <n v="0"/>
    <n v="0"/>
    <n v="0"/>
    <n v="72"/>
    <x v="0"/>
    <n v="72"/>
  </r>
  <r>
    <x v="34"/>
    <d v="2022-01-20T00:00:00"/>
    <s v="B"/>
    <n v="20"/>
    <n v="17000"/>
    <d v="2021-12-09T00:00:00"/>
    <x v="0"/>
    <n v="10200"/>
    <x v="3"/>
    <s v="First Payment Pending"/>
    <x v="1"/>
    <s v="JaneQ1"/>
    <n v="10800"/>
    <n v="0.12"/>
    <n v="100000"/>
    <n v="150000"/>
    <n v="1224"/>
    <n v="0"/>
    <n v="0"/>
    <n v="0"/>
    <n v="0"/>
    <n v="1224"/>
    <x v="0"/>
    <n v="1224"/>
  </r>
  <r>
    <x v="35"/>
    <d v="2022-02-01T00:00:00"/>
    <s v="B"/>
    <n v="36"/>
    <n v="6589"/>
    <d v="2022-02-22T00:00:00"/>
    <x v="0"/>
    <n v="2196.333333333333"/>
    <x v="0"/>
    <d v="2022-03-31T00:00:00"/>
    <x v="1"/>
    <s v="JaneQ1"/>
    <n v="12996.333333333332"/>
    <n v="0.12"/>
    <n v="100000"/>
    <n v="150000"/>
    <n v="263.55999999999995"/>
    <n v="0"/>
    <n v="0"/>
    <n v="0"/>
    <n v="0"/>
    <n v="263.55999999999995"/>
    <x v="0"/>
    <n v="263.55999999999995"/>
  </r>
  <r>
    <x v="36"/>
    <d v="2022-02-03T00:00:00"/>
    <s v="B"/>
    <n v="12"/>
    <n v="15000"/>
    <d v="2022-02-28T00:00:00"/>
    <x v="0"/>
    <n v="15000"/>
    <x v="0"/>
    <d v="2022-03-31T00:00:00"/>
    <x v="1"/>
    <s v="JaneQ1"/>
    <n v="27996.333333333332"/>
    <n v="0.12"/>
    <n v="100000"/>
    <n v="150000"/>
    <n v="1800"/>
    <n v="0"/>
    <n v="0"/>
    <n v="0"/>
    <n v="0"/>
    <n v="1800"/>
    <x v="0"/>
    <n v="1800"/>
  </r>
  <r>
    <x v="37"/>
    <d v="2022-03-06T00:00:00"/>
    <s v="B"/>
    <n v="30"/>
    <n v="7200"/>
    <d v="2022-04-06T00:00:00"/>
    <x v="0"/>
    <n v="2880"/>
    <x v="2"/>
    <d v="2022-06-30T00:00:00"/>
    <x v="1"/>
    <s v="JaneQ1"/>
    <n v="30876.333333333332"/>
    <n v="0.12"/>
    <n v="100000"/>
    <n v="150000"/>
    <n v="345.59999999999997"/>
    <n v="0"/>
    <n v="0"/>
    <n v="0"/>
    <n v="0"/>
    <n v="345.59999999999997"/>
    <x v="0"/>
    <n v="345.59999999999997"/>
  </r>
  <r>
    <x v="38"/>
    <d v="2022-03-15T00:00:00"/>
    <s v="B"/>
    <n v="12"/>
    <n v="3360"/>
    <d v="2022-05-27T00:00:00"/>
    <x v="0"/>
    <n v="3360"/>
    <x v="2"/>
    <d v="2022-06-30T00:00:00"/>
    <x v="1"/>
    <s v="JaneQ1"/>
    <n v="34236.333333333328"/>
    <n v="0.12"/>
    <n v="100000"/>
    <n v="150000"/>
    <n v="403.2"/>
    <n v="0"/>
    <n v="0"/>
    <n v="0"/>
    <n v="0"/>
    <n v="403.2"/>
    <x v="0"/>
    <n v="403.2"/>
  </r>
  <r>
    <x v="39"/>
    <d v="2022-03-22T00:00:00"/>
    <s v="B"/>
    <n v="12"/>
    <n v="1125"/>
    <d v="2022-04-11T00:00:00"/>
    <x v="0"/>
    <n v="1125"/>
    <x v="2"/>
    <d v="2022-06-30T00:00:00"/>
    <x v="1"/>
    <s v="JaneQ1"/>
    <n v="35361.333333333328"/>
    <n v="0.12"/>
    <n v="100000"/>
    <n v="150000"/>
    <n v="135"/>
    <n v="0"/>
    <n v="0"/>
    <n v="0"/>
    <n v="0"/>
    <n v="135"/>
    <x v="0"/>
    <n v="135"/>
  </r>
  <r>
    <x v="40"/>
    <d v="2022-03-23T00:00:00"/>
    <s v="B"/>
    <n v="12"/>
    <n v="360"/>
    <d v="2022-04-24T00:00:00"/>
    <x v="0"/>
    <n v="360"/>
    <x v="2"/>
    <d v="2022-06-30T00:00:00"/>
    <x v="1"/>
    <s v="JaneQ1"/>
    <n v="35721.333333333328"/>
    <n v="0.12"/>
    <n v="100000"/>
    <n v="150000"/>
    <n v="43.199999999999996"/>
    <n v="0"/>
    <n v="0"/>
    <n v="0"/>
    <n v="0"/>
    <n v="43.199999999999996"/>
    <x v="0"/>
    <n v="43.199999999999996"/>
  </r>
  <r>
    <x v="41"/>
    <d v="2022-03-24T00:00:00"/>
    <s v="B"/>
    <n v="12"/>
    <n v="13400"/>
    <d v="2022-04-07T00:00:00"/>
    <x v="0"/>
    <n v="13400"/>
    <x v="2"/>
    <d v="2022-06-30T00:00:00"/>
    <x v="1"/>
    <s v="JaneQ1"/>
    <n v="49121.333333333328"/>
    <n v="0.12"/>
    <n v="100000"/>
    <n v="150000"/>
    <n v="1608"/>
    <n v="0"/>
    <n v="0"/>
    <n v="0"/>
    <n v="0"/>
    <n v="1608"/>
    <x v="0"/>
    <n v="1608"/>
  </r>
  <r>
    <x v="42"/>
    <d v="2022-03-30T00:00:00"/>
    <s v="B"/>
    <n v="12"/>
    <n v="6000"/>
    <d v="2022-05-07T00:00:00"/>
    <x v="0"/>
    <n v="6000"/>
    <x v="2"/>
    <d v="2022-06-30T00:00:00"/>
    <x v="1"/>
    <s v="JaneQ1"/>
    <n v="55121.333333333328"/>
    <n v="0.12"/>
    <n v="100000"/>
    <n v="150000"/>
    <n v="720"/>
    <n v="0"/>
    <n v="0"/>
    <n v="0"/>
    <n v="0"/>
    <n v="720"/>
    <x v="0"/>
    <n v="720"/>
  </r>
  <r>
    <x v="43"/>
    <d v="2022-03-31T00:00:00"/>
    <s v="B"/>
    <n v="12"/>
    <n v="3999"/>
    <d v="2022-06-01T00:00:00"/>
    <x v="0"/>
    <n v="3999"/>
    <x v="2"/>
    <d v="2022-06-30T00:00:00"/>
    <x v="1"/>
    <s v="JaneQ1"/>
    <n v="59120.333333333328"/>
    <n v="0.12"/>
    <n v="100000"/>
    <n v="150000"/>
    <n v="479.88"/>
    <n v="0"/>
    <n v="0"/>
    <n v="0"/>
    <n v="0"/>
    <n v="479.88"/>
    <x v="0"/>
    <n v="479.88"/>
  </r>
  <r>
    <x v="44"/>
    <d v="2022-04-20T00:00:00"/>
    <s v="B"/>
    <n v="12"/>
    <n v="15996"/>
    <d v="2022-05-10T00:00:00"/>
    <x v="1"/>
    <n v="15996"/>
    <x v="2"/>
    <d v="2022-06-30T00:00:00"/>
    <x v="1"/>
    <s v="JaneQ2"/>
    <n v="0"/>
    <n v="0.11"/>
    <n v="200000"/>
    <n v="300000"/>
    <n v="1759.56"/>
    <n v="0"/>
    <n v="0"/>
    <n v="0"/>
    <n v="0"/>
    <n v="1759.56"/>
    <x v="0"/>
    <n v="1759.56"/>
  </r>
  <r>
    <x v="45"/>
    <d v="2022-04-21T00:00:00"/>
    <s v="B"/>
    <n v="27"/>
    <n v="20000"/>
    <d v="2022-05-07T00:00:00"/>
    <x v="1"/>
    <n v="8888.8888888888887"/>
    <x v="2"/>
    <d v="2022-06-30T00:00:00"/>
    <x v="1"/>
    <s v="JaneQ2"/>
    <n v="24884.888888888891"/>
    <n v="0.11"/>
    <n v="200000"/>
    <n v="300000"/>
    <n v="977.77777777777771"/>
    <n v="0"/>
    <n v="0"/>
    <n v="0"/>
    <n v="0"/>
    <n v="977.77777777777771"/>
    <x v="0"/>
    <n v="977.77777777777771"/>
  </r>
  <r>
    <x v="46"/>
    <d v="2022-04-26T00:00:00"/>
    <s v="B"/>
    <n v="36"/>
    <n v="85000.5"/>
    <s v=""/>
    <x v="1"/>
    <n v="28333.5"/>
    <x v="1"/>
    <s v="First Payment Pending"/>
    <x v="1"/>
    <s v="JaneQ2"/>
    <n v="53218.388888888891"/>
    <n v="0.11"/>
    <n v="200000"/>
    <n v="300000"/>
    <n v="3116.6849999999999"/>
    <n v="0"/>
    <n v="0"/>
    <n v="0"/>
    <n v="0"/>
    <n v="3116.6849999999999"/>
    <x v="0"/>
    <n v="0"/>
  </r>
  <r>
    <x v="47"/>
    <d v="2022-05-01T00:00:00"/>
    <s v="B"/>
    <n v="12"/>
    <n v="27000"/>
    <d v="2022-06-30T00:00:00"/>
    <x v="1"/>
    <n v="27000"/>
    <x v="2"/>
    <d v="2022-06-30T00:00:00"/>
    <x v="1"/>
    <s v="JaneQ2"/>
    <n v="80218.388888888891"/>
    <n v="0.11"/>
    <n v="200000"/>
    <n v="300000"/>
    <n v="2970"/>
    <n v="0"/>
    <n v="0"/>
    <n v="0"/>
    <n v="0"/>
    <n v="2970"/>
    <x v="0"/>
    <n v="2970"/>
  </r>
  <r>
    <x v="48"/>
    <d v="2022-05-03T00:00:00"/>
    <s v="B"/>
    <n v="36"/>
    <n v="23333"/>
    <d v="2022-05-15T00:00:00"/>
    <x v="1"/>
    <n v="7777.666666666667"/>
    <x v="2"/>
    <d v="2022-06-30T00:00:00"/>
    <x v="1"/>
    <s v="JaneQ2"/>
    <n v="87996.055555555562"/>
    <n v="0.11"/>
    <n v="200000"/>
    <n v="300000"/>
    <n v="855.54333333333341"/>
    <n v="0"/>
    <n v="0"/>
    <n v="0"/>
    <n v="0"/>
    <n v="855.54333333333341"/>
    <x v="0"/>
    <n v="855.54333333333341"/>
  </r>
  <r>
    <x v="49"/>
    <d v="2022-05-03T00:00:00"/>
    <s v="B"/>
    <n v="12"/>
    <n v="17980"/>
    <d v="2022-05-12T00:00:00"/>
    <x v="1"/>
    <n v="17980"/>
    <x v="2"/>
    <d v="2022-06-30T00:00:00"/>
    <x v="1"/>
    <s v="JaneQ2"/>
    <n v="105976.05555555556"/>
    <n v="0.11"/>
    <n v="200000"/>
    <n v="300000"/>
    <n v="1977.8"/>
    <n v="0"/>
    <n v="0"/>
    <n v="0"/>
    <n v="0"/>
    <n v="1977.8"/>
    <x v="0"/>
    <n v="1977.8"/>
  </r>
  <r>
    <x v="50"/>
    <d v="2022-05-31T00:00:00"/>
    <s v="B"/>
    <n v="12"/>
    <n v="215000"/>
    <d v="2022-06-08T00:00:00"/>
    <x v="1"/>
    <n v="215000"/>
    <x v="2"/>
    <d v="2022-06-30T00:00:00"/>
    <x v="1"/>
    <s v="JaneQ2"/>
    <n v="320976.05555555556"/>
    <n v="0.11"/>
    <n v="200000"/>
    <n v="300000"/>
    <n v="23650"/>
    <n v="6653.6830555555562"/>
    <n v="6653.6830555555562"/>
    <n v="1153.6830555555559"/>
    <n v="1153.6830555555559"/>
    <n v="31457.366111111114"/>
    <x v="1"/>
    <n v="31457.366111111114"/>
  </r>
  <r>
    <x v="51"/>
    <d v="2022-06-22T00:00:00"/>
    <s v="B"/>
    <n v="12"/>
    <n v="14400"/>
    <s v=""/>
    <x v="1"/>
    <n v="14400"/>
    <x v="1"/>
    <s v="First Payment Pending"/>
    <x v="1"/>
    <s v="JaneQ2"/>
    <n v="335376.05555555556"/>
    <n v="0.11"/>
    <n v="200000"/>
    <n v="300000"/>
    <n v="1584"/>
    <n v="792"/>
    <n v="7445.6830555555562"/>
    <n v="792"/>
    <n v="1945.6830555555559"/>
    <n v="3168"/>
    <x v="1"/>
    <n v="0"/>
  </r>
  <r>
    <x v="52"/>
    <d v="2022-06-27T00:00:00"/>
    <s v="B"/>
    <n v="30"/>
    <n v="18000"/>
    <s v=""/>
    <x v="1"/>
    <n v="7200"/>
    <x v="1"/>
    <s v="First Payment Pending"/>
    <x v="1"/>
    <s v="JaneQ2"/>
    <n v="342576.05555555556"/>
    <n v="0.11"/>
    <n v="200000"/>
    <n v="300000"/>
    <n v="792"/>
    <n v="396"/>
    <n v="7841.6830555555562"/>
    <n v="395.99999999999977"/>
    <n v="2341.6830555555557"/>
    <n v="1583.9999999999998"/>
    <x v="1"/>
    <n v="0"/>
  </r>
  <r>
    <x v="53"/>
    <d v="2022-06-30T00:00:00"/>
    <s v="B"/>
    <n v="36"/>
    <n v="15000"/>
    <s v=""/>
    <x v="1"/>
    <n v="5000"/>
    <x v="1"/>
    <s v="First Payment Pending"/>
    <x v="1"/>
    <s v="JaneQ2"/>
    <n v="347576.05555555556"/>
    <n v="0.11"/>
    <n v="200000"/>
    <n v="300000"/>
    <n v="550"/>
    <n v="275"/>
    <n v="8116.6830555555562"/>
    <n v="275"/>
    <n v="2616.6830555555557"/>
    <n v="1100"/>
    <x v="1"/>
    <n v="0"/>
  </r>
  <r>
    <x v="54"/>
    <d v="2022-01-31T00:00:00"/>
    <s v="C"/>
    <n v="36"/>
    <n v="15260"/>
    <d v="2022-03-05T00:00:00"/>
    <x v="0"/>
    <n v="5086.666666666667"/>
    <x v="0"/>
    <d v="2022-03-31T00:00:00"/>
    <x v="2"/>
    <s v="JoeQ1"/>
    <n v="0"/>
    <n v="0.09"/>
    <n v="200000"/>
    <n v="300000"/>
    <n v="457.8"/>
    <n v="0"/>
    <n v="0"/>
    <n v="0"/>
    <n v="0"/>
    <n v="457.8"/>
    <x v="0"/>
    <n v="457.8"/>
  </r>
  <r>
    <x v="55"/>
    <d v="2022-02-05T00:00:00"/>
    <s v="C"/>
    <n v="12"/>
    <n v="28800"/>
    <d v="2022-04-05T00:00:00"/>
    <x v="0"/>
    <n v="28800"/>
    <x v="2"/>
    <d v="2022-06-30T00:00:00"/>
    <x v="2"/>
    <s v="JoeQ1"/>
    <n v="33886.666666666664"/>
    <n v="0.09"/>
    <n v="200000"/>
    <n v="300000"/>
    <n v="2592"/>
    <n v="0"/>
    <n v="0"/>
    <n v="0"/>
    <n v="0"/>
    <n v="2592"/>
    <x v="0"/>
    <n v="2592"/>
  </r>
  <r>
    <x v="56"/>
    <d v="2022-02-23T00:00:00"/>
    <s v="C"/>
    <n v="12"/>
    <n v="10500"/>
    <d v="2022-03-04T00:00:00"/>
    <x v="0"/>
    <n v="10500"/>
    <x v="0"/>
    <d v="2022-03-31T00:00:00"/>
    <x v="2"/>
    <s v="JoeQ1"/>
    <n v="44386.666666666664"/>
    <n v="0.09"/>
    <n v="200000"/>
    <n v="300000"/>
    <n v="945"/>
    <n v="0"/>
    <n v="0"/>
    <n v="0"/>
    <n v="0"/>
    <n v="945"/>
    <x v="0"/>
    <n v="945"/>
  </r>
  <r>
    <x v="57"/>
    <d v="2022-03-21T00:00:00"/>
    <s v="C"/>
    <n v="20"/>
    <n v="5000"/>
    <d v="2022-05-30T00:00:00"/>
    <x v="0"/>
    <n v="3000"/>
    <x v="2"/>
    <d v="2022-06-30T00:00:00"/>
    <x v="2"/>
    <s v="JoeQ1"/>
    <n v="47386.666666666664"/>
    <n v="0.09"/>
    <n v="200000"/>
    <n v="300000"/>
    <n v="270"/>
    <n v="0"/>
    <n v="0"/>
    <n v="0"/>
    <n v="0"/>
    <n v="270"/>
    <x v="0"/>
    <n v="270"/>
  </r>
  <r>
    <x v="58"/>
    <d v="2022-03-23T00:00:00"/>
    <s v="C"/>
    <n v="12"/>
    <n v="7200"/>
    <d v="2022-04-30T00:00:00"/>
    <x v="0"/>
    <n v="7200"/>
    <x v="2"/>
    <d v="2022-06-30T00:00:00"/>
    <x v="2"/>
    <s v="JoeQ1"/>
    <n v="54586.666666666664"/>
    <n v="0.09"/>
    <n v="200000"/>
    <n v="300000"/>
    <n v="648"/>
    <n v="0"/>
    <n v="0"/>
    <n v="0"/>
    <n v="0"/>
    <n v="648"/>
    <x v="0"/>
    <n v="648"/>
  </r>
  <r>
    <x v="59"/>
    <d v="2022-03-24T00:00:00"/>
    <s v="C"/>
    <n v="12"/>
    <n v="6600"/>
    <d v="2022-03-26T00:00:00"/>
    <x v="0"/>
    <n v="6600"/>
    <x v="0"/>
    <d v="2022-03-31T00:00:00"/>
    <x v="2"/>
    <s v="JoeQ1"/>
    <n v="61186.666666666664"/>
    <n v="0.09"/>
    <n v="200000"/>
    <n v="300000"/>
    <n v="594"/>
    <n v="0"/>
    <n v="0"/>
    <n v="0"/>
    <n v="0"/>
    <n v="594"/>
    <x v="0"/>
    <n v="594"/>
  </r>
  <r>
    <x v="60"/>
    <d v="2022-03-27T00:00:00"/>
    <s v="C"/>
    <n v="12"/>
    <n v="88000"/>
    <d v="2022-04-16T00:00:00"/>
    <x v="0"/>
    <n v="88000"/>
    <x v="2"/>
    <d v="2022-06-30T00:00:00"/>
    <x v="2"/>
    <s v="JoeQ1"/>
    <n v="149186.66666666666"/>
    <n v="0.09"/>
    <n v="200000"/>
    <n v="300000"/>
    <n v="7920"/>
    <n v="0"/>
    <n v="0"/>
    <n v="0"/>
    <n v="0"/>
    <n v="7920"/>
    <x v="0"/>
    <n v="7920"/>
  </r>
  <r>
    <x v="61"/>
    <d v="2022-03-27T00:00:00"/>
    <s v="C"/>
    <n v="12"/>
    <n v="24000"/>
    <d v="2022-05-10T00:00:00"/>
    <x v="0"/>
    <n v="24000"/>
    <x v="2"/>
    <d v="2022-06-30T00:00:00"/>
    <x v="2"/>
    <s v="JoeQ1"/>
    <n v="173186.66666666666"/>
    <n v="0.09"/>
    <n v="200000"/>
    <n v="300000"/>
    <n v="2160"/>
    <n v="0"/>
    <n v="0"/>
    <n v="0"/>
    <n v="0"/>
    <n v="2160"/>
    <x v="0"/>
    <n v="2160"/>
  </r>
  <r>
    <x v="62"/>
    <d v="2022-03-28T00:00:00"/>
    <s v="C"/>
    <n v="12"/>
    <n v="14000"/>
    <d v="2022-05-11T00:00:00"/>
    <x v="0"/>
    <n v="14000"/>
    <x v="2"/>
    <d v="2022-06-30T00:00:00"/>
    <x v="2"/>
    <s v="JoeQ1"/>
    <n v="187186.66666666666"/>
    <n v="0.09"/>
    <n v="200000"/>
    <n v="300000"/>
    <n v="1260"/>
    <n v="0"/>
    <n v="0"/>
    <n v="0"/>
    <n v="0"/>
    <n v="1260"/>
    <x v="0"/>
    <n v="1260"/>
  </r>
  <r>
    <x v="63"/>
    <d v="2022-03-29T00:00:00"/>
    <s v="C"/>
    <n v="20"/>
    <n v="7200"/>
    <d v="2022-05-04T00:00:00"/>
    <x v="0"/>
    <n v="4320"/>
    <x v="2"/>
    <d v="2022-06-30T00:00:00"/>
    <x v="2"/>
    <s v="JoeQ1"/>
    <n v="191506.66666666666"/>
    <n v="0.09"/>
    <n v="200000"/>
    <n v="300000"/>
    <n v="388.8"/>
    <n v="0"/>
    <n v="0"/>
    <n v="0"/>
    <n v="0"/>
    <n v="388.8"/>
    <x v="0"/>
    <n v="388.8"/>
  </r>
  <r>
    <x v="64"/>
    <d v="2022-03-29T00:00:00"/>
    <s v="C"/>
    <n v="12"/>
    <n v="5000"/>
    <d v="2022-05-09T00:00:00"/>
    <x v="0"/>
    <n v="5000"/>
    <x v="2"/>
    <d v="2022-06-30T00:00:00"/>
    <x v="2"/>
    <s v="JoeQ1"/>
    <n v="196506.66666666666"/>
    <n v="0.09"/>
    <n v="200000"/>
    <n v="300000"/>
    <n v="450"/>
    <n v="0"/>
    <n v="0"/>
    <n v="0"/>
    <n v="0"/>
    <n v="450"/>
    <x v="0"/>
    <n v="450"/>
  </r>
  <r>
    <x v="65"/>
    <d v="2022-03-31T00:00:00"/>
    <s v="C"/>
    <n v="12"/>
    <n v="25000"/>
    <d v="2022-04-23T00:00:00"/>
    <x v="0"/>
    <n v="25000"/>
    <x v="2"/>
    <d v="2022-06-30T00:00:00"/>
    <x v="2"/>
    <s v="JoeQ1"/>
    <n v="221506.66666666666"/>
    <n v="0.09"/>
    <n v="200000"/>
    <n v="300000"/>
    <n v="2250"/>
    <n v="967.7999999999995"/>
    <n v="967.7999999999995"/>
    <n v="0"/>
    <n v="0"/>
    <n v="3217.7999999999993"/>
    <x v="1"/>
    <n v="3217.7999999999993"/>
  </r>
  <r>
    <x v="66"/>
    <d v="2022-03-31T00:00:00"/>
    <s v="C"/>
    <n v="12"/>
    <n v="17600"/>
    <d v="2022-06-01T00:00:00"/>
    <x v="0"/>
    <n v="17600"/>
    <x v="2"/>
    <d v="2022-06-30T00:00:00"/>
    <x v="2"/>
    <s v="JoeQ1"/>
    <n v="239106.66666666666"/>
    <n v="0.09"/>
    <n v="200000"/>
    <n v="300000"/>
    <n v="1584"/>
    <n v="792"/>
    <n v="1759.7999999999995"/>
    <n v="0"/>
    <n v="0"/>
    <n v="2376"/>
    <x v="1"/>
    <n v="2376"/>
  </r>
  <r>
    <x v="67"/>
    <d v="2022-04-18T00:00:00"/>
    <s v="C"/>
    <n v="12"/>
    <n v="4800"/>
    <d v="2022-06-01T00:00:00"/>
    <x v="1"/>
    <n v="4800"/>
    <x v="2"/>
    <d v="2022-06-30T00:00:00"/>
    <x v="2"/>
    <s v="JoeQ2"/>
    <n v="0"/>
    <n v="7.0000000000000007E-2"/>
    <n v="250000"/>
    <n v="375000"/>
    <n v="336.00000000000006"/>
    <n v="0"/>
    <n v="0"/>
    <n v="0"/>
    <n v="0"/>
    <n v="336.00000000000006"/>
    <x v="0"/>
    <n v="336.00000000000006"/>
  </r>
  <r>
    <x v="68"/>
    <d v="2022-04-23T00:00:00"/>
    <s v="C"/>
    <n v="12"/>
    <n v="1575"/>
    <d v="2022-05-31T00:00:00"/>
    <x v="1"/>
    <n v="1575"/>
    <x v="2"/>
    <d v="2022-06-30T00:00:00"/>
    <x v="2"/>
    <s v="JoeQ2"/>
    <n v="6375"/>
    <n v="7.0000000000000007E-2"/>
    <n v="250000"/>
    <n v="375000"/>
    <n v="110.25000000000001"/>
    <n v="0"/>
    <n v="0"/>
    <n v="0"/>
    <n v="0"/>
    <n v="110.25000000000001"/>
    <x v="0"/>
    <n v="110.25000000000001"/>
  </r>
  <r>
    <x v="69"/>
    <d v="2022-04-25T00:00:00"/>
    <s v="C"/>
    <n v="12"/>
    <n v="32686.3"/>
    <d v="2022-04-30T00:00:00"/>
    <x v="1"/>
    <n v="32686.3"/>
    <x v="2"/>
    <d v="2022-06-30T00:00:00"/>
    <x v="2"/>
    <s v="JoeQ2"/>
    <n v="39061.300000000003"/>
    <n v="7.0000000000000007E-2"/>
    <n v="250000"/>
    <n v="375000"/>
    <n v="2288.0410000000002"/>
    <n v="0"/>
    <n v="0"/>
    <n v="0"/>
    <n v="0"/>
    <n v="2288.0410000000002"/>
    <x v="0"/>
    <n v="2288.0410000000002"/>
  </r>
  <r>
    <x v="70"/>
    <d v="2022-04-30T00:00:00"/>
    <s v="C"/>
    <n v="12"/>
    <n v="46667"/>
    <d v="2022-06-20T00:00:00"/>
    <x v="1"/>
    <n v="46667"/>
    <x v="2"/>
    <d v="2022-06-30T00:00:00"/>
    <x v="2"/>
    <s v="JoeQ2"/>
    <n v="85728.3"/>
    <n v="7.0000000000000007E-2"/>
    <n v="250000"/>
    <n v="375000"/>
    <n v="3266.6900000000005"/>
    <n v="0"/>
    <n v="0"/>
    <n v="0"/>
    <n v="0"/>
    <n v="3266.6900000000005"/>
    <x v="0"/>
    <n v="3266.6900000000005"/>
  </r>
  <r>
    <x v="71"/>
    <d v="2022-04-30T00:00:00"/>
    <s v="C"/>
    <n v="12"/>
    <n v="12000"/>
    <d v="2022-05-03T00:00:00"/>
    <x v="1"/>
    <n v="12000"/>
    <x v="2"/>
    <d v="2022-06-30T00:00:00"/>
    <x v="2"/>
    <s v="JoeQ2"/>
    <n v="97728.3"/>
    <n v="7.0000000000000007E-2"/>
    <n v="250000"/>
    <n v="375000"/>
    <n v="840.00000000000011"/>
    <n v="0"/>
    <n v="0"/>
    <n v="0"/>
    <n v="0"/>
    <n v="840.00000000000011"/>
    <x v="0"/>
    <n v="840.00000000000011"/>
  </r>
  <r>
    <x v="72"/>
    <d v="2022-05-06T00:00:00"/>
    <s v="C"/>
    <n v="30"/>
    <n v="15000"/>
    <d v="2022-05-24T00:00:00"/>
    <x v="1"/>
    <n v="6000"/>
    <x v="2"/>
    <d v="2022-06-30T00:00:00"/>
    <x v="2"/>
    <s v="JoeQ2"/>
    <n v="103728.3"/>
    <n v="7.0000000000000007E-2"/>
    <n v="250000"/>
    <n v="375000"/>
    <n v="420.00000000000006"/>
    <n v="0"/>
    <n v="0"/>
    <n v="0"/>
    <n v="0"/>
    <n v="420.00000000000006"/>
    <x v="0"/>
    <n v="420.00000000000006"/>
  </r>
  <r>
    <x v="73"/>
    <d v="2022-05-09T00:00:00"/>
    <s v="C"/>
    <n v="12"/>
    <n v="10812"/>
    <d v="2022-05-25T00:00:00"/>
    <x v="1"/>
    <n v="10812"/>
    <x v="2"/>
    <d v="2022-06-30T00:00:00"/>
    <x v="2"/>
    <s v="JoeQ2"/>
    <n v="114540.3"/>
    <n v="7.0000000000000007E-2"/>
    <n v="250000"/>
    <n v="375000"/>
    <n v="756.84"/>
    <n v="0"/>
    <n v="0"/>
    <n v="0"/>
    <n v="0"/>
    <n v="756.84"/>
    <x v="0"/>
    <n v="756.84"/>
  </r>
  <r>
    <x v="74"/>
    <d v="2022-06-30T00:00:00"/>
    <s v="C"/>
    <n v="12"/>
    <n v="75000"/>
    <s v=""/>
    <x v="1"/>
    <n v="75000"/>
    <x v="1"/>
    <s v="First Payment Pending"/>
    <x v="2"/>
    <s v="JoeQ2"/>
    <n v="189540.3"/>
    <n v="7.0000000000000007E-2"/>
    <n v="250000"/>
    <n v="375000"/>
    <n v="5250.0000000000009"/>
    <n v="0"/>
    <n v="0"/>
    <n v="0"/>
    <n v="0"/>
    <n v="5250.0000000000009"/>
    <x v="0"/>
    <n v="0"/>
  </r>
  <r>
    <x v="75"/>
    <d v="2022-06-30T00:00:00"/>
    <s v="C"/>
    <n v="12"/>
    <n v="24000"/>
    <s v=""/>
    <x v="1"/>
    <n v="24000"/>
    <x v="1"/>
    <s v="First Payment Pending"/>
    <x v="2"/>
    <s v="JoeQ2"/>
    <n v="213540.3"/>
    <n v="7.0000000000000007E-2"/>
    <n v="250000"/>
    <n v="375000"/>
    <n v="1680.0000000000002"/>
    <n v="0"/>
    <n v="0"/>
    <n v="0"/>
    <n v="0"/>
    <n v="1680.0000000000002"/>
    <x v="0"/>
    <n v="0"/>
  </r>
  <r>
    <x v="76"/>
    <d v="2022-06-30T00:00:00"/>
    <s v="C"/>
    <n v="12"/>
    <n v="64000"/>
    <s v=""/>
    <x v="1"/>
    <n v="64000"/>
    <x v="1"/>
    <s v="First Payment Pending"/>
    <x v="2"/>
    <s v="JoeQ2"/>
    <n v="277540.3"/>
    <n v="7.0000000000000007E-2"/>
    <n v="250000"/>
    <n v="375000"/>
    <n v="4480"/>
    <n v="963.91049999999973"/>
    <n v="963.91049999999973"/>
    <n v="0"/>
    <n v="0"/>
    <n v="5443.9105"/>
    <x v="1"/>
    <n v="0"/>
  </r>
  <r>
    <x v="77"/>
    <d v="2022-01-16T00:00:00"/>
    <s v="D"/>
    <n v="12"/>
    <n v="5500"/>
    <d v="2022-01-20T00:00:00"/>
    <x v="0"/>
    <n v="5500"/>
    <x v="0"/>
    <d v="2022-03-31T00:00:00"/>
    <x v="3"/>
    <s v="LinQ1"/>
    <n v="0"/>
    <n v="0.09"/>
    <n v="400000"/>
    <n v="600000"/>
    <n v="495"/>
    <n v="0"/>
    <n v="0"/>
    <n v="0"/>
    <n v="0"/>
    <n v="495"/>
    <x v="0"/>
    <n v="495"/>
  </r>
  <r>
    <x v="78"/>
    <d v="2022-01-22T00:00:00"/>
    <s v="D"/>
    <n v="12"/>
    <n v="6000"/>
    <d v="2022-03-29T00:00:00"/>
    <x v="0"/>
    <n v="6000"/>
    <x v="0"/>
    <d v="2022-03-31T00:00:00"/>
    <x v="3"/>
    <s v="LinQ1"/>
    <n v="11500"/>
    <n v="0.09"/>
    <n v="400000"/>
    <n v="600000"/>
    <n v="540"/>
    <n v="0"/>
    <n v="0"/>
    <n v="0"/>
    <n v="0"/>
    <n v="540"/>
    <x v="0"/>
    <n v="540"/>
  </r>
  <r>
    <x v="79"/>
    <d v="2022-02-03T00:00:00"/>
    <s v="D"/>
    <n v="12"/>
    <n v="15000"/>
    <d v="2022-03-21T00:00:00"/>
    <x v="0"/>
    <n v="15000"/>
    <x v="0"/>
    <d v="2022-03-31T00:00:00"/>
    <x v="3"/>
    <s v="LinQ1"/>
    <n v="26500"/>
    <n v="0.09"/>
    <n v="400000"/>
    <n v="600000"/>
    <n v="1350"/>
    <n v="0"/>
    <n v="0"/>
    <n v="0"/>
    <n v="0"/>
    <n v="1350"/>
    <x v="0"/>
    <n v="1350"/>
  </r>
  <r>
    <x v="80"/>
    <d v="2022-02-08T00:00:00"/>
    <s v="D"/>
    <n v="36"/>
    <n v="29250"/>
    <d v="2022-03-08T00:00:00"/>
    <x v="0"/>
    <n v="9750"/>
    <x v="0"/>
    <d v="2022-03-31T00:00:00"/>
    <x v="3"/>
    <s v="LinQ1"/>
    <n v="36250"/>
    <n v="0.09"/>
    <n v="400000"/>
    <n v="600000"/>
    <n v="877.5"/>
    <n v="0"/>
    <n v="0"/>
    <n v="0"/>
    <n v="0"/>
    <n v="877.5"/>
    <x v="0"/>
    <n v="877.5"/>
  </r>
  <r>
    <x v="81"/>
    <d v="2022-02-21T00:00:00"/>
    <s v="D"/>
    <n v="12"/>
    <n v="31140"/>
    <d v="2022-03-11T00:00:00"/>
    <x v="0"/>
    <n v="31140"/>
    <x v="0"/>
    <d v="2022-03-31T00:00:00"/>
    <x v="3"/>
    <s v="LinQ1"/>
    <n v="67390"/>
    <n v="0.09"/>
    <n v="400000"/>
    <n v="600000"/>
    <n v="2802.6"/>
    <n v="0"/>
    <n v="0"/>
    <n v="0"/>
    <n v="0"/>
    <n v="2802.6"/>
    <x v="0"/>
    <n v="2802.6"/>
  </r>
  <r>
    <x v="82"/>
    <d v="2022-02-24T00:00:00"/>
    <s v="D"/>
    <n v="12"/>
    <n v="12500"/>
    <d v="2022-04-10T00:00:00"/>
    <x v="0"/>
    <n v="12500"/>
    <x v="2"/>
    <d v="2022-06-30T00:00:00"/>
    <x v="3"/>
    <s v="LinQ1"/>
    <n v="79890"/>
    <n v="0.09"/>
    <n v="400000"/>
    <n v="600000"/>
    <n v="1125"/>
    <n v="0"/>
    <n v="0"/>
    <n v="0"/>
    <n v="0"/>
    <n v="1125"/>
    <x v="0"/>
    <n v="1125"/>
  </r>
  <r>
    <x v="83"/>
    <d v="2022-02-26T00:00:00"/>
    <s v="D"/>
    <n v="12"/>
    <n v="26500"/>
    <d v="2022-03-29T00:00:00"/>
    <x v="0"/>
    <n v="26500"/>
    <x v="0"/>
    <d v="2022-03-31T00:00:00"/>
    <x v="3"/>
    <s v="LinQ1"/>
    <n v="106390"/>
    <n v="0.09"/>
    <n v="400000"/>
    <n v="600000"/>
    <n v="2385"/>
    <n v="0"/>
    <n v="0"/>
    <n v="0"/>
    <n v="0"/>
    <n v="2385"/>
    <x v="0"/>
    <n v="2385"/>
  </r>
  <r>
    <x v="84"/>
    <d v="2022-02-26T00:00:00"/>
    <s v="D"/>
    <n v="12"/>
    <n v="1500"/>
    <d v="2022-03-27T00:00:00"/>
    <x v="0"/>
    <n v="1500"/>
    <x v="0"/>
    <d v="2022-03-31T00:00:00"/>
    <x v="3"/>
    <s v="LinQ1"/>
    <n v="107890"/>
    <n v="0.09"/>
    <n v="400000"/>
    <n v="600000"/>
    <n v="135"/>
    <n v="0"/>
    <n v="0"/>
    <n v="0"/>
    <n v="0"/>
    <n v="135"/>
    <x v="0"/>
    <n v="135"/>
  </r>
  <r>
    <x v="85"/>
    <d v="2022-02-27T00:00:00"/>
    <s v="D"/>
    <n v="20"/>
    <n v="8750"/>
    <d v="2022-05-11T00:00:00"/>
    <x v="0"/>
    <n v="5250"/>
    <x v="2"/>
    <d v="2022-06-30T00:00:00"/>
    <x v="3"/>
    <s v="LinQ1"/>
    <n v="113140"/>
    <n v="0.09"/>
    <n v="400000"/>
    <n v="600000"/>
    <n v="472.5"/>
    <n v="0"/>
    <n v="0"/>
    <n v="0"/>
    <n v="0"/>
    <n v="472.5"/>
    <x v="0"/>
    <n v="472.5"/>
  </r>
  <r>
    <x v="86"/>
    <d v="2022-03-02T00:00:00"/>
    <s v="D"/>
    <n v="12"/>
    <n v="12000"/>
    <d v="2022-03-25T00:00:00"/>
    <x v="0"/>
    <n v="12000"/>
    <x v="0"/>
    <d v="2022-03-31T00:00:00"/>
    <x v="3"/>
    <s v="LinQ1"/>
    <n v="125140"/>
    <n v="0.09"/>
    <n v="400000"/>
    <n v="600000"/>
    <n v="1080"/>
    <n v="0"/>
    <n v="0"/>
    <n v="0"/>
    <n v="0"/>
    <n v="1080"/>
    <x v="0"/>
    <n v="1080"/>
  </r>
  <r>
    <x v="87"/>
    <d v="2022-03-05T00:00:00"/>
    <s v="D"/>
    <n v="12"/>
    <n v="5600"/>
    <d v="2022-05-01T00:00:00"/>
    <x v="0"/>
    <n v="5600"/>
    <x v="2"/>
    <d v="2022-06-30T00:00:00"/>
    <x v="3"/>
    <s v="LinQ1"/>
    <n v="130740"/>
    <n v="0.09"/>
    <n v="400000"/>
    <n v="600000"/>
    <n v="504"/>
    <n v="0"/>
    <n v="0"/>
    <n v="0"/>
    <n v="0"/>
    <n v="504"/>
    <x v="0"/>
    <n v="504"/>
  </r>
  <r>
    <x v="88"/>
    <d v="2022-03-06T00:00:00"/>
    <s v="D"/>
    <n v="36"/>
    <n v="15000"/>
    <d v="2022-04-05T00:00:00"/>
    <x v="0"/>
    <n v="5000"/>
    <x v="2"/>
    <d v="2022-06-30T00:00:00"/>
    <x v="3"/>
    <s v="LinQ1"/>
    <n v="135740"/>
    <n v="0.09"/>
    <n v="400000"/>
    <n v="600000"/>
    <n v="450"/>
    <n v="0"/>
    <n v="0"/>
    <n v="0"/>
    <n v="0"/>
    <n v="450"/>
    <x v="0"/>
    <n v="450"/>
  </r>
  <r>
    <x v="89"/>
    <d v="2022-03-09T00:00:00"/>
    <s v="D"/>
    <n v="12"/>
    <n v="64000"/>
    <d v="2022-06-01T00:00:00"/>
    <x v="0"/>
    <n v="64000"/>
    <x v="2"/>
    <d v="2022-06-30T00:00:00"/>
    <x v="3"/>
    <s v="LinQ1"/>
    <n v="199740"/>
    <n v="0.09"/>
    <n v="400000"/>
    <n v="600000"/>
    <n v="5760"/>
    <n v="0"/>
    <n v="0"/>
    <n v="0"/>
    <n v="0"/>
    <n v="5760"/>
    <x v="0"/>
    <n v="5760"/>
  </r>
  <r>
    <x v="90"/>
    <d v="2022-03-13T00:00:00"/>
    <s v="D"/>
    <n v="36"/>
    <n v="15000"/>
    <d v="2022-03-14T00:00:00"/>
    <x v="0"/>
    <n v="5000"/>
    <x v="0"/>
    <d v="2022-03-31T00:00:00"/>
    <x v="3"/>
    <s v="LinQ1"/>
    <n v="204740"/>
    <n v="0.09"/>
    <n v="400000"/>
    <n v="600000"/>
    <n v="450"/>
    <n v="0"/>
    <n v="0"/>
    <n v="0"/>
    <n v="0"/>
    <n v="450"/>
    <x v="0"/>
    <n v="450"/>
  </r>
  <r>
    <x v="91"/>
    <d v="2022-03-16T00:00:00"/>
    <s v="D"/>
    <n v="12"/>
    <n v="2000"/>
    <d v="2022-05-14T00:00:00"/>
    <x v="0"/>
    <n v="2000"/>
    <x v="2"/>
    <d v="2022-06-30T00:00:00"/>
    <x v="3"/>
    <s v="LinQ1"/>
    <n v="206740"/>
    <n v="0.09"/>
    <n v="400000"/>
    <n v="600000"/>
    <n v="180"/>
    <n v="0"/>
    <n v="0"/>
    <n v="0"/>
    <n v="0"/>
    <n v="180"/>
    <x v="0"/>
    <n v="180"/>
  </r>
  <r>
    <x v="92"/>
    <d v="2022-03-21T00:00:00"/>
    <s v="D"/>
    <n v="30"/>
    <n v="18000"/>
    <d v="2022-04-19T00:00:00"/>
    <x v="0"/>
    <n v="7200"/>
    <x v="2"/>
    <d v="2022-06-30T00:00:00"/>
    <x v="3"/>
    <s v="LinQ1"/>
    <n v="213940"/>
    <n v="0.09"/>
    <n v="400000"/>
    <n v="600000"/>
    <n v="648"/>
    <n v="0"/>
    <n v="0"/>
    <n v="0"/>
    <n v="0"/>
    <n v="648"/>
    <x v="0"/>
    <n v="648"/>
  </r>
  <r>
    <x v="93"/>
    <d v="2022-03-22T00:00:00"/>
    <s v="D"/>
    <n v="12"/>
    <n v="25000"/>
    <d v="2022-05-29T00:00:00"/>
    <x v="0"/>
    <n v="25000"/>
    <x v="2"/>
    <d v="2022-06-30T00:00:00"/>
    <x v="3"/>
    <s v="LinQ1"/>
    <n v="238940"/>
    <n v="0.09"/>
    <n v="400000"/>
    <n v="600000"/>
    <n v="2250"/>
    <n v="0"/>
    <n v="0"/>
    <n v="0"/>
    <n v="0"/>
    <n v="2250"/>
    <x v="0"/>
    <n v="2250"/>
  </r>
  <r>
    <x v="94"/>
    <d v="2022-03-23T00:00:00"/>
    <s v="D"/>
    <n v="12"/>
    <n v="3000"/>
    <d v="2022-04-13T00:00:00"/>
    <x v="0"/>
    <n v="3000"/>
    <x v="2"/>
    <d v="2022-06-30T00:00:00"/>
    <x v="3"/>
    <s v="LinQ1"/>
    <n v="241940"/>
    <n v="0.09"/>
    <n v="400000"/>
    <n v="600000"/>
    <n v="270"/>
    <n v="0"/>
    <n v="0"/>
    <n v="0"/>
    <n v="0"/>
    <n v="270"/>
    <x v="0"/>
    <n v="270"/>
  </r>
  <r>
    <x v="95"/>
    <d v="2022-03-26T00:00:00"/>
    <s v="D"/>
    <n v="12"/>
    <n v="12000"/>
    <d v="2022-05-04T00:00:00"/>
    <x v="0"/>
    <n v="12000"/>
    <x v="2"/>
    <d v="2022-06-30T00:00:00"/>
    <x v="3"/>
    <s v="LinQ1"/>
    <n v="253940"/>
    <n v="0.09"/>
    <n v="400000"/>
    <n v="600000"/>
    <n v="1080"/>
    <n v="0"/>
    <n v="0"/>
    <n v="0"/>
    <n v="0"/>
    <n v="1080"/>
    <x v="0"/>
    <n v="1080"/>
  </r>
  <r>
    <x v="96"/>
    <d v="2022-03-26T00:00:00"/>
    <s v="D"/>
    <n v="30"/>
    <n v="3000"/>
    <d v="2022-04-07T00:00:00"/>
    <x v="0"/>
    <n v="1200"/>
    <x v="2"/>
    <d v="2022-06-30T00:00:00"/>
    <x v="3"/>
    <s v="LinQ1"/>
    <n v="255140"/>
    <n v="0.09"/>
    <n v="400000"/>
    <n v="600000"/>
    <n v="108"/>
    <n v="0"/>
    <n v="0"/>
    <n v="0"/>
    <n v="0"/>
    <n v="108"/>
    <x v="0"/>
    <n v="108"/>
  </r>
  <r>
    <x v="97"/>
    <d v="2022-03-27T00:00:00"/>
    <s v="D"/>
    <n v="20"/>
    <n v="8025"/>
    <d v="2022-04-24T00:00:00"/>
    <x v="0"/>
    <n v="4815"/>
    <x v="2"/>
    <d v="2022-06-30T00:00:00"/>
    <x v="3"/>
    <s v="LinQ1"/>
    <n v="259955"/>
    <n v="0.09"/>
    <n v="400000"/>
    <n v="600000"/>
    <n v="433.34999999999997"/>
    <n v="0"/>
    <n v="0"/>
    <n v="0"/>
    <n v="0"/>
    <n v="433.34999999999997"/>
    <x v="0"/>
    <n v="433.34999999999997"/>
  </r>
  <r>
    <x v="98"/>
    <d v="2022-03-28T00:00:00"/>
    <s v="D"/>
    <n v="30"/>
    <n v="27500"/>
    <d v="2022-04-05T00:00:00"/>
    <x v="0"/>
    <n v="11000"/>
    <x v="2"/>
    <d v="2022-06-30T00:00:00"/>
    <x v="3"/>
    <s v="LinQ1"/>
    <n v="270955"/>
    <n v="0.09"/>
    <n v="400000"/>
    <n v="600000"/>
    <n v="990"/>
    <n v="0"/>
    <n v="0"/>
    <n v="0"/>
    <n v="0"/>
    <n v="990"/>
    <x v="0"/>
    <n v="990"/>
  </r>
  <r>
    <x v="99"/>
    <d v="2022-03-28T00:00:00"/>
    <s v="D"/>
    <n v="12"/>
    <n v="18000"/>
    <d v="2022-04-02T00:00:00"/>
    <x v="0"/>
    <n v="18000"/>
    <x v="2"/>
    <d v="2022-06-30T00:00:00"/>
    <x v="3"/>
    <s v="LinQ1"/>
    <n v="288955"/>
    <n v="0.09"/>
    <n v="400000"/>
    <n v="600000"/>
    <n v="1620"/>
    <n v="0"/>
    <n v="0"/>
    <n v="0"/>
    <n v="0"/>
    <n v="1620"/>
    <x v="0"/>
    <n v="1620"/>
  </r>
  <r>
    <x v="100"/>
    <d v="2022-03-29T00:00:00"/>
    <s v="D"/>
    <n v="12"/>
    <n v="2400"/>
    <d v="2022-04-02T00:00:00"/>
    <x v="0"/>
    <n v="2400"/>
    <x v="2"/>
    <d v="2022-06-30T00:00:00"/>
    <x v="3"/>
    <s v="LinQ1"/>
    <n v="291355"/>
    <n v="0.09"/>
    <n v="400000"/>
    <n v="600000"/>
    <n v="216"/>
    <n v="0"/>
    <n v="0"/>
    <n v="0"/>
    <n v="0"/>
    <n v="216"/>
    <x v="0"/>
    <n v="216"/>
  </r>
  <r>
    <x v="101"/>
    <d v="2022-03-29T00:00:00"/>
    <s v="D"/>
    <n v="12"/>
    <n v="8500"/>
    <d v="2022-06-06T00:00:00"/>
    <x v="0"/>
    <n v="8500"/>
    <x v="2"/>
    <d v="2022-06-30T00:00:00"/>
    <x v="3"/>
    <s v="LinQ1"/>
    <n v="299855"/>
    <n v="0.09"/>
    <n v="400000"/>
    <n v="600000"/>
    <n v="765"/>
    <n v="0"/>
    <n v="0"/>
    <n v="0"/>
    <n v="0"/>
    <n v="765"/>
    <x v="0"/>
    <n v="765"/>
  </r>
  <r>
    <x v="102"/>
    <d v="2022-03-31T00:00:00"/>
    <s v="D"/>
    <n v="12"/>
    <n v="15000"/>
    <d v="2022-04-06T00:00:00"/>
    <x v="0"/>
    <n v="15000"/>
    <x v="2"/>
    <d v="2022-06-30T00:00:00"/>
    <x v="3"/>
    <s v="LinQ1"/>
    <n v="314855"/>
    <n v="0.09"/>
    <n v="400000"/>
    <n v="600000"/>
    <n v="1350"/>
    <n v="0"/>
    <n v="0"/>
    <n v="0"/>
    <n v="0"/>
    <n v="1350"/>
    <x v="0"/>
    <n v="1350"/>
  </r>
  <r>
    <x v="103"/>
    <d v="2022-03-31T00:00:00"/>
    <s v="D"/>
    <n v="12"/>
    <n v="5000"/>
    <d v="2022-04-21T00:00:00"/>
    <x v="0"/>
    <n v="5000"/>
    <x v="2"/>
    <d v="2022-06-30T00:00:00"/>
    <x v="3"/>
    <s v="LinQ1"/>
    <n v="319855"/>
    <n v="0.09"/>
    <n v="400000"/>
    <n v="600000"/>
    <n v="450"/>
    <n v="0"/>
    <n v="0"/>
    <n v="0"/>
    <n v="0"/>
    <n v="450"/>
    <x v="0"/>
    <n v="450"/>
  </r>
  <r>
    <x v="104"/>
    <d v="2022-03-31T00:00:00"/>
    <s v="D"/>
    <n v="12"/>
    <n v="57500"/>
    <d v="2022-04-10T00:00:00"/>
    <x v="0"/>
    <n v="57500"/>
    <x v="2"/>
    <d v="2022-06-30T00:00:00"/>
    <x v="3"/>
    <s v="LinQ1"/>
    <n v="377355"/>
    <n v="0.09"/>
    <n v="400000"/>
    <n v="600000"/>
    <n v="5175"/>
    <n v="0"/>
    <n v="0"/>
    <n v="0"/>
    <n v="0"/>
    <n v="5175"/>
    <x v="0"/>
    <n v="5175"/>
  </r>
  <r>
    <x v="105"/>
    <d v="2022-04-17T00:00:00"/>
    <s v="D"/>
    <n v="12"/>
    <n v="26052"/>
    <d v="2022-05-24T00:00:00"/>
    <x v="1"/>
    <n v="26052"/>
    <x v="2"/>
    <d v="2022-06-30T00:00:00"/>
    <x v="3"/>
    <s v="LinQ2"/>
    <n v="0"/>
    <n v="0.08"/>
    <n v="450000"/>
    <n v="675000"/>
    <n v="2084.16"/>
    <n v="0"/>
    <n v="0"/>
    <n v="0"/>
    <n v="0"/>
    <n v="2084.16"/>
    <x v="0"/>
    <n v="2084.16"/>
  </r>
  <r>
    <x v="106"/>
    <d v="2022-04-28T00:00:00"/>
    <s v="D"/>
    <n v="12"/>
    <n v="15400"/>
    <d v="2022-06-03T00:00:00"/>
    <x v="1"/>
    <n v="15400"/>
    <x v="2"/>
    <d v="2022-06-30T00:00:00"/>
    <x v="3"/>
    <s v="LinQ2"/>
    <n v="41452"/>
    <n v="0.08"/>
    <n v="450000"/>
    <n v="675000"/>
    <n v="1232"/>
    <n v="0"/>
    <n v="0"/>
    <n v="0"/>
    <n v="0"/>
    <n v="1232"/>
    <x v="0"/>
    <n v="1232"/>
  </r>
  <r>
    <x v="107"/>
    <d v="2022-04-30T00:00:00"/>
    <s v="D"/>
    <n v="36"/>
    <n v="28500"/>
    <d v="2022-06-11T00:00:00"/>
    <x v="1"/>
    <n v="9500"/>
    <x v="2"/>
    <d v="2022-06-30T00:00:00"/>
    <x v="3"/>
    <s v="LinQ2"/>
    <n v="50952"/>
    <n v="0.08"/>
    <n v="450000"/>
    <n v="675000"/>
    <n v="760"/>
    <n v="0"/>
    <n v="0"/>
    <n v="0"/>
    <n v="0"/>
    <n v="760"/>
    <x v="0"/>
    <n v="760"/>
  </r>
  <r>
    <x v="108"/>
    <d v="2022-04-30T00:00:00"/>
    <s v="D"/>
    <n v="12"/>
    <n v="72000"/>
    <d v="2022-05-20T00:00:00"/>
    <x v="1"/>
    <n v="72000"/>
    <x v="2"/>
    <d v="2022-06-30T00:00:00"/>
    <x v="3"/>
    <s v="LinQ2"/>
    <n v="122952"/>
    <n v="0.08"/>
    <n v="450000"/>
    <n v="675000"/>
    <n v="5760"/>
    <n v="0"/>
    <n v="0"/>
    <n v="0"/>
    <n v="0"/>
    <n v="5760"/>
    <x v="0"/>
    <n v="5760"/>
  </r>
  <r>
    <x v="109"/>
    <d v="2022-05-03T00:00:00"/>
    <s v="D"/>
    <n v="12"/>
    <n v="24000"/>
    <d v="2022-05-11T00:00:00"/>
    <x v="1"/>
    <n v="24000"/>
    <x v="2"/>
    <d v="2022-06-30T00:00:00"/>
    <x v="3"/>
    <s v="LinQ2"/>
    <n v="146952"/>
    <n v="0.08"/>
    <n v="450000"/>
    <n v="675000"/>
    <n v="1920"/>
    <n v="0"/>
    <n v="0"/>
    <n v="0"/>
    <n v="0"/>
    <n v="1920"/>
    <x v="0"/>
    <n v="1920"/>
  </r>
  <r>
    <x v="110"/>
    <d v="2022-05-03T00:00:00"/>
    <s v="D"/>
    <n v="30"/>
    <n v="15000"/>
    <d v="2022-05-07T00:00:00"/>
    <x v="1"/>
    <n v="6000"/>
    <x v="2"/>
    <d v="2022-06-30T00:00:00"/>
    <x v="3"/>
    <s v="LinQ2"/>
    <n v="152952"/>
    <n v="0.08"/>
    <n v="450000"/>
    <n v="675000"/>
    <n v="480"/>
    <n v="0"/>
    <n v="0"/>
    <n v="0"/>
    <n v="0"/>
    <n v="480"/>
    <x v="0"/>
    <n v="480"/>
  </r>
  <r>
    <x v="111"/>
    <d v="2022-05-26T00:00:00"/>
    <s v="D"/>
    <n v="20"/>
    <n v="7200"/>
    <d v="2022-05-23T00:00:00"/>
    <x v="1"/>
    <n v="4320"/>
    <x v="2"/>
    <d v="2022-06-30T00:00:00"/>
    <x v="3"/>
    <s v="LinQ2"/>
    <n v="157272"/>
    <n v="0.08"/>
    <n v="450000"/>
    <n v="675000"/>
    <n v="345.6"/>
    <n v="0"/>
    <n v="0"/>
    <n v="0"/>
    <n v="0"/>
    <n v="345.6"/>
    <x v="0"/>
    <n v="345.6"/>
  </r>
  <r>
    <x v="112"/>
    <d v="2022-06-02T00:00:00"/>
    <s v="D"/>
    <n v="12"/>
    <n v="200000"/>
    <d v="2022-06-22T00:00:00"/>
    <x v="1"/>
    <n v="200000"/>
    <x v="2"/>
    <d v="2022-06-30T00:00:00"/>
    <x v="3"/>
    <s v="LinQ2"/>
    <n v="357272"/>
    <n v="0.08"/>
    <n v="450000"/>
    <n v="675000"/>
    <n v="16000"/>
    <n v="0"/>
    <n v="0"/>
    <n v="0"/>
    <n v="0"/>
    <n v="16000"/>
    <x v="0"/>
    <n v="16000"/>
  </r>
  <r>
    <x v="113"/>
    <d v="2022-06-28T00:00:00"/>
    <s v="D"/>
    <n v="12"/>
    <n v="90000"/>
    <s v=""/>
    <x v="1"/>
    <n v="90000"/>
    <x v="1"/>
    <s v="First Payment Pending"/>
    <x v="3"/>
    <s v="LinQ2"/>
    <n v="447272"/>
    <n v="0.08"/>
    <n v="450000"/>
    <n v="675000"/>
    <n v="7200"/>
    <n v="0"/>
    <n v="0"/>
    <n v="0"/>
    <n v="0"/>
    <n v="7200"/>
    <x v="0"/>
    <n v="0"/>
  </r>
  <r>
    <x v="114"/>
    <d v="2022-06-30T00:00:00"/>
    <s v="D"/>
    <n v="12"/>
    <n v="15600"/>
    <s v=""/>
    <x v="1"/>
    <n v="15600"/>
    <x v="1"/>
    <s v="First Payment Pending"/>
    <x v="3"/>
    <s v="LinQ2"/>
    <n v="462872"/>
    <n v="0.08"/>
    <n v="450000"/>
    <n v="675000"/>
    <n v="1248"/>
    <n v="514.88"/>
    <n v="514.88"/>
    <n v="0"/>
    <n v="0"/>
    <n v="1762.88"/>
    <x v="1"/>
    <n v="0"/>
  </r>
  <r>
    <x v="115"/>
    <d v="2022-06-30T00:00:00"/>
    <s v="D"/>
    <n v="12"/>
    <n v="34000"/>
    <s v=""/>
    <x v="1"/>
    <n v="34000"/>
    <x v="1"/>
    <s v="First Payment Pending"/>
    <x v="3"/>
    <s v="LinQ2"/>
    <n v="496872"/>
    <n v="0.08"/>
    <n v="450000"/>
    <n v="675000"/>
    <n v="2720"/>
    <n v="1360"/>
    <n v="1874.88"/>
    <n v="0"/>
    <n v="0"/>
    <n v="4080"/>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2D83B-D01D-49E4-8082-574FCC4DDA77}" name="PivotTable14" cacheId="18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E Name">
  <location ref="A37:F43" firstHeaderRow="1" firstDataRow="2" firstDataCol="1"/>
  <pivotFields count="24">
    <pivotField showAll="0"/>
    <pivotField numFmtId="14" showAll="0"/>
    <pivotField showAll="0"/>
    <pivotField showAll="0"/>
    <pivotField numFmtId="43" showAll="0"/>
    <pivotField showAll="0"/>
    <pivotField showAll="0"/>
    <pivotField numFmtId="43" showAll="0"/>
    <pivotField axis="axisCol" showAll="0">
      <items count="5">
        <item x="0"/>
        <item x="2"/>
        <item x="1"/>
        <item x="3"/>
        <item t="default"/>
      </items>
    </pivotField>
    <pivotField showAll="0"/>
    <pivotField axis="axisRow" showAll="0">
      <items count="5">
        <item x="0"/>
        <item x="1"/>
        <item x="2"/>
        <item x="3"/>
        <item t="default"/>
      </items>
    </pivotField>
    <pivotField showAll="0"/>
    <pivotField numFmtId="43" showAll="0"/>
    <pivotField numFmtId="9" showAll="0"/>
    <pivotField numFmtId="43" showAll="0"/>
    <pivotField numFmtId="43" showAll="0"/>
    <pivotField numFmtId="43" showAll="0"/>
    <pivotField numFmtId="43" showAll="0"/>
    <pivotField numFmtId="43" showAll="0"/>
    <pivotField numFmtId="43" showAll="0"/>
    <pivotField numFmtId="43" showAll="0"/>
    <pivotField numFmtId="43" showAll="0"/>
    <pivotField showAll="0"/>
    <pivotField dataField="1" numFmtId="43" showAll="0"/>
  </pivotFields>
  <rowFields count="1">
    <field x="10"/>
  </rowFields>
  <rowItems count="5">
    <i>
      <x/>
    </i>
    <i>
      <x v="1"/>
    </i>
    <i>
      <x v="2"/>
    </i>
    <i>
      <x v="3"/>
    </i>
    <i t="grand">
      <x/>
    </i>
  </rowItems>
  <colFields count="1">
    <field x="8"/>
  </colFields>
  <colItems count="5">
    <i>
      <x/>
    </i>
    <i>
      <x v="1"/>
    </i>
    <i>
      <x v="2"/>
    </i>
    <i>
      <x v="3"/>
    </i>
    <i t="grand">
      <x/>
    </i>
  </colItems>
  <dataFields count="1">
    <dataField name="Total Commission Released" fld="23" baseField="0" baseItem="0" numFmtId="43"/>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93698C-AF89-41AF-9064-89DC9C15626D}" name="PivotTable13" cacheId="18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E Name" colHeaderCaption="Quarters">
  <location ref="A27:D33" firstHeaderRow="1" firstDataRow="2" firstDataCol="1"/>
  <pivotFields count="24">
    <pivotField showAll="0"/>
    <pivotField numFmtId="14" showAll="0"/>
    <pivotField showAll="0"/>
    <pivotField showAll="0"/>
    <pivotField numFmtId="43" showAll="0"/>
    <pivotField showAll="0"/>
    <pivotField axis="axisCol" showAll="0">
      <items count="3">
        <item x="0"/>
        <item x="1"/>
        <item t="default"/>
      </items>
    </pivotField>
    <pivotField numFmtId="43" showAll="0"/>
    <pivotField showAll="0"/>
    <pivotField showAll="0"/>
    <pivotField axis="axisRow" showAll="0">
      <items count="5">
        <item x="0"/>
        <item x="1"/>
        <item x="2"/>
        <item x="3"/>
        <item t="default"/>
      </items>
    </pivotField>
    <pivotField showAll="0"/>
    <pivotField numFmtId="43" showAll="0"/>
    <pivotField numFmtId="9" showAll="0"/>
    <pivotField numFmtId="43" showAll="0"/>
    <pivotField numFmtId="43" showAll="0"/>
    <pivotField numFmtId="43" showAll="0"/>
    <pivotField numFmtId="43" showAll="0"/>
    <pivotField numFmtId="43" showAll="0"/>
    <pivotField numFmtId="43" showAll="0"/>
    <pivotField numFmtId="43" showAll="0"/>
    <pivotField dataField="1" numFmtId="43" showAll="0"/>
    <pivotField showAll="0"/>
    <pivotField numFmtId="43" showAll="0"/>
  </pivotFields>
  <rowFields count="1">
    <field x="10"/>
  </rowFields>
  <rowItems count="5">
    <i>
      <x/>
    </i>
    <i>
      <x v="1"/>
    </i>
    <i>
      <x v="2"/>
    </i>
    <i>
      <x v="3"/>
    </i>
    <i t="grand">
      <x/>
    </i>
  </rowItems>
  <colFields count="1">
    <field x="6"/>
  </colFields>
  <colItems count="3">
    <i>
      <x/>
    </i>
    <i>
      <x v="1"/>
    </i>
    <i t="grand">
      <x/>
    </i>
  </colItems>
  <dataFields count="1">
    <dataField name="Total Commission Earned" fld="21" baseField="0" baseItem="0" numFmtId="43"/>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5C3D99-7EA6-406A-9FB0-94DCCF1C49BA}" name="PivotTable12" cacheId="18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E Name" colHeaderCaption="Quarters">
  <location ref="A17:D23" firstHeaderRow="1" firstDataRow="2" firstDataCol="1"/>
  <pivotFields count="24">
    <pivotField showAll="0"/>
    <pivotField numFmtId="14" showAll="0"/>
    <pivotField showAll="0"/>
    <pivotField showAll="0"/>
    <pivotField numFmtId="43" showAll="0"/>
    <pivotField showAll="0"/>
    <pivotField axis="axisCol" showAll="0">
      <items count="3">
        <item x="0"/>
        <item x="1"/>
        <item t="default"/>
      </items>
    </pivotField>
    <pivotField dataField="1" numFmtId="43" showAll="0"/>
    <pivotField showAll="0"/>
    <pivotField showAll="0"/>
    <pivotField axis="axisRow" showAll="0">
      <items count="5">
        <item x="0"/>
        <item x="1"/>
        <item x="2"/>
        <item x="3"/>
        <item t="default"/>
      </items>
    </pivotField>
    <pivotField showAll="0"/>
    <pivotField numFmtId="43" showAll="0"/>
    <pivotField numFmtId="9" showAll="0"/>
    <pivotField numFmtId="43" showAll="0"/>
    <pivotField numFmtId="43" showAll="0"/>
    <pivotField numFmtId="43" showAll="0"/>
    <pivotField numFmtId="43" showAll="0"/>
    <pivotField numFmtId="43" showAll="0"/>
    <pivotField numFmtId="43" showAll="0"/>
    <pivotField numFmtId="43" showAll="0"/>
    <pivotField numFmtId="43" showAll="0"/>
    <pivotField showAll="0"/>
    <pivotField numFmtId="43" showAll="0"/>
  </pivotFields>
  <rowFields count="1">
    <field x="10"/>
  </rowFields>
  <rowItems count="5">
    <i>
      <x/>
    </i>
    <i>
      <x v="1"/>
    </i>
    <i>
      <x v="2"/>
    </i>
    <i>
      <x v="3"/>
    </i>
    <i t="grand">
      <x/>
    </i>
  </rowItems>
  <colFields count="1">
    <field x="6"/>
  </colFields>
  <colItems count="3">
    <i>
      <x/>
    </i>
    <i>
      <x v="1"/>
    </i>
    <i t="grand">
      <x/>
    </i>
  </colItems>
  <dataFields count="1">
    <dataField name="Quota Attainment By Quarter" fld="7" baseField="0" baseItem="0" numFmtId="43"/>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8705C7-2F9B-48E2-B627-BF88CF72755B}" name="PivotTable11" cacheId="18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E Name" colHeaderCaption="Qualifies for Multipliers">
  <location ref="A3:D9" firstHeaderRow="1" firstDataRow="2" firstDataCol="1"/>
  <pivotFields count="24">
    <pivotField showAll="0"/>
    <pivotField numFmtId="14" showAll="0"/>
    <pivotField showAll="0"/>
    <pivotField showAll="0"/>
    <pivotField numFmtId="43" showAll="0"/>
    <pivotField showAll="0"/>
    <pivotField showAll="0"/>
    <pivotField dataField="1" numFmtId="43" showAll="0"/>
    <pivotField showAll="0"/>
    <pivotField showAll="0"/>
    <pivotField axis="axisRow" showAll="0">
      <items count="5">
        <item x="0"/>
        <item x="1"/>
        <item x="2"/>
        <item x="3"/>
        <item t="default"/>
      </items>
    </pivotField>
    <pivotField showAll="0"/>
    <pivotField numFmtId="43" showAll="0"/>
    <pivotField numFmtId="9" showAll="0"/>
    <pivotField numFmtId="43" showAll="0"/>
    <pivotField numFmtId="43" showAll="0"/>
    <pivotField numFmtId="43" showAll="0"/>
    <pivotField numFmtId="43" showAll="0"/>
    <pivotField numFmtId="43" showAll="0"/>
    <pivotField numFmtId="43" showAll="0"/>
    <pivotField numFmtId="43" showAll="0"/>
    <pivotField numFmtId="43" showAll="0"/>
    <pivotField axis="axisCol" showAll="0">
      <items count="3">
        <item x="0"/>
        <item x="1"/>
        <item t="default"/>
      </items>
    </pivotField>
    <pivotField numFmtId="43" showAll="0"/>
  </pivotFields>
  <rowFields count="1">
    <field x="10"/>
  </rowFields>
  <rowItems count="5">
    <i>
      <x/>
    </i>
    <i>
      <x v="1"/>
    </i>
    <i>
      <x v="2"/>
    </i>
    <i>
      <x v="3"/>
    </i>
    <i t="grand">
      <x/>
    </i>
  </rowItems>
  <colFields count="1">
    <field x="22"/>
  </colFields>
  <colItems count="3">
    <i>
      <x/>
    </i>
    <i>
      <x v="1"/>
    </i>
    <i t="grand">
      <x/>
    </i>
  </colItems>
  <dataFields count="1">
    <dataField name="Qualifing Commissionable ARR " fld="7" baseField="0" baseItem="0" numFmtId="43"/>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8FBDB1-1A27-47B7-BC8A-596B4F0A9083}" name="Commissionable ARR per deal" cacheId="18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pportunity ID">
  <location ref="L3:M120" firstHeaderRow="1" firstDataRow="1" firstDataCol="1"/>
  <pivotFields count="24">
    <pivotField axis="axisRow" showAll="0">
      <items count="117">
        <item x="10"/>
        <item x="48"/>
        <item x="70"/>
        <item x="109"/>
        <item x="27"/>
        <item x="47"/>
        <item x="69"/>
        <item x="107"/>
        <item x="24"/>
        <item x="44"/>
        <item x="68"/>
        <item x="108"/>
        <item x="25"/>
        <item x="46"/>
        <item x="95"/>
        <item x="60"/>
        <item x="93"/>
        <item x="40"/>
        <item x="58"/>
        <item x="98"/>
        <item x="61"/>
        <item x="96"/>
        <item x="15"/>
        <item x="39"/>
        <item x="92"/>
        <item x="11"/>
        <item x="12"/>
        <item x="38"/>
        <item x="57"/>
        <item x="78"/>
        <item x="55"/>
        <item x="5"/>
        <item x="54"/>
        <item x="87"/>
        <item x="9"/>
        <item x="85"/>
        <item x="81"/>
        <item x="6"/>
        <item x="86"/>
        <item x="7"/>
        <item x="83"/>
        <item x="84"/>
        <item x="105"/>
        <item x="23"/>
        <item x="63"/>
        <item x="102"/>
        <item x="20"/>
        <item x="65"/>
        <item x="103"/>
        <item x="21"/>
        <item x="43"/>
        <item x="67"/>
        <item x="104"/>
        <item x="22"/>
        <item x="66"/>
        <item x="112"/>
        <item x="100"/>
        <item x="16"/>
        <item x="45"/>
        <item x="64"/>
        <item x="99"/>
        <item x="62"/>
        <item x="91"/>
        <item x="17"/>
        <item x="19"/>
        <item x="42"/>
        <item x="101"/>
        <item x="18"/>
        <item x="77"/>
        <item x="41"/>
        <item x="59"/>
        <item x="111"/>
        <item x="29"/>
        <item x="34"/>
        <item x="97"/>
        <item x="14"/>
        <item x="94"/>
        <item x="13"/>
        <item x="82"/>
        <item x="79"/>
        <item x="4"/>
        <item x="80"/>
        <item x="3"/>
        <item x="33"/>
        <item x="2"/>
        <item x="36"/>
        <item x="90"/>
        <item x="1"/>
        <item x="35"/>
        <item x="88"/>
        <item x="0"/>
        <item x="37"/>
        <item x="56"/>
        <item x="89"/>
        <item x="8"/>
        <item x="72"/>
        <item x="106"/>
        <item x="26"/>
        <item x="49"/>
        <item x="73"/>
        <item x="110"/>
        <item x="28"/>
        <item x="50"/>
        <item x="71"/>
        <item x="114"/>
        <item x="31"/>
        <item x="52"/>
        <item x="74"/>
        <item x="113"/>
        <item x="32"/>
        <item x="51"/>
        <item x="75"/>
        <item x="115"/>
        <item x="30"/>
        <item x="53"/>
        <item x="76"/>
        <item t="default"/>
      </items>
    </pivotField>
    <pivotField numFmtId="14" showAll="0"/>
    <pivotField showAll="0"/>
    <pivotField showAll="0"/>
    <pivotField numFmtId="164" showAll="0"/>
    <pivotField showAll="0"/>
    <pivotField showAll="0">
      <items count="3">
        <item x="0"/>
        <item x="1"/>
        <item t="default"/>
      </items>
    </pivotField>
    <pivotField dataField="1" numFmtId="164" showAll="0"/>
    <pivotField showAll="0">
      <items count="5">
        <item x="1"/>
        <item x="0"/>
        <item x="2"/>
        <item x="3"/>
        <item t="default"/>
      </items>
    </pivotField>
    <pivotField showAll="0"/>
    <pivotField showAll="0">
      <items count="5">
        <item x="0"/>
        <item x="1"/>
        <item x="2"/>
        <item x="3"/>
        <item t="default"/>
      </items>
    </pivotField>
    <pivotField showAll="0"/>
    <pivotField numFmtId="43" showAll="0"/>
    <pivotField numFmtId="9" showAll="0"/>
    <pivotField numFmtId="43" showAll="0"/>
    <pivotField numFmtId="43" showAll="0"/>
    <pivotField numFmtId="43" showAll="0"/>
    <pivotField numFmtId="43" showAll="0"/>
    <pivotField numFmtId="43" showAll="0"/>
    <pivotField numFmtId="43" showAll="0"/>
    <pivotField numFmtId="43" showAll="0"/>
    <pivotField numFmtId="43" showAll="0"/>
    <pivotField showAll="0"/>
    <pivotField numFmtId="43" showAll="0"/>
  </pivotFields>
  <rowFields count="1">
    <field x="0"/>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ommissionable ARR" fld="7" baseField="0" baseItem="0" numFmtId="166"/>
  </dataFields>
  <pivotTableStyleInfo name="PivotStyleLight2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inment_Quarter" xr10:uid="{3D27446C-0F8E-482B-8EAB-1E57BA5E54CD}" sourceName="Attainment Quarter">
  <pivotTables>
    <pivotTable tabId="4" name="Commissionable ARR per deal"/>
  </pivotTables>
  <data>
    <tabular pivotCacheId="9035621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Quarter" xr10:uid="{B91F4BB5-1AC6-49AA-A02A-E0729ACF51E1}" sourceName="Payment Quarter">
  <pivotTables>
    <pivotTable tabId="4" name="Commissionable ARR per deal"/>
  </pivotTables>
  <data>
    <tabular pivotCacheId="90356211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_Name" xr10:uid="{116CBB2D-D5C6-4FAE-8F5D-6A13AA2D508A}" sourceName="Owner Name">
  <pivotTables>
    <pivotTable tabId="4" name="Commissionable ARR per deal"/>
  </pivotTables>
  <data>
    <tabular pivotCacheId="90356211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ainment Quarter" xr10:uid="{465EA7FF-1919-40E8-8699-5338E86C022C}" cache="Slicer_Attainment_Quarter" caption="Attainment Quarter" rowHeight="225425"/>
  <slicer name="Payment Quarter" xr10:uid="{0B9F8C90-9623-4D2B-BD8D-CF4F01242642}" cache="Slicer_Payment_Quarter" caption="Payment Quarter" rowHeight="225425"/>
  <slicer name="Owner Name" xr10:uid="{8FAE06AA-9B97-4794-A67C-980C6FDAD09D}" cache="Slicer_Owner_Name" caption="Owner Nam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93416A-1020-49F7-B7ED-8294378E8877}" name="CommissionDetail" displayName="CommissionDetail" ref="A1:X117" totalsRowShown="0">
  <autoFilter ref="A1:X117" xr:uid="{8493416A-1020-49F7-B7ED-8294378E8877}"/>
  <tableColumns count="24">
    <tableColumn id="1" xr3:uid="{DBF7908F-CC1F-4944-98AD-D8FCB79C5FDC}" name="Opportunity ID"/>
    <tableColumn id="2" xr3:uid="{A290B33E-FAF7-448A-A779-96C6B86D1A70}" name="Closed Won Date" dataDxfId="35"/>
    <tableColumn id="3" xr3:uid="{66143034-5F68-4072-8820-286C9CD5D2B1}" name="Owner User ID"/>
    <tableColumn id="4" xr3:uid="{E89F5766-F860-4EF1-922E-5CA3E5F53E51}" name="Contract Length (Months)"/>
    <tableColumn id="5" xr3:uid="{9D837A59-149B-42CC-B8EF-369B3CCEC829}" name="Total Contract Value" dataCellStyle="Comma"/>
    <tableColumn id="6" xr3:uid="{220207D1-3E2B-421F-BB69-E3A926489910}" name="First Payment Date" dataDxfId="23"/>
    <tableColumn id="7" xr3:uid="{B4F00025-D068-4D24-8178-820FC2E16DEB}" name="Attainment Quarter">
      <calculatedColumnFormula>"Q"&amp;ROUNDUP(MONTH(B2)/3,0)</calculatedColumnFormula>
    </tableColumn>
    <tableColumn id="8" xr3:uid="{E4C6CA90-7424-40DF-8D0D-0745B1C0073E}" name=" Commissionable ARR" dataCellStyle="Comma">
      <calculatedColumnFormula>IF(D2&gt;12,((E2/D2)*12),E2)</calculatedColumnFormula>
    </tableColumn>
    <tableColumn id="9" xr3:uid="{2CC8E682-F03C-4988-A732-C50C3C14CB7E}" name="Payment Quarter">
      <calculatedColumnFormula>IFERROR("Q"&amp;ROUNDUP(MONTH(F2)/3,0),"First Payment Pending")</calculatedColumnFormula>
    </tableColumn>
    <tableColumn id="10" xr3:uid="{940E890B-2B21-4BAE-AA08-FAE245104B4C}" name="Payment Date" dataDxfId="30">
      <calculatedColumnFormula>_xlfn.IFNA(VLOOKUP(I2,PaymentDates[],2,FALSE),"First Payment Pending")</calculatedColumnFormula>
    </tableColumn>
    <tableColumn id="11" xr3:uid="{A1C527C0-E6CD-4229-A3F7-B293F3A6965A}" name="Owner Name" dataDxfId="24">
      <calculatedColumnFormula>VLOOKUP(C2,EmployeeNames[],2,FALSE)</calculatedColumnFormula>
    </tableColumn>
    <tableColumn id="12" xr3:uid="{97B4FCF8-B2A6-4073-A3F1-3AF7DAE21A79}" name="UniqueIdentifier">
      <calculatedColumnFormula>CONCATENATE('Deal Data'!$K2,'Deal Data'!$G2)</calculatedColumnFormula>
    </tableColumn>
    <tableColumn id="13" xr3:uid="{D906D330-64F8-4987-8065-D5B31CE41278}" name="Accumulative ARR" dataCellStyle="Comma">
      <calculatedColumnFormula>IF(G2=G1,SUMIFS($H$2:H2,$K$2:K2,K1,$G$2:G2,G1),0)</calculatedColumnFormula>
    </tableColumn>
    <tableColumn id="14" xr3:uid="{7578C710-7267-44B1-AB49-89760AEE70BE}" name="Base Rate" dataCellStyle="Percent">
      <calculatedColumnFormula>VLOOKUP(L2,Base_Rate[[UniqueIdentifier]:[Rate]],2,FALSE)</calculatedColumnFormula>
    </tableColumn>
    <tableColumn id="15" xr3:uid="{AA8860CC-2AC6-4E5A-BEB1-225D431FDDBF}" name="Attainment Goal" dataCellStyle="Comma">
      <calculatedColumnFormula>VLOOKUP(L2,Table3[[UniqueIdentifier]:[Goal]],2,FALSE)</calculatedColumnFormula>
    </tableColumn>
    <tableColumn id="16" xr3:uid="{7D7F7458-9E8C-4EEE-A1CF-D40641B321FE}" name="Max Attainment Goal" dataCellStyle="Comma">
      <calculatedColumnFormula>O2*1.5</calculatedColumnFormula>
    </tableColumn>
    <tableColumn id="17" xr3:uid="{C36A82C8-11FA-482D-AE1C-63E8A3FF6D80}" name="Base Commission" dataCellStyle="Comma">
      <calculatedColumnFormula>'Deal Data'!$H2*VLOOKUP('Deal Data'!$L2,Base_Rate[[UniqueIdentifier]:[Rate]],2,FALSE)</calculatedColumnFormula>
    </tableColumn>
    <tableColumn id="18" xr3:uid="{75659615-B845-4846-8DBA-2D0910994CC8}" name="Tier 2 Bonus" dataCellStyle="Comma">
      <calculatedColumnFormula>IF(M2&gt;=O2,(((M2-O2)*0.5)*N2)-S1,0)</calculatedColumnFormula>
    </tableColumn>
    <tableColumn id="19" xr3:uid="{8A0ECAB0-5C9B-484D-9CD7-A9FEF028F07A}" name="Accumulative Bonus 1" dataCellStyle="Comma">
      <calculatedColumnFormula>IF(G2=G1,SUMIFS($R$2:R2,$K$2:K2,K1,$G$2:G2,G1),0)</calculatedColumnFormula>
    </tableColumn>
    <tableColumn id="20" xr3:uid="{2D4B3D47-E1EE-4E08-8D53-650C8D09738F}" name="Tier 3 Bonus" dataCellStyle="Comma">
      <calculatedColumnFormula>IF(M2&gt;=P2,(((M2-P2)*0.5)*N2)-U1,0)</calculatedColumnFormula>
    </tableColumn>
    <tableColumn id="21" xr3:uid="{DFAD4E1E-58D4-4DF2-BF3D-0C9A33B01D04}" name="Accumlative Bonus 2" dataCellStyle="Comma">
      <calculatedColumnFormula>IF(G2=G1,SUMIFS($T$2:T2,$K$2:K2,K1,$G$2:G2,G1),0)</calculatedColumnFormula>
    </tableColumn>
    <tableColumn id="22" xr3:uid="{864BF81F-AFF1-4C18-9290-9890603D5899}" name="Total Commission" dataCellStyle="Comma">
      <calculatedColumnFormula>Q2+R2+T2</calculatedColumnFormula>
    </tableColumn>
    <tableColumn id="23" xr3:uid="{50DBE135-AB49-4644-AEFE-6A7D94B827E6}" name="Commissionable ARR Qualifies" dataDxfId="22" dataCellStyle="Comma">
      <calculatedColumnFormula>IF(CommissionDetail[[#This Row],[Tier 2 Bonus]]&gt;0,"Yes","No")</calculatedColumnFormula>
    </tableColumn>
    <tableColumn id="24" xr3:uid="{55F0B92A-F932-403F-8E4C-123906FCBB20}" name="Commission released" dataDxfId="18" dataCellStyle="Comma">
      <calculatedColumnFormula>IF(CommissionDetail[[#This Row],[Payment Quarter]]="First Payment Pending",0,CommissionDetail[[#This Row],[Total Commission]])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DAF697-7000-47F0-82EF-269BCC2D3AB8}" name="EmployeeNames" displayName="EmployeeNames" ref="A1:B5" totalsRowShown="0" headerRowDxfId="25" headerRowBorderDxfId="28" tableBorderDxfId="29">
  <autoFilter ref="A1:B5" xr:uid="{4DDAF697-7000-47F0-82EF-269BCC2D3AB8}"/>
  <tableColumns count="2">
    <tableColumn id="1" xr3:uid="{04B30121-9A30-4CD3-8F93-C0B8341AA9FE}" name="ID" dataDxfId="27"/>
    <tableColumn id="2" xr3:uid="{9DFCCB66-CDBE-47B4-AEC5-B4440E954247}" name="Name"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0597178-4FEF-4AB3-8A92-721C5AF51C0D}" name="PaymentDates" displayName="PaymentDates" ref="A1:B5" totalsRowShown="0" headerRowBorderDxfId="33" tableBorderDxfId="34">
  <autoFilter ref="A1:B5" xr:uid="{50597178-4FEF-4AB3-8A92-721C5AF51C0D}"/>
  <tableColumns count="2">
    <tableColumn id="1" xr3:uid="{6E283272-1D00-4F9E-A461-74A914BAFE93}" name="1st Payment_x000a_Quarter" dataDxfId="32"/>
    <tableColumn id="2" xr3:uid="{32389A1E-513E-4884-BAA1-5B839860D552}" name="Payment Date"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9D8001-024A-4554-AD99-BCFA049CDB17}" name="Table3" displayName="Table3" ref="A1:D17" totalsRowShown="0" headerRowDxfId="36" dataDxfId="37">
  <autoFilter ref="A1:D17" xr:uid="{689D8001-024A-4554-AD99-BCFA049CDB17}"/>
  <tableColumns count="4">
    <tableColumn id="1" xr3:uid="{743A644D-637B-41AC-8B55-D9A7490DE8B7}" name="Name" dataDxfId="41"/>
    <tableColumn id="2" xr3:uid="{56761E6E-2C4A-4FEA-AB43-5B64DFD764CE}" name="Quarter" dataDxfId="40"/>
    <tableColumn id="3" xr3:uid="{884949FF-A848-4BC5-86E7-8F35E75680A5}" name="UniqueIdentifier" dataDxfId="39">
      <calculatedColumnFormula>CONCATENATE(A2,B2)</calculatedColumnFormula>
    </tableColumn>
    <tableColumn id="4" xr3:uid="{114FEAE5-F853-4B5C-98E7-0AD8E4D235B1}" name="Goal" dataDxfId="38"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E59A72-2078-42A1-9F12-98630B8FBB54}" name="Base_Rate" displayName="Base_Rate" ref="A1:D17" totalsRowShown="0" headerRowDxfId="42">
  <autoFilter ref="A1:D17" xr:uid="{BDE59A72-2078-42A1-9F12-98630B8FBB54}"/>
  <tableColumns count="4">
    <tableColumn id="1" xr3:uid="{F667A621-72BD-482F-B42A-6F466380D675}" name="Name" dataDxfId="46"/>
    <tableColumn id="2" xr3:uid="{8F6E5BB9-CE46-4B8B-A787-0E301F8258BB}" name="Quarter" dataDxfId="45"/>
    <tableColumn id="3" xr3:uid="{E77FDC6D-AAFD-41BC-A160-A2822AF53236}" name="UniqueIdentifier" dataDxfId="44">
      <calculatedColumnFormula>CONCATENATE(A2,B2)</calculatedColumnFormula>
    </tableColumn>
    <tableColumn id="4" xr3:uid="{A01BAB3D-19FA-4A45-968A-AB6F53F8624C}" name="Rate" dataDxfId="43" dataCellStyle="Percen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59560-8CBE-40D1-A59B-B715C9E85ECC}">
  <dimension ref="A1:M120"/>
  <sheetViews>
    <sheetView tabSelected="1" workbookViewId="0">
      <selection activeCell="A14" sqref="A14"/>
    </sheetView>
  </sheetViews>
  <sheetFormatPr defaultRowHeight="12.75" x14ac:dyDescent="0.2"/>
  <cols>
    <col min="1" max="1" width="28" bestFit="1" customWidth="1"/>
    <col min="2" max="2" width="17.140625" bestFit="1" customWidth="1"/>
    <col min="3" max="3" width="12.85546875" bestFit="1" customWidth="1"/>
    <col min="4" max="4" width="22.140625" bestFit="1" customWidth="1"/>
    <col min="5" max="5" width="9.28515625" bestFit="1" customWidth="1"/>
    <col min="6" max="6" width="12.140625" bestFit="1" customWidth="1"/>
    <col min="7" max="8" width="12.5703125" customWidth="1"/>
    <col min="12" max="12" width="16.42578125" bestFit="1" customWidth="1"/>
    <col min="13" max="13" width="20.7109375" style="1" bestFit="1" customWidth="1"/>
    <col min="14" max="14" width="22.28515625" bestFit="1" customWidth="1"/>
  </cols>
  <sheetData>
    <row r="1" spans="1:13" x14ac:dyDescent="0.2">
      <c r="A1" s="58"/>
      <c r="B1" s="58"/>
      <c r="C1" s="58"/>
      <c r="D1" s="58"/>
      <c r="E1" s="58"/>
    </row>
    <row r="2" spans="1:13" x14ac:dyDescent="0.2">
      <c r="A2" s="5" t="s">
        <v>69</v>
      </c>
      <c r="B2" s="57"/>
      <c r="C2" s="57"/>
      <c r="D2" s="57"/>
      <c r="E2" s="57"/>
      <c r="F2" s="57"/>
      <c r="G2" s="57"/>
      <c r="H2" s="57"/>
      <c r="L2" s="5" t="s">
        <v>68</v>
      </c>
    </row>
    <row r="3" spans="1:13" x14ac:dyDescent="0.2">
      <c r="A3" s="36" t="s">
        <v>66</v>
      </c>
      <c r="B3" s="36" t="s">
        <v>73</v>
      </c>
      <c r="E3" s="58"/>
      <c r="F3" s="58"/>
      <c r="G3" s="58"/>
      <c r="H3" s="58"/>
      <c r="L3" s="36" t="s">
        <v>0</v>
      </c>
      <c r="M3" t="s">
        <v>62</v>
      </c>
    </row>
    <row r="4" spans="1:13" x14ac:dyDescent="0.2">
      <c r="A4" s="36" t="s">
        <v>67</v>
      </c>
      <c r="B4" t="s">
        <v>64</v>
      </c>
      <c r="C4" t="s">
        <v>65</v>
      </c>
      <c r="D4" t="s">
        <v>35</v>
      </c>
      <c r="E4" s="58"/>
      <c r="F4" s="58"/>
      <c r="G4" s="58"/>
      <c r="H4" s="58"/>
      <c r="L4" s="37">
        <v>10001</v>
      </c>
      <c r="M4" s="56">
        <v>45000</v>
      </c>
    </row>
    <row r="5" spans="1:13" x14ac:dyDescent="0.2">
      <c r="A5" s="37" t="s">
        <v>14</v>
      </c>
      <c r="B5" s="38">
        <v>334030.92</v>
      </c>
      <c r="C5" s="38">
        <v>107800</v>
      </c>
      <c r="D5" s="38">
        <v>441830.92</v>
      </c>
      <c r="E5" s="58"/>
      <c r="F5" s="58"/>
      <c r="G5" s="58"/>
      <c r="H5" s="58"/>
      <c r="L5" s="37">
        <v>10002</v>
      </c>
      <c r="M5" s="56">
        <v>7777.666666666667</v>
      </c>
    </row>
    <row r="6" spans="1:13" x14ac:dyDescent="0.2">
      <c r="A6" s="37" t="s">
        <v>15</v>
      </c>
      <c r="B6" s="38">
        <v>165096.38888888888</v>
      </c>
      <c r="C6" s="38">
        <v>241600</v>
      </c>
      <c r="D6" s="38">
        <v>406696.38888888888</v>
      </c>
      <c r="E6" s="58"/>
      <c r="F6" s="58"/>
      <c r="G6" s="58"/>
      <c r="H6" s="58"/>
      <c r="L6" s="37">
        <v>10003</v>
      </c>
      <c r="M6" s="56">
        <v>46667</v>
      </c>
    </row>
    <row r="7" spans="1:13" x14ac:dyDescent="0.2">
      <c r="A7" s="37" t="s">
        <v>16</v>
      </c>
      <c r="B7" s="38">
        <v>410046.96666666667</v>
      </c>
      <c r="C7" s="38">
        <v>106600</v>
      </c>
      <c r="D7" s="38">
        <v>516646.96666666667</v>
      </c>
      <c r="E7" s="58"/>
      <c r="L7" s="37">
        <v>10005</v>
      </c>
      <c r="M7" s="56">
        <v>24000</v>
      </c>
    </row>
    <row r="8" spans="1:13" x14ac:dyDescent="0.2">
      <c r="A8" s="37" t="s">
        <v>17</v>
      </c>
      <c r="B8" s="38">
        <v>824627</v>
      </c>
      <c r="C8" s="38">
        <v>49600</v>
      </c>
      <c r="D8" s="38">
        <v>874227</v>
      </c>
      <c r="E8" s="58"/>
      <c r="L8" s="37">
        <v>10006</v>
      </c>
      <c r="M8" s="56">
        <v>4500</v>
      </c>
    </row>
    <row r="9" spans="1:13" x14ac:dyDescent="0.2">
      <c r="A9" s="37" t="s">
        <v>35</v>
      </c>
      <c r="B9" s="38">
        <v>1733801.2755555555</v>
      </c>
      <c r="C9" s="38">
        <v>505600</v>
      </c>
      <c r="D9" s="38">
        <v>2239401.2755555557</v>
      </c>
      <c r="L9" s="37">
        <v>10007</v>
      </c>
      <c r="M9" s="56">
        <v>27000</v>
      </c>
    </row>
    <row r="10" spans="1:13" x14ac:dyDescent="0.2">
      <c r="D10" s="58"/>
      <c r="L10" s="37">
        <v>10008</v>
      </c>
      <c r="M10" s="56">
        <v>32686.3</v>
      </c>
    </row>
    <row r="11" spans="1:13" x14ac:dyDescent="0.2">
      <c r="D11" s="58"/>
      <c r="L11" s="37">
        <v>10010</v>
      </c>
      <c r="M11" s="56">
        <v>9500</v>
      </c>
    </row>
    <row r="12" spans="1:13" x14ac:dyDescent="0.2">
      <c r="A12" s="5" t="s">
        <v>81</v>
      </c>
      <c r="B12" s="67" t="s">
        <v>80</v>
      </c>
      <c r="D12" s="58"/>
      <c r="L12" s="37">
        <v>10011</v>
      </c>
      <c r="M12" s="56">
        <v>10000</v>
      </c>
    </row>
    <row r="13" spans="1:13" x14ac:dyDescent="0.2">
      <c r="A13" s="5" t="s">
        <v>82</v>
      </c>
      <c r="B13" s="67" t="s">
        <v>80</v>
      </c>
      <c r="D13" s="58"/>
      <c r="L13" s="37">
        <v>10012</v>
      </c>
      <c r="M13" s="56">
        <v>15996</v>
      </c>
    </row>
    <row r="14" spans="1:13" x14ac:dyDescent="0.2">
      <c r="L14" s="37">
        <v>10013</v>
      </c>
      <c r="M14" s="56">
        <v>1575</v>
      </c>
    </row>
    <row r="15" spans="1:13" x14ac:dyDescent="0.2">
      <c r="L15" s="37">
        <v>10015</v>
      </c>
      <c r="M15" s="56">
        <v>72000</v>
      </c>
    </row>
    <row r="16" spans="1:13" x14ac:dyDescent="0.2">
      <c r="A16" s="5" t="s">
        <v>77</v>
      </c>
      <c r="L16" s="37">
        <v>10016</v>
      </c>
      <c r="M16" s="56">
        <v>5000</v>
      </c>
    </row>
    <row r="17" spans="1:13" x14ac:dyDescent="0.2">
      <c r="A17" s="36" t="s">
        <v>71</v>
      </c>
      <c r="B17" s="36" t="s">
        <v>72</v>
      </c>
      <c r="L17" s="37">
        <v>10017</v>
      </c>
      <c r="M17" s="56">
        <v>28333.5</v>
      </c>
    </row>
    <row r="18" spans="1:13" x14ac:dyDescent="0.2">
      <c r="A18" s="36" t="s">
        <v>67</v>
      </c>
      <c r="B18" t="s">
        <v>20</v>
      </c>
      <c r="C18" t="s">
        <v>21</v>
      </c>
      <c r="D18" t="s">
        <v>35</v>
      </c>
      <c r="L18" s="37">
        <v>10020</v>
      </c>
      <c r="M18" s="56">
        <v>12000</v>
      </c>
    </row>
    <row r="19" spans="1:13" x14ac:dyDescent="0.2">
      <c r="A19" s="37" t="s">
        <v>14</v>
      </c>
      <c r="B19" s="38">
        <v>301541.67</v>
      </c>
      <c r="C19" s="38">
        <v>140289.25</v>
      </c>
      <c r="D19" s="38">
        <v>441830.92</v>
      </c>
      <c r="L19" s="37">
        <v>10023</v>
      </c>
      <c r="M19" s="56">
        <v>88000</v>
      </c>
    </row>
    <row r="20" spans="1:13" x14ac:dyDescent="0.2">
      <c r="A20" s="37" t="s">
        <v>15</v>
      </c>
      <c r="B20" s="38">
        <v>59120.333333333328</v>
      </c>
      <c r="C20" s="38">
        <v>347576.05555555556</v>
      </c>
      <c r="D20" s="38">
        <v>406696.38888888888</v>
      </c>
      <c r="L20" s="37">
        <v>10025</v>
      </c>
      <c r="M20" s="56">
        <v>25000</v>
      </c>
    </row>
    <row r="21" spans="1:13" x14ac:dyDescent="0.2">
      <c r="A21" s="37" t="s">
        <v>16</v>
      </c>
      <c r="B21" s="38">
        <v>239106.66666666666</v>
      </c>
      <c r="C21" s="38">
        <v>277540.3</v>
      </c>
      <c r="D21" s="38">
        <v>516646.96666666667</v>
      </c>
      <c r="L21" s="37">
        <v>10027</v>
      </c>
      <c r="M21" s="56">
        <v>360</v>
      </c>
    </row>
    <row r="22" spans="1:13" x14ac:dyDescent="0.2">
      <c r="A22" s="37" t="s">
        <v>17</v>
      </c>
      <c r="B22" s="38">
        <v>377355</v>
      </c>
      <c r="C22" s="38">
        <v>496872</v>
      </c>
      <c r="D22" s="38">
        <v>874227</v>
      </c>
      <c r="L22" s="37">
        <v>10028</v>
      </c>
      <c r="M22" s="56">
        <v>7200</v>
      </c>
    </row>
    <row r="23" spans="1:13" x14ac:dyDescent="0.2">
      <c r="A23" s="37" t="s">
        <v>35</v>
      </c>
      <c r="B23" s="38">
        <v>977123.66999999993</v>
      </c>
      <c r="C23" s="38">
        <v>1262277.6055555556</v>
      </c>
      <c r="D23" s="38">
        <v>2239401.2755555557</v>
      </c>
      <c r="L23" s="37">
        <v>10030</v>
      </c>
      <c r="M23" s="56">
        <v>11000</v>
      </c>
    </row>
    <row r="24" spans="1:13" x14ac:dyDescent="0.2">
      <c r="L24" s="37">
        <v>10033</v>
      </c>
      <c r="M24" s="56">
        <v>24000</v>
      </c>
    </row>
    <row r="25" spans="1:13" x14ac:dyDescent="0.2">
      <c r="L25" s="37">
        <v>10035</v>
      </c>
      <c r="M25" s="56">
        <v>1200</v>
      </c>
    </row>
    <row r="26" spans="1:13" x14ac:dyDescent="0.2">
      <c r="A26" s="5" t="s">
        <v>78</v>
      </c>
      <c r="L26" s="37">
        <v>10036</v>
      </c>
      <c r="M26" s="56">
        <v>4800</v>
      </c>
    </row>
    <row r="27" spans="1:13" x14ac:dyDescent="0.2">
      <c r="A27" s="36" t="s">
        <v>74</v>
      </c>
      <c r="B27" s="36" t="s">
        <v>72</v>
      </c>
      <c r="L27" s="37">
        <v>10042</v>
      </c>
      <c r="M27" s="56">
        <v>1125</v>
      </c>
    </row>
    <row r="28" spans="1:13" x14ac:dyDescent="0.2">
      <c r="A28" s="36" t="s">
        <v>67</v>
      </c>
      <c r="B28" t="s">
        <v>20</v>
      </c>
      <c r="C28" t="s">
        <v>21</v>
      </c>
      <c r="D28" t="s">
        <v>35</v>
      </c>
      <c r="L28" s="37">
        <v>10045</v>
      </c>
      <c r="M28" s="56">
        <v>7200</v>
      </c>
    </row>
    <row r="29" spans="1:13" x14ac:dyDescent="0.2">
      <c r="A29" s="37" t="s">
        <v>14</v>
      </c>
      <c r="B29" s="38">
        <v>35308.334000000003</v>
      </c>
      <c r="C29" s="38">
        <v>11223.140000000001</v>
      </c>
      <c r="D29" s="38">
        <v>46531.474000000002</v>
      </c>
      <c r="L29" s="37">
        <v>10046</v>
      </c>
      <c r="M29" s="56">
        <v>3000</v>
      </c>
    </row>
    <row r="30" spans="1:13" x14ac:dyDescent="0.2">
      <c r="A30" s="37" t="s">
        <v>15</v>
      </c>
      <c r="B30" s="38">
        <v>7094.44</v>
      </c>
      <c r="C30" s="38">
        <v>48966.732222222228</v>
      </c>
      <c r="D30" s="38">
        <v>56061.172222222231</v>
      </c>
      <c r="L30" s="37">
        <v>10051</v>
      </c>
      <c r="M30" s="56">
        <v>9600</v>
      </c>
    </row>
    <row r="31" spans="1:13" x14ac:dyDescent="0.2">
      <c r="A31" s="37" t="s">
        <v>16</v>
      </c>
      <c r="B31" s="38">
        <v>23279.399999999998</v>
      </c>
      <c r="C31" s="38">
        <v>20391.731500000002</v>
      </c>
      <c r="D31" s="38">
        <v>43671.131500000003</v>
      </c>
      <c r="L31" s="37">
        <v>10052</v>
      </c>
      <c r="M31" s="56">
        <v>3360</v>
      </c>
    </row>
    <row r="32" spans="1:13" x14ac:dyDescent="0.2">
      <c r="A32" s="37" t="s">
        <v>17</v>
      </c>
      <c r="B32" s="38">
        <v>33961.949999999997</v>
      </c>
      <c r="C32" s="38">
        <v>41624.639999999999</v>
      </c>
      <c r="D32" s="38">
        <v>75586.59</v>
      </c>
      <c r="L32" s="37">
        <v>10058</v>
      </c>
      <c r="M32" s="56">
        <v>3000</v>
      </c>
    </row>
    <row r="33" spans="1:13" x14ac:dyDescent="0.2">
      <c r="A33" s="37" t="s">
        <v>35</v>
      </c>
      <c r="B33" s="38">
        <v>99644.123999999996</v>
      </c>
      <c r="C33" s="38">
        <v>122206.24372222224</v>
      </c>
      <c r="D33" s="38">
        <v>221850.36772222223</v>
      </c>
      <c r="L33" s="37">
        <v>10110</v>
      </c>
      <c r="M33" s="56">
        <v>6000</v>
      </c>
    </row>
    <row r="34" spans="1:13" x14ac:dyDescent="0.2">
      <c r="L34" s="37">
        <v>10128</v>
      </c>
      <c r="M34" s="56">
        <v>28800</v>
      </c>
    </row>
    <row r="35" spans="1:13" x14ac:dyDescent="0.2">
      <c r="L35" s="37">
        <v>10131</v>
      </c>
      <c r="M35" s="56">
        <v>24000</v>
      </c>
    </row>
    <row r="36" spans="1:13" x14ac:dyDescent="0.2">
      <c r="A36" s="5" t="s">
        <v>79</v>
      </c>
      <c r="L36" s="37">
        <v>10133</v>
      </c>
      <c r="M36" s="56">
        <v>5086.666666666667</v>
      </c>
    </row>
    <row r="37" spans="1:13" x14ac:dyDescent="0.2">
      <c r="A37" s="36" t="s">
        <v>76</v>
      </c>
      <c r="B37" s="36" t="s">
        <v>36</v>
      </c>
      <c r="L37" s="37">
        <v>10140</v>
      </c>
      <c r="M37" s="56">
        <v>5600</v>
      </c>
    </row>
    <row r="38" spans="1:13" x14ac:dyDescent="0.2">
      <c r="A38" s="36" t="s">
        <v>67</v>
      </c>
      <c r="B38" t="s">
        <v>20</v>
      </c>
      <c r="C38" t="s">
        <v>21</v>
      </c>
      <c r="D38" t="s">
        <v>46</v>
      </c>
      <c r="E38" t="s">
        <v>75</v>
      </c>
      <c r="F38" t="s">
        <v>35</v>
      </c>
      <c r="L38" s="37">
        <v>10141</v>
      </c>
      <c r="M38" s="56">
        <v>20000</v>
      </c>
    </row>
    <row r="39" spans="1:13" x14ac:dyDescent="0.2">
      <c r="A39" s="37" t="s">
        <v>14</v>
      </c>
      <c r="B39" s="38">
        <v>5396.6670000000004</v>
      </c>
      <c r="C39" s="38">
        <v>30364.807000000001</v>
      </c>
      <c r="D39" s="38">
        <v>0</v>
      </c>
      <c r="E39" s="38"/>
      <c r="F39" s="38">
        <v>35761.474000000002</v>
      </c>
      <c r="L39" s="37">
        <v>10145</v>
      </c>
      <c r="M39" s="56">
        <v>5250</v>
      </c>
    </row>
    <row r="40" spans="1:13" x14ac:dyDescent="0.2">
      <c r="A40" s="37" t="s">
        <v>15</v>
      </c>
      <c r="B40" s="38">
        <v>2135.56</v>
      </c>
      <c r="C40" s="38">
        <v>43732.927222222221</v>
      </c>
      <c r="D40" s="38">
        <v>0</v>
      </c>
      <c r="E40" s="38">
        <v>1224</v>
      </c>
      <c r="F40" s="38">
        <v>47092.487222222218</v>
      </c>
      <c r="L40" s="37">
        <v>10150</v>
      </c>
      <c r="M40" s="56">
        <v>31140</v>
      </c>
    </row>
    <row r="41" spans="1:13" x14ac:dyDescent="0.2">
      <c r="A41" s="37" t="s">
        <v>16</v>
      </c>
      <c r="B41" s="38">
        <v>1996.8</v>
      </c>
      <c r="C41" s="38">
        <v>29300.420999999998</v>
      </c>
      <c r="D41" s="38">
        <v>0</v>
      </c>
      <c r="E41" s="38"/>
      <c r="F41" s="38">
        <v>31297.220999999998</v>
      </c>
      <c r="L41" s="37">
        <v>10151</v>
      </c>
      <c r="M41" s="56">
        <v>2000</v>
      </c>
    </row>
    <row r="42" spans="1:13" x14ac:dyDescent="0.2">
      <c r="A42" s="37" t="s">
        <v>17</v>
      </c>
      <c r="B42" s="38">
        <v>10115.1</v>
      </c>
      <c r="C42" s="38">
        <v>52428.609999999993</v>
      </c>
      <c r="D42" s="38">
        <v>0</v>
      </c>
      <c r="E42" s="38"/>
      <c r="F42" s="38">
        <v>62543.709999999992</v>
      </c>
      <c r="L42" s="37">
        <v>10155</v>
      </c>
      <c r="M42" s="56">
        <v>12000</v>
      </c>
    </row>
    <row r="43" spans="1:13" x14ac:dyDescent="0.2">
      <c r="A43" s="37" t="s">
        <v>35</v>
      </c>
      <c r="B43" s="38">
        <v>19644.127</v>
      </c>
      <c r="C43" s="38">
        <v>155826.76522222222</v>
      </c>
      <c r="D43" s="38">
        <v>0</v>
      </c>
      <c r="E43" s="38">
        <v>1224</v>
      </c>
      <c r="F43" s="38">
        <v>176694.8922222222</v>
      </c>
      <c r="L43" s="37">
        <v>10156</v>
      </c>
      <c r="M43" s="56">
        <v>5175</v>
      </c>
    </row>
    <row r="44" spans="1:13" x14ac:dyDescent="0.2">
      <c r="L44" s="37">
        <v>10160</v>
      </c>
      <c r="M44" s="56">
        <v>26500</v>
      </c>
    </row>
    <row r="45" spans="1:13" x14ac:dyDescent="0.2">
      <c r="L45" s="37">
        <v>10165</v>
      </c>
      <c r="M45" s="56">
        <v>1500</v>
      </c>
    </row>
    <row r="46" spans="1:13" x14ac:dyDescent="0.2">
      <c r="L46" s="37">
        <v>10180</v>
      </c>
      <c r="M46" s="56">
        <v>26052</v>
      </c>
    </row>
    <row r="47" spans="1:13" x14ac:dyDescent="0.2">
      <c r="L47" s="37">
        <v>10181</v>
      </c>
      <c r="M47" s="56">
        <v>948</v>
      </c>
    </row>
    <row r="48" spans="1:13" x14ac:dyDescent="0.2">
      <c r="L48" s="37">
        <v>10183</v>
      </c>
      <c r="M48" s="56">
        <v>4320</v>
      </c>
    </row>
    <row r="49" spans="12:13" x14ac:dyDescent="0.2">
      <c r="L49" s="37">
        <v>10185</v>
      </c>
      <c r="M49" s="56">
        <v>15000</v>
      </c>
    </row>
    <row r="50" spans="12:13" x14ac:dyDescent="0.2">
      <c r="L50" s="37">
        <v>10186</v>
      </c>
      <c r="M50" s="56">
        <v>7000</v>
      </c>
    </row>
    <row r="51" spans="12:13" x14ac:dyDescent="0.2">
      <c r="L51" s="37">
        <v>10188</v>
      </c>
      <c r="M51" s="56">
        <v>25000</v>
      </c>
    </row>
    <row r="52" spans="12:13" x14ac:dyDescent="0.2">
      <c r="L52" s="37">
        <v>10190</v>
      </c>
      <c r="M52" s="56">
        <v>5000</v>
      </c>
    </row>
    <row r="53" spans="12:13" x14ac:dyDescent="0.2">
      <c r="L53" s="37">
        <v>10191</v>
      </c>
      <c r="M53" s="56">
        <v>15000</v>
      </c>
    </row>
    <row r="54" spans="12:13" x14ac:dyDescent="0.2">
      <c r="L54" s="37">
        <v>10192</v>
      </c>
      <c r="M54" s="56">
        <v>3999</v>
      </c>
    </row>
    <row r="55" spans="12:13" x14ac:dyDescent="0.2">
      <c r="L55" s="37">
        <v>10193</v>
      </c>
      <c r="M55" s="56">
        <v>4800</v>
      </c>
    </row>
    <row r="56" spans="12:13" x14ac:dyDescent="0.2">
      <c r="L56" s="37">
        <v>10195</v>
      </c>
      <c r="M56" s="56">
        <v>57500</v>
      </c>
    </row>
    <row r="57" spans="12:13" x14ac:dyDescent="0.2">
      <c r="L57" s="37">
        <v>10196</v>
      </c>
      <c r="M57" s="56">
        <v>42120</v>
      </c>
    </row>
    <row r="58" spans="12:13" x14ac:dyDescent="0.2">
      <c r="L58" s="37">
        <v>10198</v>
      </c>
      <c r="M58" s="56">
        <v>17600</v>
      </c>
    </row>
    <row r="59" spans="12:13" x14ac:dyDescent="0.2">
      <c r="L59" s="37">
        <v>10200</v>
      </c>
      <c r="M59" s="56">
        <v>200000</v>
      </c>
    </row>
    <row r="60" spans="12:13" x14ac:dyDescent="0.2">
      <c r="L60" s="37">
        <v>10205</v>
      </c>
      <c r="M60" s="56">
        <v>2400</v>
      </c>
    </row>
    <row r="61" spans="12:13" x14ac:dyDescent="0.2">
      <c r="L61" s="37">
        <v>10206</v>
      </c>
      <c r="M61" s="56">
        <v>18000</v>
      </c>
    </row>
    <row r="62" spans="12:13" x14ac:dyDescent="0.2">
      <c r="L62" s="37">
        <v>10207</v>
      </c>
      <c r="M62" s="56">
        <v>8888.8888888888887</v>
      </c>
    </row>
    <row r="63" spans="12:13" x14ac:dyDescent="0.2">
      <c r="L63" s="37">
        <v>10208</v>
      </c>
      <c r="M63" s="56">
        <v>5000</v>
      </c>
    </row>
    <row r="64" spans="12:13" x14ac:dyDescent="0.2">
      <c r="L64" s="37">
        <v>10210</v>
      </c>
      <c r="M64" s="56">
        <v>18000</v>
      </c>
    </row>
    <row r="65" spans="12:13" x14ac:dyDescent="0.2">
      <c r="L65" s="37">
        <v>10213</v>
      </c>
      <c r="M65" s="56">
        <v>14000</v>
      </c>
    </row>
    <row r="66" spans="12:13" x14ac:dyDescent="0.2">
      <c r="L66" s="37">
        <v>10215</v>
      </c>
      <c r="M66" s="56">
        <v>2000</v>
      </c>
    </row>
    <row r="67" spans="12:13" x14ac:dyDescent="0.2">
      <c r="L67" s="37">
        <v>10216</v>
      </c>
      <c r="M67" s="56">
        <v>18000</v>
      </c>
    </row>
    <row r="68" spans="12:13" x14ac:dyDescent="0.2">
      <c r="L68" s="37">
        <v>10221</v>
      </c>
      <c r="M68" s="56">
        <v>29000</v>
      </c>
    </row>
    <row r="69" spans="12:13" x14ac:dyDescent="0.2">
      <c r="L69" s="37">
        <v>10222</v>
      </c>
      <c r="M69" s="56">
        <v>6000</v>
      </c>
    </row>
    <row r="70" spans="12:13" x14ac:dyDescent="0.2">
      <c r="L70" s="37">
        <v>10225</v>
      </c>
      <c r="M70" s="56">
        <v>8500</v>
      </c>
    </row>
    <row r="71" spans="12:13" x14ac:dyDescent="0.2">
      <c r="L71" s="37">
        <v>10226</v>
      </c>
      <c r="M71" s="56">
        <v>9000</v>
      </c>
    </row>
    <row r="72" spans="12:13" x14ac:dyDescent="0.2">
      <c r="L72" s="37">
        <v>10230</v>
      </c>
      <c r="M72" s="56">
        <v>5500</v>
      </c>
    </row>
    <row r="73" spans="12:13" x14ac:dyDescent="0.2">
      <c r="L73" s="37">
        <v>10232</v>
      </c>
      <c r="M73" s="56">
        <v>13400</v>
      </c>
    </row>
    <row r="74" spans="12:13" x14ac:dyDescent="0.2">
      <c r="L74" s="37">
        <v>10233</v>
      </c>
      <c r="M74" s="56">
        <v>6600</v>
      </c>
    </row>
    <row r="75" spans="12:13" x14ac:dyDescent="0.2">
      <c r="L75" s="37">
        <v>10235</v>
      </c>
      <c r="M75" s="56">
        <v>4320</v>
      </c>
    </row>
    <row r="76" spans="12:13" x14ac:dyDescent="0.2">
      <c r="L76" s="37">
        <v>10236</v>
      </c>
      <c r="M76" s="56">
        <v>12000</v>
      </c>
    </row>
    <row r="77" spans="12:13" x14ac:dyDescent="0.2">
      <c r="L77" s="37">
        <v>10237</v>
      </c>
      <c r="M77" s="56">
        <v>10200</v>
      </c>
    </row>
    <row r="78" spans="12:13" x14ac:dyDescent="0.2">
      <c r="L78" s="37">
        <v>10240</v>
      </c>
      <c r="M78" s="56">
        <v>4815</v>
      </c>
    </row>
    <row r="79" spans="12:13" x14ac:dyDescent="0.2">
      <c r="L79" s="37">
        <v>10241</v>
      </c>
      <c r="M79" s="56">
        <v>7000</v>
      </c>
    </row>
    <row r="80" spans="12:13" x14ac:dyDescent="0.2">
      <c r="L80" s="37">
        <v>10245</v>
      </c>
      <c r="M80" s="56">
        <v>3000</v>
      </c>
    </row>
    <row r="81" spans="12:13" x14ac:dyDescent="0.2">
      <c r="L81" s="37">
        <v>10246</v>
      </c>
      <c r="M81" s="56">
        <v>7200</v>
      </c>
    </row>
    <row r="82" spans="12:13" x14ac:dyDescent="0.2">
      <c r="L82" s="37">
        <v>10260</v>
      </c>
      <c r="M82" s="56">
        <v>12500</v>
      </c>
    </row>
    <row r="83" spans="12:13" x14ac:dyDescent="0.2">
      <c r="L83" s="37">
        <v>10265</v>
      </c>
      <c r="M83" s="56">
        <v>15000</v>
      </c>
    </row>
    <row r="84" spans="12:13" x14ac:dyDescent="0.2">
      <c r="L84" s="37">
        <v>10266</v>
      </c>
      <c r="M84" s="56">
        <v>6000</v>
      </c>
    </row>
    <row r="85" spans="12:13" x14ac:dyDescent="0.2">
      <c r="L85" s="37">
        <v>10270</v>
      </c>
      <c r="M85" s="56">
        <v>9750</v>
      </c>
    </row>
    <row r="86" spans="12:13" x14ac:dyDescent="0.2">
      <c r="L86" s="37">
        <v>10271</v>
      </c>
      <c r="M86" s="56">
        <v>12000</v>
      </c>
    </row>
    <row r="87" spans="12:13" x14ac:dyDescent="0.2">
      <c r="L87" s="37">
        <v>10272</v>
      </c>
      <c r="M87" s="56">
        <v>600</v>
      </c>
    </row>
    <row r="88" spans="12:13" x14ac:dyDescent="0.2">
      <c r="L88" s="37">
        <v>10276</v>
      </c>
      <c r="M88" s="56">
        <v>14412</v>
      </c>
    </row>
    <row r="89" spans="12:13" x14ac:dyDescent="0.2">
      <c r="L89" s="37">
        <v>10277</v>
      </c>
      <c r="M89" s="56">
        <v>15000</v>
      </c>
    </row>
    <row r="90" spans="12:13" x14ac:dyDescent="0.2">
      <c r="L90" s="37">
        <v>10280</v>
      </c>
      <c r="M90" s="56">
        <v>5000</v>
      </c>
    </row>
    <row r="91" spans="12:13" x14ac:dyDescent="0.2">
      <c r="L91" s="37">
        <v>10281</v>
      </c>
      <c r="M91" s="56">
        <v>5114.67</v>
      </c>
    </row>
    <row r="92" spans="12:13" x14ac:dyDescent="0.2">
      <c r="L92" s="37">
        <v>10282</v>
      </c>
      <c r="M92" s="56">
        <v>2196.333333333333</v>
      </c>
    </row>
    <row r="93" spans="12:13" x14ac:dyDescent="0.2">
      <c r="L93" s="37">
        <v>10285</v>
      </c>
      <c r="M93" s="56">
        <v>5000</v>
      </c>
    </row>
    <row r="94" spans="12:13" x14ac:dyDescent="0.2">
      <c r="L94" s="37">
        <v>10286</v>
      </c>
      <c r="M94" s="56">
        <v>6240</v>
      </c>
    </row>
    <row r="95" spans="12:13" x14ac:dyDescent="0.2">
      <c r="L95" s="37">
        <v>10287</v>
      </c>
      <c r="M95" s="56">
        <v>2880</v>
      </c>
    </row>
    <row r="96" spans="12:13" x14ac:dyDescent="0.2">
      <c r="L96" s="37">
        <v>10288</v>
      </c>
      <c r="M96" s="56">
        <v>10500</v>
      </c>
    </row>
    <row r="97" spans="12:13" x14ac:dyDescent="0.2">
      <c r="L97" s="37">
        <v>10290</v>
      </c>
      <c r="M97" s="56">
        <v>64000</v>
      </c>
    </row>
    <row r="98" spans="12:13" x14ac:dyDescent="0.2">
      <c r="L98" s="37">
        <v>10291</v>
      </c>
      <c r="M98" s="56">
        <v>34000</v>
      </c>
    </row>
    <row r="99" spans="12:13" x14ac:dyDescent="0.2">
      <c r="L99" s="37">
        <v>10293</v>
      </c>
      <c r="M99" s="56">
        <v>6000</v>
      </c>
    </row>
    <row r="100" spans="12:13" x14ac:dyDescent="0.2">
      <c r="L100" s="37">
        <v>10295</v>
      </c>
      <c r="M100" s="56">
        <v>15400</v>
      </c>
    </row>
    <row r="101" spans="12:13" x14ac:dyDescent="0.2">
      <c r="L101" s="37">
        <v>10296</v>
      </c>
      <c r="M101" s="56">
        <v>20000</v>
      </c>
    </row>
    <row r="102" spans="12:13" x14ac:dyDescent="0.2">
      <c r="L102" s="37">
        <v>10297</v>
      </c>
      <c r="M102" s="56">
        <v>17980</v>
      </c>
    </row>
    <row r="103" spans="12:13" x14ac:dyDescent="0.2">
      <c r="L103" s="37">
        <v>10298</v>
      </c>
      <c r="M103" s="56">
        <v>10812</v>
      </c>
    </row>
    <row r="104" spans="12:13" x14ac:dyDescent="0.2">
      <c r="L104" s="37">
        <v>10300</v>
      </c>
      <c r="M104" s="56">
        <v>6000</v>
      </c>
    </row>
    <row r="105" spans="12:13" x14ac:dyDescent="0.2">
      <c r="L105" s="37">
        <v>10301</v>
      </c>
      <c r="M105" s="56">
        <v>6000</v>
      </c>
    </row>
    <row r="106" spans="12:13" x14ac:dyDescent="0.2">
      <c r="L106" s="37">
        <v>10302</v>
      </c>
      <c r="M106" s="56">
        <v>215000</v>
      </c>
    </row>
    <row r="107" spans="12:13" x14ac:dyDescent="0.2">
      <c r="L107" s="37">
        <v>10303</v>
      </c>
      <c r="M107" s="56">
        <v>12000</v>
      </c>
    </row>
    <row r="108" spans="12:13" x14ac:dyDescent="0.2">
      <c r="L108" s="37">
        <v>10305</v>
      </c>
      <c r="M108" s="56">
        <v>15600</v>
      </c>
    </row>
    <row r="109" spans="12:13" x14ac:dyDescent="0.2">
      <c r="L109" s="37">
        <v>10306</v>
      </c>
      <c r="M109" s="56">
        <v>9000</v>
      </c>
    </row>
    <row r="110" spans="12:13" x14ac:dyDescent="0.2">
      <c r="L110" s="37">
        <v>10307</v>
      </c>
      <c r="M110" s="56">
        <v>7200</v>
      </c>
    </row>
    <row r="111" spans="12:13" x14ac:dyDescent="0.2">
      <c r="L111" s="37">
        <v>10308</v>
      </c>
      <c r="M111" s="56">
        <v>75000</v>
      </c>
    </row>
    <row r="112" spans="12:13" x14ac:dyDescent="0.2">
      <c r="L112" s="37">
        <v>10310</v>
      </c>
      <c r="M112" s="56">
        <v>90000</v>
      </c>
    </row>
    <row r="113" spans="12:13" x14ac:dyDescent="0.2">
      <c r="L113" s="37">
        <v>10311</v>
      </c>
      <c r="M113" s="56">
        <v>27500</v>
      </c>
    </row>
    <row r="114" spans="12:13" x14ac:dyDescent="0.2">
      <c r="L114" s="37">
        <v>10312</v>
      </c>
      <c r="M114" s="56">
        <v>14400</v>
      </c>
    </row>
    <row r="115" spans="12:13" x14ac:dyDescent="0.2">
      <c r="L115" s="37">
        <v>10313</v>
      </c>
      <c r="M115" s="56">
        <v>24000</v>
      </c>
    </row>
    <row r="116" spans="12:13" x14ac:dyDescent="0.2">
      <c r="L116" s="37">
        <v>10315</v>
      </c>
      <c r="M116" s="56">
        <v>34000</v>
      </c>
    </row>
    <row r="117" spans="12:13" x14ac:dyDescent="0.2">
      <c r="L117" s="37">
        <v>10316</v>
      </c>
      <c r="M117" s="56">
        <v>3221.25</v>
      </c>
    </row>
    <row r="118" spans="12:13" x14ac:dyDescent="0.2">
      <c r="L118" s="37">
        <v>10317</v>
      </c>
      <c r="M118" s="56">
        <v>5000</v>
      </c>
    </row>
    <row r="119" spans="12:13" x14ac:dyDescent="0.2">
      <c r="L119" s="37">
        <v>10318</v>
      </c>
      <c r="M119" s="56">
        <v>64000</v>
      </c>
    </row>
    <row r="120" spans="12:13" x14ac:dyDescent="0.2">
      <c r="L120" s="37" t="s">
        <v>35</v>
      </c>
      <c r="M120" s="56">
        <v>2239401.2755555557</v>
      </c>
    </row>
  </sheetData>
  <conditionalFormatting sqref="B3">
    <cfRule type="containsText" dxfId="3" priority="5" operator="containsText" text="Qualified">
      <formula>NOT(ISERROR(SEARCH("Qualified",B3)))</formula>
    </cfRule>
  </conditionalFormatting>
  <conditionalFormatting sqref="C3:H3 D4:H4 E5:H6">
    <cfRule type="cellIs" dxfId="2" priority="1" operator="equal">
      <formula>"Qualified"</formula>
    </cfRule>
    <cfRule type="cellIs" dxfId="1" priority="3" operator="equal">
      <formula>"Not Qualified"</formula>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X796"/>
  <sheetViews>
    <sheetView zoomScale="120" zoomScaleNormal="120" workbookViewId="0">
      <pane ySplit="1" topLeftCell="A2" activePane="bottomLeft" state="frozen"/>
      <selection pane="bottomLeft" activeCell="H1" sqref="H1"/>
    </sheetView>
  </sheetViews>
  <sheetFormatPr defaultColWidth="14.42578125" defaultRowHeight="15" customHeight="1" x14ac:dyDescent="0.2"/>
  <cols>
    <col min="1" max="1" width="16.7109375" style="68" customWidth="1"/>
    <col min="2" max="2" width="18.7109375" style="69" customWidth="1"/>
    <col min="3" max="3" width="16.7109375" style="68" customWidth="1"/>
    <col min="4" max="4" width="25.85546875" style="68" customWidth="1"/>
    <col min="5" max="5" width="21.7109375" style="84" customWidth="1"/>
    <col min="6" max="6" width="20.28515625" style="69" customWidth="1"/>
    <col min="7" max="7" width="20.42578125" style="68" customWidth="1"/>
    <col min="8" max="8" width="26" style="84" bestFit="1" customWidth="1"/>
    <col min="9" max="9" width="20.28515625" style="68" bestFit="1" customWidth="1"/>
    <col min="10" max="10" width="20.28515625" style="69" bestFit="1" customWidth="1"/>
    <col min="11" max="11" width="15" style="68" customWidth="1"/>
    <col min="12" max="12" width="19.5703125" style="68" bestFit="1" customWidth="1"/>
    <col min="13" max="13" width="20.42578125" style="84" customWidth="1"/>
    <col min="14" max="14" width="14.42578125" style="85"/>
    <col min="15" max="15" width="18" style="84" customWidth="1"/>
    <col min="16" max="16" width="22.140625" style="84" customWidth="1"/>
    <col min="17" max="17" width="19.140625" style="84" customWidth="1"/>
    <col min="18" max="18" width="22.7109375" style="84" customWidth="1"/>
    <col min="19" max="19" width="24" style="84" customWidth="1"/>
    <col min="20" max="20" width="15.140625" style="84" customWidth="1"/>
    <col min="21" max="21" width="22.7109375" style="68" customWidth="1"/>
    <col min="22" max="22" width="20" style="84" customWidth="1"/>
    <col min="23" max="23" width="32" style="68" bestFit="1" customWidth="1"/>
    <col min="24" max="24" width="23" style="68" bestFit="1" customWidth="1"/>
    <col min="25" max="16384" width="14.42578125" style="68"/>
  </cols>
  <sheetData>
    <row r="1" spans="1:24" ht="12.75" x14ac:dyDescent="0.2">
      <c r="A1" s="68" t="s">
        <v>0</v>
      </c>
      <c r="B1" s="69" t="s">
        <v>1</v>
      </c>
      <c r="C1" s="68" t="s">
        <v>2</v>
      </c>
      <c r="D1" s="68" t="s">
        <v>3</v>
      </c>
      <c r="E1" s="84" t="s">
        <v>4</v>
      </c>
      <c r="F1" s="69" t="s">
        <v>5</v>
      </c>
      <c r="G1" s="68" t="s">
        <v>11</v>
      </c>
      <c r="H1" s="84" t="s">
        <v>49</v>
      </c>
      <c r="I1" s="68" t="s">
        <v>12</v>
      </c>
      <c r="J1" s="69" t="s">
        <v>31</v>
      </c>
      <c r="K1" s="68" t="s">
        <v>33</v>
      </c>
      <c r="L1" s="68" t="s">
        <v>51</v>
      </c>
      <c r="M1" s="84" t="s">
        <v>37</v>
      </c>
      <c r="N1" s="85" t="s">
        <v>54</v>
      </c>
      <c r="O1" s="84" t="s">
        <v>55</v>
      </c>
      <c r="P1" s="84" t="s">
        <v>58</v>
      </c>
      <c r="Q1" s="84" t="s">
        <v>53</v>
      </c>
      <c r="R1" s="84" t="s">
        <v>57</v>
      </c>
      <c r="S1" s="84" t="s">
        <v>59</v>
      </c>
      <c r="T1" s="84" t="s">
        <v>56</v>
      </c>
      <c r="U1" s="68" t="s">
        <v>60</v>
      </c>
      <c r="V1" s="84" t="s">
        <v>61</v>
      </c>
      <c r="W1" s="86" t="s">
        <v>63</v>
      </c>
      <c r="X1" s="86" t="s">
        <v>70</v>
      </c>
    </row>
    <row r="2" spans="1:24" ht="15.75" customHeight="1" x14ac:dyDescent="0.2">
      <c r="A2" s="68">
        <v>10286</v>
      </c>
      <c r="B2" s="69">
        <v>44562</v>
      </c>
      <c r="C2" s="68" t="s">
        <v>6</v>
      </c>
      <c r="D2" s="68">
        <v>30</v>
      </c>
      <c r="E2" s="84">
        <v>15600</v>
      </c>
      <c r="F2" s="69">
        <v>44581</v>
      </c>
      <c r="G2" s="68" t="str">
        <f t="shared" ref="G2:G33" si="0">"Q"&amp;ROUNDUP(MONTH(B2)/3,0)</f>
        <v>Q1</v>
      </c>
      <c r="H2" s="84">
        <f t="shared" ref="H2:H33" si="1">IF(D2&gt;12,((E2/D2)*12),E2)</f>
        <v>6240</v>
      </c>
      <c r="I2" s="68" t="str">
        <f t="shared" ref="I2:I35" si="2">IFERROR("Q"&amp;ROUNDUP(MONTH(F2)/3,0),"First Payment Pending")</f>
        <v>Q1</v>
      </c>
      <c r="J2" s="69">
        <f>_xlfn.IFNA(VLOOKUP(I2,PaymentDates[],2,FALSE),"First Payment Pending")</f>
        <v>44651</v>
      </c>
      <c r="K2" s="68" t="str">
        <f>VLOOKUP(C2,EmployeeNames[],2,FALSE)</f>
        <v>Bob</v>
      </c>
      <c r="L2" s="68" t="str">
        <f>CONCATENATE('Deal Data'!$K2,'Deal Data'!$G2)</f>
        <v>BobQ1</v>
      </c>
      <c r="M2" s="84">
        <f>IF(G2=G1,SUMIFS($H$2:H2,$K$2:K2,K1,$G$2:G2,G1),0)</f>
        <v>0</v>
      </c>
      <c r="N2" s="85">
        <f>VLOOKUP(L2,Base_Rate[[UniqueIdentifier]:[Rate]],2,FALSE)</f>
        <v>0.1</v>
      </c>
      <c r="O2" s="84">
        <f>VLOOKUP(L2,Table3[[UniqueIdentifier]:[Goal]],2,FALSE)</f>
        <v>200000</v>
      </c>
      <c r="P2" s="84">
        <f>O2*1.5</f>
        <v>300000</v>
      </c>
      <c r="Q2" s="84">
        <f>'Deal Data'!$H2*VLOOKUP('Deal Data'!$L2,Base_Rate[[UniqueIdentifier]:[Rate]],2,FALSE)</f>
        <v>624</v>
      </c>
      <c r="R2" s="84">
        <f>IF(M2&gt;=O2,(((M2-O2)*0.5)*N2)-S1,0)</f>
        <v>0</v>
      </c>
      <c r="S2" s="84">
        <f>IF(G2=G1,SUMIFS($R$2:R2,$K$2:K2,K1,$G$2:G2,G1),0)</f>
        <v>0</v>
      </c>
      <c r="T2" s="84">
        <f>IF(M2&gt;=P2,(((M2-P2)*0.5)*N2)-U1,0)</f>
        <v>0</v>
      </c>
      <c r="U2" s="84">
        <f>IF(G2=G1,SUMIFS($T$2:T2,$K$2:K2,K1,$G$2:G2,G1),0)</f>
        <v>0</v>
      </c>
      <c r="V2" s="84">
        <f t="shared" ref="V2:V51" si="3">Q2+R2+T2</f>
        <v>624</v>
      </c>
      <c r="W2" s="84" t="str">
        <f>IF(CommissionDetail[[#This Row],[Tier 2 Bonus]]&gt;0,"Yes","No")</f>
        <v>No</v>
      </c>
      <c r="X2" s="84">
        <f>IF(CommissionDetail[[#This Row],[Payment Quarter]]="First Payment Pending",0,CommissionDetail[[#This Row],[Total Commission]])</f>
        <v>624</v>
      </c>
    </row>
    <row r="3" spans="1:24" ht="15.75" customHeight="1" x14ac:dyDescent="0.2">
      <c r="A3" s="68">
        <v>10281</v>
      </c>
      <c r="B3" s="69">
        <v>44587</v>
      </c>
      <c r="C3" s="68" t="s">
        <v>6</v>
      </c>
      <c r="D3" s="68">
        <v>12</v>
      </c>
      <c r="E3" s="84">
        <v>5114.67</v>
      </c>
      <c r="F3" s="69">
        <v>44615</v>
      </c>
      <c r="G3" s="68" t="str">
        <f t="shared" si="0"/>
        <v>Q1</v>
      </c>
      <c r="H3" s="84">
        <f t="shared" si="1"/>
        <v>5114.67</v>
      </c>
      <c r="I3" s="68" t="str">
        <f t="shared" si="2"/>
        <v>Q1</v>
      </c>
      <c r="J3" s="69">
        <f>_xlfn.IFNA(VLOOKUP(I3,PaymentDates[],2,FALSE),"First Payment Pending")</f>
        <v>44651</v>
      </c>
      <c r="K3" s="68" t="str">
        <f>VLOOKUP(C3,EmployeeNames[],2,FALSE)</f>
        <v>Bob</v>
      </c>
      <c r="L3" s="68" t="str">
        <f>CONCATENATE('Deal Data'!$K3,'Deal Data'!$G3)</f>
        <v>BobQ1</v>
      </c>
      <c r="M3" s="84">
        <f>IF(G3=G2,SUMIFS($H$2:H3,$K$2:K3,K2,$G$2:G3,G2),0)</f>
        <v>11354.67</v>
      </c>
      <c r="N3" s="85">
        <f>VLOOKUP(L3,Base_Rate[[UniqueIdentifier]:[Rate]],2,FALSE)</f>
        <v>0.1</v>
      </c>
      <c r="O3" s="84">
        <f>VLOOKUP(L3,Table3[[UniqueIdentifier]:[Goal]],2,FALSE)</f>
        <v>200000</v>
      </c>
      <c r="P3" s="84">
        <f t="shared" ref="P3:P66" si="4">O3*1.5</f>
        <v>300000</v>
      </c>
      <c r="Q3" s="84">
        <f>'Deal Data'!$H3*VLOOKUP('Deal Data'!$L3,Base_Rate[[UniqueIdentifier]:[Rate]],2,FALSE)</f>
        <v>511.46700000000004</v>
      </c>
      <c r="R3" s="84">
        <f t="shared" ref="R3:R66" si="5">IF(M3&gt;=O3,(((M3-O3)*0.5)*N3)-S2,0)</f>
        <v>0</v>
      </c>
      <c r="S3" s="84">
        <f>IF(G3=G2,SUMIFS($R$2:R3,$K$2:K3,K2,$G$2:G3,G2),0)</f>
        <v>0</v>
      </c>
      <c r="T3" s="84">
        <f t="shared" ref="T3:T66" si="6">IF(M3&gt;=P3,(((M3-P3)*0.5)*N3)-U2,0)</f>
        <v>0</v>
      </c>
      <c r="U3" s="84">
        <f>IF(G3=G2,SUMIFS($T$2:T3,$K$2:K3,K2,$G$2:G3,G2),0)</f>
        <v>0</v>
      </c>
      <c r="V3" s="84">
        <f t="shared" si="3"/>
        <v>511.46700000000004</v>
      </c>
      <c r="W3" s="84" t="str">
        <f>IF(CommissionDetail[[#This Row],[Tier 2 Bonus]]&gt;0,"Yes","No")</f>
        <v>No</v>
      </c>
      <c r="X3" s="84">
        <f>IF(CommissionDetail[[#This Row],[Payment Quarter]]="First Payment Pending",0,CommissionDetail[[#This Row],[Total Commission]])</f>
        <v>511.46700000000004</v>
      </c>
    </row>
    <row r="4" spans="1:24" ht="15.75" customHeight="1" x14ac:dyDescent="0.2">
      <c r="A4" s="68">
        <v>10276</v>
      </c>
      <c r="B4" s="69">
        <v>44588</v>
      </c>
      <c r="C4" s="68" t="s">
        <v>6</v>
      </c>
      <c r="D4" s="68">
        <v>12</v>
      </c>
      <c r="E4" s="84">
        <v>14412</v>
      </c>
      <c r="F4" s="69">
        <v>44593</v>
      </c>
      <c r="G4" s="68" t="str">
        <f t="shared" si="0"/>
        <v>Q1</v>
      </c>
      <c r="H4" s="84">
        <f t="shared" si="1"/>
        <v>14412</v>
      </c>
      <c r="I4" s="68" t="str">
        <f t="shared" si="2"/>
        <v>Q1</v>
      </c>
      <c r="J4" s="69">
        <f>_xlfn.IFNA(VLOOKUP(I4,PaymentDates[],2,FALSE),"First Payment Pending")</f>
        <v>44651</v>
      </c>
      <c r="K4" s="68" t="str">
        <f>VLOOKUP(C4,EmployeeNames[],2,FALSE)</f>
        <v>Bob</v>
      </c>
      <c r="L4" s="68" t="str">
        <f>CONCATENATE('Deal Data'!$K4,'Deal Data'!$G4)</f>
        <v>BobQ1</v>
      </c>
      <c r="M4" s="84">
        <f>IF(G4=G3,SUMIFS($H$2:H4,$K$2:K4,K3,$G$2:G4,G3),0)</f>
        <v>25766.67</v>
      </c>
      <c r="N4" s="85">
        <f>VLOOKUP(L4,Base_Rate[[UniqueIdentifier]:[Rate]],2,FALSE)</f>
        <v>0.1</v>
      </c>
      <c r="O4" s="84">
        <f>VLOOKUP(L4,Table3[[UniqueIdentifier]:[Goal]],2,FALSE)</f>
        <v>200000</v>
      </c>
      <c r="P4" s="84">
        <f t="shared" si="4"/>
        <v>300000</v>
      </c>
      <c r="Q4" s="84">
        <f>'Deal Data'!$H4*VLOOKUP('Deal Data'!$L4,Base_Rate[[UniqueIdentifier]:[Rate]],2,FALSE)</f>
        <v>1441.2</v>
      </c>
      <c r="R4" s="84">
        <f t="shared" si="5"/>
        <v>0</v>
      </c>
      <c r="S4" s="84">
        <f>IF(G4=G3,SUMIFS($R$2:R4,$K$2:K4,K3,$G$2:G4,G3),0)</f>
        <v>0</v>
      </c>
      <c r="T4" s="84">
        <f t="shared" si="6"/>
        <v>0</v>
      </c>
      <c r="U4" s="84">
        <f>IF(G4=G3,SUMIFS($T$2:T4,$K$2:K4,K3,$G$2:G4,G3),0)</f>
        <v>0</v>
      </c>
      <c r="V4" s="84">
        <f t="shared" si="3"/>
        <v>1441.2</v>
      </c>
      <c r="W4" s="84" t="str">
        <f>IF(CommissionDetail[[#This Row],[Tier 2 Bonus]]&gt;0,"Yes","No")</f>
        <v>No</v>
      </c>
      <c r="X4" s="84">
        <f>IF(CommissionDetail[[#This Row],[Payment Quarter]]="First Payment Pending",0,CommissionDetail[[#This Row],[Total Commission]])</f>
        <v>1441.2</v>
      </c>
    </row>
    <row r="5" spans="1:24" ht="15.75" customHeight="1" x14ac:dyDescent="0.2">
      <c r="A5" s="68">
        <v>10271</v>
      </c>
      <c r="B5" s="69">
        <v>44592</v>
      </c>
      <c r="C5" s="68" t="s">
        <v>6</v>
      </c>
      <c r="D5" s="68">
        <v>12</v>
      </c>
      <c r="E5" s="84">
        <v>12000</v>
      </c>
      <c r="F5" s="69">
        <v>44602</v>
      </c>
      <c r="G5" s="68" t="str">
        <f t="shared" si="0"/>
        <v>Q1</v>
      </c>
      <c r="H5" s="84">
        <f t="shared" si="1"/>
        <v>12000</v>
      </c>
      <c r="I5" s="68" t="str">
        <f t="shared" si="2"/>
        <v>Q1</v>
      </c>
      <c r="J5" s="69">
        <f>_xlfn.IFNA(VLOOKUP(I5,PaymentDates[],2,FALSE),"First Payment Pending")</f>
        <v>44651</v>
      </c>
      <c r="K5" s="68" t="str">
        <f>VLOOKUP(C5,EmployeeNames[],2,FALSE)</f>
        <v>Bob</v>
      </c>
      <c r="L5" s="68" t="str">
        <f>CONCATENATE('Deal Data'!$K5,'Deal Data'!$G5)</f>
        <v>BobQ1</v>
      </c>
      <c r="M5" s="84">
        <f>IF(G5=G4,SUMIFS($H$2:H5,$K$2:K5,K4,$G$2:G5,G4),0)</f>
        <v>37766.67</v>
      </c>
      <c r="N5" s="85">
        <f>VLOOKUP(L5,Base_Rate[[UniqueIdentifier]:[Rate]],2,FALSE)</f>
        <v>0.1</v>
      </c>
      <c r="O5" s="84">
        <f>VLOOKUP(L5,Table3[[UniqueIdentifier]:[Goal]],2,FALSE)</f>
        <v>200000</v>
      </c>
      <c r="P5" s="84">
        <f t="shared" si="4"/>
        <v>300000</v>
      </c>
      <c r="Q5" s="84">
        <f>'Deal Data'!$H5*VLOOKUP('Deal Data'!$L5,Base_Rate[[UniqueIdentifier]:[Rate]],2,FALSE)</f>
        <v>1200</v>
      </c>
      <c r="R5" s="84">
        <f t="shared" si="5"/>
        <v>0</v>
      </c>
      <c r="S5" s="84">
        <f>IF(G5=G4,SUMIFS($R$2:R5,$K$2:K5,K4,$G$2:G5,G4),0)</f>
        <v>0</v>
      </c>
      <c r="T5" s="84">
        <f t="shared" si="6"/>
        <v>0</v>
      </c>
      <c r="U5" s="84">
        <f>IF(G5=G4,SUMIFS($T$2:T5,$K$2:K5,K4,$G$2:G5,G4),0)</f>
        <v>0</v>
      </c>
      <c r="V5" s="84">
        <f t="shared" si="3"/>
        <v>1200</v>
      </c>
      <c r="W5" s="84" t="str">
        <f>IF(CommissionDetail[[#This Row],[Tier 2 Bonus]]&gt;0,"Yes","No")</f>
        <v>No</v>
      </c>
      <c r="X5" s="84">
        <f>IF(CommissionDetail[[#This Row],[Payment Quarter]]="First Payment Pending",0,CommissionDetail[[#This Row],[Total Commission]])</f>
        <v>1200</v>
      </c>
    </row>
    <row r="6" spans="1:24" ht="15.75" customHeight="1" x14ac:dyDescent="0.2">
      <c r="A6" s="68">
        <v>10266</v>
      </c>
      <c r="B6" s="69">
        <v>44595</v>
      </c>
      <c r="C6" s="68" t="s">
        <v>6</v>
      </c>
      <c r="D6" s="68">
        <v>36</v>
      </c>
      <c r="E6" s="84">
        <v>18000</v>
      </c>
      <c r="F6" s="69">
        <v>44606</v>
      </c>
      <c r="G6" s="68" t="str">
        <f t="shared" si="0"/>
        <v>Q1</v>
      </c>
      <c r="H6" s="84">
        <f t="shared" si="1"/>
        <v>6000</v>
      </c>
      <c r="I6" s="68" t="str">
        <f t="shared" si="2"/>
        <v>Q1</v>
      </c>
      <c r="J6" s="69">
        <f>_xlfn.IFNA(VLOOKUP(I6,PaymentDates[],2,FALSE),"First Payment Pending")</f>
        <v>44651</v>
      </c>
      <c r="K6" s="68" t="str">
        <f>VLOOKUP(C6,EmployeeNames[],2,FALSE)</f>
        <v>Bob</v>
      </c>
      <c r="L6" s="68" t="str">
        <f>CONCATENATE('Deal Data'!$K6,'Deal Data'!$G6)</f>
        <v>BobQ1</v>
      </c>
      <c r="M6" s="84">
        <f>IF(G6=G5,SUMIFS($H$2:H6,$K$2:K6,K5,$G$2:G6,G5),0)</f>
        <v>43766.67</v>
      </c>
      <c r="N6" s="85">
        <f>VLOOKUP(L6,Base_Rate[[UniqueIdentifier]:[Rate]],2,FALSE)</f>
        <v>0.1</v>
      </c>
      <c r="O6" s="84">
        <f>VLOOKUP(L6,Table3[[UniqueIdentifier]:[Goal]],2,FALSE)</f>
        <v>200000</v>
      </c>
      <c r="P6" s="84">
        <f t="shared" si="4"/>
        <v>300000</v>
      </c>
      <c r="Q6" s="84">
        <f>'Deal Data'!$H6*VLOOKUP('Deal Data'!$L6,Base_Rate[[UniqueIdentifier]:[Rate]],2,FALSE)</f>
        <v>600</v>
      </c>
      <c r="R6" s="84">
        <f t="shared" si="5"/>
        <v>0</v>
      </c>
      <c r="S6" s="84">
        <f>IF(G6=G5,SUMIFS($R$2:R6,$K$2:K6,K5,$G$2:G6,G5),0)</f>
        <v>0</v>
      </c>
      <c r="T6" s="84">
        <f t="shared" si="6"/>
        <v>0</v>
      </c>
      <c r="U6" s="84">
        <f>IF(G6=G5,SUMIFS($T$2:T6,$K$2:K6,K5,$G$2:G6,G5),0)</f>
        <v>0</v>
      </c>
      <c r="V6" s="84">
        <f t="shared" si="3"/>
        <v>600</v>
      </c>
      <c r="W6" s="84" t="str">
        <f>IF(CommissionDetail[[#This Row],[Tier 2 Bonus]]&gt;0,"Yes","No")</f>
        <v>No</v>
      </c>
      <c r="X6" s="84">
        <f>IF(CommissionDetail[[#This Row],[Payment Quarter]]="First Payment Pending",0,CommissionDetail[[#This Row],[Total Commission]])</f>
        <v>600</v>
      </c>
    </row>
    <row r="7" spans="1:24" ht="15.75" customHeight="1" x14ac:dyDescent="0.2">
      <c r="A7" s="68">
        <v>10131</v>
      </c>
      <c r="B7" s="69">
        <v>44606</v>
      </c>
      <c r="C7" s="68" t="s">
        <v>6</v>
      </c>
      <c r="D7" s="68">
        <v>12</v>
      </c>
      <c r="E7" s="84">
        <v>24000</v>
      </c>
      <c r="F7" s="69" t="s">
        <v>10</v>
      </c>
      <c r="G7" s="68" t="str">
        <f t="shared" si="0"/>
        <v>Q1</v>
      </c>
      <c r="H7" s="84">
        <f t="shared" si="1"/>
        <v>24000</v>
      </c>
      <c r="I7" s="68" t="str">
        <f t="shared" si="2"/>
        <v>First Payment Pending</v>
      </c>
      <c r="J7" s="69" t="str">
        <f>_xlfn.IFNA(VLOOKUP(I7,PaymentDates[],2,FALSE),"First Payment Pending")</f>
        <v>First Payment Pending</v>
      </c>
      <c r="K7" s="68" t="str">
        <f>VLOOKUP(C7,EmployeeNames[],2,FALSE)</f>
        <v>Bob</v>
      </c>
      <c r="L7" s="68" t="str">
        <f>CONCATENATE('Deal Data'!$K7,'Deal Data'!$G7)</f>
        <v>BobQ1</v>
      </c>
      <c r="M7" s="84">
        <f>IF(G7=G6,SUMIFS($H$2:H7,$K$2:K7,K6,$G$2:G7,G6),0)</f>
        <v>67766.67</v>
      </c>
      <c r="N7" s="85">
        <f>VLOOKUP(L7,Base_Rate[[UniqueIdentifier]:[Rate]],2,FALSE)</f>
        <v>0.1</v>
      </c>
      <c r="O7" s="84">
        <f>VLOOKUP(L7,Table3[[UniqueIdentifier]:[Goal]],2,FALSE)</f>
        <v>200000</v>
      </c>
      <c r="P7" s="84">
        <f t="shared" si="4"/>
        <v>300000</v>
      </c>
      <c r="Q7" s="84">
        <f>'Deal Data'!$H7*VLOOKUP('Deal Data'!$L7,Base_Rate[[UniqueIdentifier]:[Rate]],2,FALSE)</f>
        <v>2400</v>
      </c>
      <c r="R7" s="84">
        <f t="shared" si="5"/>
        <v>0</v>
      </c>
      <c r="S7" s="84">
        <f>IF(G7=G6,SUMIFS($R$2:R7,$K$2:K7,K6,$G$2:G7,G6),0)</f>
        <v>0</v>
      </c>
      <c r="T7" s="84">
        <f t="shared" si="6"/>
        <v>0</v>
      </c>
      <c r="U7" s="84">
        <f>IF(G7=G6,SUMIFS($T$2:T7,$K$2:K7,K6,$G$2:G7,G6),0)</f>
        <v>0</v>
      </c>
      <c r="V7" s="84">
        <f t="shared" si="3"/>
        <v>2400</v>
      </c>
      <c r="W7" s="84" t="str">
        <f>IF(CommissionDetail[[#This Row],[Tier 2 Bonus]]&gt;0,"Yes","No")</f>
        <v>No</v>
      </c>
      <c r="X7" s="84">
        <f>IF(CommissionDetail[[#This Row],[Payment Quarter]]="First Payment Pending",0,CommissionDetail[[#This Row],[Total Commission]])</f>
        <v>0</v>
      </c>
    </row>
    <row r="8" spans="1:24" ht="15.75" customHeight="1" x14ac:dyDescent="0.2">
      <c r="A8" s="68">
        <v>10151</v>
      </c>
      <c r="B8" s="69">
        <v>44620</v>
      </c>
      <c r="C8" s="68" t="s">
        <v>6</v>
      </c>
      <c r="D8" s="68">
        <v>24</v>
      </c>
      <c r="E8" s="84">
        <v>4000</v>
      </c>
      <c r="F8" s="69">
        <v>44684</v>
      </c>
      <c r="G8" s="68" t="str">
        <f t="shared" si="0"/>
        <v>Q1</v>
      </c>
      <c r="H8" s="84">
        <f t="shared" si="1"/>
        <v>2000</v>
      </c>
      <c r="I8" s="68" t="str">
        <f t="shared" si="2"/>
        <v>Q2</v>
      </c>
      <c r="J8" s="69">
        <f>_xlfn.IFNA(VLOOKUP(I8,PaymentDates[],2,FALSE),"First Payment Pending")</f>
        <v>44742</v>
      </c>
      <c r="K8" s="68" t="str">
        <f>VLOOKUP(C8,EmployeeNames[],2,FALSE)</f>
        <v>Bob</v>
      </c>
      <c r="L8" s="68" t="str">
        <f>CONCATENATE('Deal Data'!$K8,'Deal Data'!$G8)</f>
        <v>BobQ1</v>
      </c>
      <c r="M8" s="84">
        <f>IF(G8=G7,SUMIFS($H$2:H8,$K$2:K8,K7,$G$2:G8,G7),0)</f>
        <v>69766.67</v>
      </c>
      <c r="N8" s="85">
        <f>VLOOKUP(L8,Base_Rate[[UniqueIdentifier]:[Rate]],2,FALSE)</f>
        <v>0.1</v>
      </c>
      <c r="O8" s="84">
        <f>VLOOKUP(L8,Table3[[UniqueIdentifier]:[Goal]],2,FALSE)</f>
        <v>200000</v>
      </c>
      <c r="P8" s="84">
        <f t="shared" si="4"/>
        <v>300000</v>
      </c>
      <c r="Q8" s="84">
        <f>'Deal Data'!$H8*VLOOKUP('Deal Data'!$L8,Base_Rate[[UniqueIdentifier]:[Rate]],2,FALSE)</f>
        <v>200</v>
      </c>
      <c r="R8" s="84">
        <f t="shared" si="5"/>
        <v>0</v>
      </c>
      <c r="S8" s="84">
        <f>IF(G8=G7,SUMIFS($R$2:R8,$K$2:K8,K7,$G$2:G8,G7),0)</f>
        <v>0</v>
      </c>
      <c r="T8" s="84">
        <f t="shared" si="6"/>
        <v>0</v>
      </c>
      <c r="U8" s="84">
        <f>IF(G8=G7,SUMIFS($T$2:T8,$K$2:K8,K7,$G$2:G8,G7),0)</f>
        <v>0</v>
      </c>
      <c r="V8" s="84">
        <f t="shared" si="3"/>
        <v>200</v>
      </c>
      <c r="W8" s="84" t="str">
        <f>IF(CommissionDetail[[#This Row],[Tier 2 Bonus]]&gt;0,"Yes","No")</f>
        <v>No</v>
      </c>
      <c r="X8" s="84">
        <f>IF(CommissionDetail[[#This Row],[Payment Quarter]]="First Payment Pending",0,CommissionDetail[[#This Row],[Total Commission]])</f>
        <v>200</v>
      </c>
    </row>
    <row r="9" spans="1:24" ht="15.75" customHeight="1" x14ac:dyDescent="0.2">
      <c r="A9" s="68">
        <v>10156</v>
      </c>
      <c r="B9" s="69">
        <v>44620</v>
      </c>
      <c r="C9" s="68" t="s">
        <v>6</v>
      </c>
      <c r="D9" s="68">
        <v>12</v>
      </c>
      <c r="E9" s="84">
        <v>5175</v>
      </c>
      <c r="F9" s="69">
        <v>44685</v>
      </c>
      <c r="G9" s="68" t="str">
        <f t="shared" si="0"/>
        <v>Q1</v>
      </c>
      <c r="H9" s="84">
        <f t="shared" si="1"/>
        <v>5175</v>
      </c>
      <c r="I9" s="68" t="str">
        <f t="shared" si="2"/>
        <v>Q2</v>
      </c>
      <c r="J9" s="69">
        <f>_xlfn.IFNA(VLOOKUP(I9,PaymentDates[],2,FALSE),"First Payment Pending")</f>
        <v>44742</v>
      </c>
      <c r="K9" s="68" t="str">
        <f>VLOOKUP(C9,EmployeeNames[],2,FALSE)</f>
        <v>Bob</v>
      </c>
      <c r="L9" s="68" t="str">
        <f>CONCATENATE('Deal Data'!$K9,'Deal Data'!$G9)</f>
        <v>BobQ1</v>
      </c>
      <c r="M9" s="84">
        <f>IF(G9=G8,SUMIFS($H$2:H9,$K$2:K9,K8,$G$2:G9,G8),0)</f>
        <v>74941.67</v>
      </c>
      <c r="N9" s="85">
        <f>VLOOKUP(L9,Base_Rate[[UniqueIdentifier]:[Rate]],2,FALSE)</f>
        <v>0.1</v>
      </c>
      <c r="O9" s="84">
        <f>VLOOKUP(L9,Table3[[UniqueIdentifier]:[Goal]],2,FALSE)</f>
        <v>200000</v>
      </c>
      <c r="P9" s="84">
        <f t="shared" si="4"/>
        <v>300000</v>
      </c>
      <c r="Q9" s="84">
        <f>'Deal Data'!$H9*VLOOKUP('Deal Data'!$L9,Base_Rate[[UniqueIdentifier]:[Rate]],2,FALSE)</f>
        <v>517.5</v>
      </c>
      <c r="R9" s="84">
        <f t="shared" si="5"/>
        <v>0</v>
      </c>
      <c r="S9" s="84">
        <f>IF(G9=G8,SUMIFS($R$2:R9,$K$2:K9,K8,$G$2:G9,G8),0)</f>
        <v>0</v>
      </c>
      <c r="T9" s="84">
        <f t="shared" si="6"/>
        <v>0</v>
      </c>
      <c r="U9" s="84">
        <f>IF(G9=G8,SUMIFS($T$2:T9,$K$2:K9,K8,$G$2:G9,G8),0)</f>
        <v>0</v>
      </c>
      <c r="V9" s="84">
        <f t="shared" si="3"/>
        <v>517.5</v>
      </c>
      <c r="W9" s="84" t="str">
        <f>IF(CommissionDetail[[#This Row],[Tier 2 Bonus]]&gt;0,"Yes","No")</f>
        <v>No</v>
      </c>
      <c r="X9" s="84">
        <f>IF(CommissionDetail[[#This Row],[Payment Quarter]]="First Payment Pending",0,CommissionDetail[[#This Row],[Total Commission]])</f>
        <v>517.5</v>
      </c>
    </row>
    <row r="10" spans="1:24" ht="15.75" customHeight="1" x14ac:dyDescent="0.2">
      <c r="A10" s="68">
        <v>10291</v>
      </c>
      <c r="B10" s="69">
        <v>44622</v>
      </c>
      <c r="C10" s="68" t="s">
        <v>6</v>
      </c>
      <c r="D10" s="68">
        <v>30</v>
      </c>
      <c r="E10" s="84">
        <v>85000</v>
      </c>
      <c r="F10" s="69">
        <v>44724</v>
      </c>
      <c r="G10" s="68" t="str">
        <f t="shared" si="0"/>
        <v>Q1</v>
      </c>
      <c r="H10" s="84">
        <f t="shared" si="1"/>
        <v>34000</v>
      </c>
      <c r="I10" s="68" t="str">
        <f t="shared" si="2"/>
        <v>Q2</v>
      </c>
      <c r="J10" s="69">
        <f>_xlfn.IFNA(VLOOKUP(I10,PaymentDates[],2,FALSE),"First Payment Pending")</f>
        <v>44742</v>
      </c>
      <c r="K10" s="68" t="str">
        <f>VLOOKUP(C10,EmployeeNames[],2,FALSE)</f>
        <v>Bob</v>
      </c>
      <c r="L10" s="68" t="str">
        <f>CONCATENATE('Deal Data'!$K10,'Deal Data'!$G10)</f>
        <v>BobQ1</v>
      </c>
      <c r="M10" s="84">
        <f>IF(G10=G9,SUMIFS($H$2:H10,$K$2:K10,K9,$G$2:G10,G9),0)</f>
        <v>108941.67</v>
      </c>
      <c r="N10" s="85">
        <f>VLOOKUP(L10,Base_Rate[[UniqueIdentifier]:[Rate]],2,FALSE)</f>
        <v>0.1</v>
      </c>
      <c r="O10" s="84">
        <f>VLOOKUP(L10,Table3[[UniqueIdentifier]:[Goal]],2,FALSE)</f>
        <v>200000</v>
      </c>
      <c r="P10" s="84">
        <f t="shared" si="4"/>
        <v>300000</v>
      </c>
      <c r="Q10" s="84">
        <f>'Deal Data'!$H10*VLOOKUP('Deal Data'!$L10,Base_Rate[[UniqueIdentifier]:[Rate]],2,FALSE)</f>
        <v>3400</v>
      </c>
      <c r="R10" s="84">
        <f t="shared" si="5"/>
        <v>0</v>
      </c>
      <c r="S10" s="84">
        <f>IF(G10=G9,SUMIFS($R$2:R10,$K$2:K10,K9,$G$2:G10,G9),0)</f>
        <v>0</v>
      </c>
      <c r="T10" s="84">
        <f t="shared" si="6"/>
        <v>0</v>
      </c>
      <c r="U10" s="84">
        <f>IF(G10=G9,SUMIFS($T$2:T10,$K$2:K10,K9,$G$2:G10,G9),0)</f>
        <v>0</v>
      </c>
      <c r="V10" s="84">
        <f t="shared" si="3"/>
        <v>3400</v>
      </c>
      <c r="W10" s="84" t="str">
        <f>IF(CommissionDetail[[#This Row],[Tier 2 Bonus]]&gt;0,"Yes","No")</f>
        <v>No</v>
      </c>
      <c r="X10" s="84">
        <f>IF(CommissionDetail[[#This Row],[Payment Quarter]]="First Payment Pending",0,CommissionDetail[[#This Row],[Total Commission]])</f>
        <v>3400</v>
      </c>
    </row>
    <row r="11" spans="1:24" ht="15.75" customHeight="1" x14ac:dyDescent="0.2">
      <c r="A11" s="68">
        <v>10141</v>
      </c>
      <c r="B11" s="69">
        <v>44625</v>
      </c>
      <c r="C11" s="68" t="s">
        <v>6</v>
      </c>
      <c r="D11" s="68">
        <v>12</v>
      </c>
      <c r="E11" s="84">
        <v>20000</v>
      </c>
      <c r="F11" s="69">
        <v>44683</v>
      </c>
      <c r="G11" s="68" t="str">
        <f t="shared" si="0"/>
        <v>Q1</v>
      </c>
      <c r="H11" s="84">
        <f t="shared" si="1"/>
        <v>20000</v>
      </c>
      <c r="I11" s="68" t="str">
        <f t="shared" si="2"/>
        <v>Q2</v>
      </c>
      <c r="J11" s="69">
        <f>_xlfn.IFNA(VLOOKUP(I11,PaymentDates[],2,FALSE),"First Payment Pending")</f>
        <v>44742</v>
      </c>
      <c r="K11" s="68" t="str">
        <f>VLOOKUP(C11,EmployeeNames[],2,FALSE)</f>
        <v>Bob</v>
      </c>
      <c r="L11" s="68" t="str">
        <f>CONCATENATE('Deal Data'!$K11,'Deal Data'!$G11)</f>
        <v>BobQ1</v>
      </c>
      <c r="M11" s="84">
        <f>IF(G11=G10,SUMIFS($H$2:H11,$K$2:K11,K10,$G$2:G11,G10),0)</f>
        <v>128941.67</v>
      </c>
      <c r="N11" s="85">
        <f>VLOOKUP(L11,Base_Rate[[UniqueIdentifier]:[Rate]],2,FALSE)</f>
        <v>0.1</v>
      </c>
      <c r="O11" s="84">
        <f>VLOOKUP(L11,Table3[[UniqueIdentifier]:[Goal]],2,FALSE)</f>
        <v>200000</v>
      </c>
      <c r="P11" s="84">
        <f t="shared" si="4"/>
        <v>300000</v>
      </c>
      <c r="Q11" s="84">
        <f>'Deal Data'!$H11*VLOOKUP('Deal Data'!$L11,Base_Rate[[UniqueIdentifier]:[Rate]],2,FALSE)</f>
        <v>2000</v>
      </c>
      <c r="R11" s="84">
        <f t="shared" si="5"/>
        <v>0</v>
      </c>
      <c r="S11" s="84">
        <f>IF(G11=G10,SUMIFS($R$2:R11,$K$2:K11,K10,$G$2:G11,G10),0)</f>
        <v>0</v>
      </c>
      <c r="T11" s="84">
        <f t="shared" si="6"/>
        <v>0</v>
      </c>
      <c r="U11" s="84">
        <f>IF(G11=G10,SUMIFS($T$2:T11,$K$2:K11,K10,$G$2:G11,G10),0)</f>
        <v>0</v>
      </c>
      <c r="V11" s="84">
        <f t="shared" si="3"/>
        <v>2000</v>
      </c>
      <c r="W11" s="84" t="str">
        <f>IF(CommissionDetail[[#This Row],[Tier 2 Bonus]]&gt;0,"Yes","No")</f>
        <v>No</v>
      </c>
      <c r="X11" s="84">
        <f>IF(CommissionDetail[[#This Row],[Payment Quarter]]="First Payment Pending",0,CommissionDetail[[#This Row],[Total Commission]])</f>
        <v>2000</v>
      </c>
    </row>
    <row r="12" spans="1:24" ht="15.75" customHeight="1" x14ac:dyDescent="0.2">
      <c r="A12" s="68">
        <v>10001</v>
      </c>
      <c r="B12" s="69">
        <v>44633</v>
      </c>
      <c r="C12" s="68" t="s">
        <v>6</v>
      </c>
      <c r="D12" s="68">
        <v>12</v>
      </c>
      <c r="E12" s="84">
        <v>45000</v>
      </c>
      <c r="F12" s="69" t="s">
        <v>10</v>
      </c>
      <c r="G12" s="68" t="str">
        <f t="shared" si="0"/>
        <v>Q1</v>
      </c>
      <c r="H12" s="84">
        <f t="shared" si="1"/>
        <v>45000</v>
      </c>
      <c r="I12" s="68" t="str">
        <f t="shared" si="2"/>
        <v>First Payment Pending</v>
      </c>
      <c r="J12" s="69" t="str">
        <f>_xlfn.IFNA(VLOOKUP(I12,PaymentDates[],2,FALSE),"First Payment Pending")</f>
        <v>First Payment Pending</v>
      </c>
      <c r="K12" s="68" t="str">
        <f>VLOOKUP(C12,EmployeeNames[],2,FALSE)</f>
        <v>Bob</v>
      </c>
      <c r="L12" s="68" t="str">
        <f>CONCATENATE('Deal Data'!$K12,'Deal Data'!$G12)</f>
        <v>BobQ1</v>
      </c>
      <c r="M12" s="84">
        <f>IF(G12=G11,SUMIFS($H$2:H12,$K$2:K12,K11,$G$2:G12,G11),0)</f>
        <v>173941.66999999998</v>
      </c>
      <c r="N12" s="85">
        <f>VLOOKUP(L12,Base_Rate[[UniqueIdentifier]:[Rate]],2,FALSE)</f>
        <v>0.1</v>
      </c>
      <c r="O12" s="84">
        <f>VLOOKUP(L12,Table3[[UniqueIdentifier]:[Goal]],2,FALSE)</f>
        <v>200000</v>
      </c>
      <c r="P12" s="84">
        <f t="shared" si="4"/>
        <v>300000</v>
      </c>
      <c r="Q12" s="84">
        <f>'Deal Data'!$H12*VLOOKUP('Deal Data'!$L12,Base_Rate[[UniqueIdentifier]:[Rate]],2,FALSE)</f>
        <v>4500</v>
      </c>
      <c r="R12" s="84">
        <f t="shared" si="5"/>
        <v>0</v>
      </c>
      <c r="S12" s="84">
        <f>IF(G12=G11,SUMIFS($R$2:R12,$K$2:K12,K11,$G$2:G12,G11),0)</f>
        <v>0</v>
      </c>
      <c r="T12" s="84">
        <f t="shared" si="6"/>
        <v>0</v>
      </c>
      <c r="U12" s="84">
        <f>IF(G12=G11,SUMIFS($T$2:T12,$K$2:K12,K11,$G$2:G12,G11),0)</f>
        <v>0</v>
      </c>
      <c r="V12" s="84">
        <f t="shared" si="3"/>
        <v>4500</v>
      </c>
      <c r="W12" s="84" t="str">
        <f>IF(CommissionDetail[[#This Row],[Tier 2 Bonus]]&gt;0,"Yes","No")</f>
        <v>No</v>
      </c>
      <c r="X12" s="84">
        <f>IF(CommissionDetail[[#This Row],[Payment Quarter]]="First Payment Pending",0,CommissionDetail[[#This Row],[Total Commission]])</f>
        <v>0</v>
      </c>
    </row>
    <row r="13" spans="1:24" ht="15.75" customHeight="1" x14ac:dyDescent="0.2">
      <c r="A13" s="68">
        <v>10046</v>
      </c>
      <c r="B13" s="69">
        <v>44636</v>
      </c>
      <c r="C13" s="68" t="s">
        <v>6</v>
      </c>
      <c r="D13" s="68">
        <v>12</v>
      </c>
      <c r="E13" s="84">
        <v>3000</v>
      </c>
      <c r="F13" s="69">
        <v>44644</v>
      </c>
      <c r="G13" s="68" t="str">
        <f t="shared" si="0"/>
        <v>Q1</v>
      </c>
      <c r="H13" s="84">
        <f t="shared" si="1"/>
        <v>3000</v>
      </c>
      <c r="I13" s="68" t="str">
        <f t="shared" si="2"/>
        <v>Q1</v>
      </c>
      <c r="J13" s="69">
        <f>_xlfn.IFNA(VLOOKUP(I13,PaymentDates[],2,FALSE),"First Payment Pending")</f>
        <v>44651</v>
      </c>
      <c r="K13" s="68" t="str">
        <f>VLOOKUP(C13,EmployeeNames[],2,FALSE)</f>
        <v>Bob</v>
      </c>
      <c r="L13" s="68" t="str">
        <f>CONCATENATE('Deal Data'!$K13,'Deal Data'!$G13)</f>
        <v>BobQ1</v>
      </c>
      <c r="M13" s="84">
        <f>IF(G13=G12,SUMIFS($H$2:H13,$K$2:K13,K12,$G$2:G13,G12),0)</f>
        <v>176941.66999999998</v>
      </c>
      <c r="N13" s="85">
        <f>VLOOKUP(L13,Base_Rate[[UniqueIdentifier]:[Rate]],2,FALSE)</f>
        <v>0.1</v>
      </c>
      <c r="O13" s="84">
        <f>VLOOKUP(L13,Table3[[UniqueIdentifier]:[Goal]],2,FALSE)</f>
        <v>200000</v>
      </c>
      <c r="P13" s="84">
        <f t="shared" si="4"/>
        <v>300000</v>
      </c>
      <c r="Q13" s="84">
        <f>'Deal Data'!$H13*VLOOKUP('Deal Data'!$L13,Base_Rate[[UniqueIdentifier]:[Rate]],2,FALSE)</f>
        <v>300</v>
      </c>
      <c r="R13" s="84">
        <f t="shared" si="5"/>
        <v>0</v>
      </c>
      <c r="S13" s="84">
        <f>IF(G13=G12,SUMIFS($R$2:R13,$K$2:K13,K12,$G$2:G13,G12),0)</f>
        <v>0</v>
      </c>
      <c r="T13" s="84">
        <f t="shared" si="6"/>
        <v>0</v>
      </c>
      <c r="U13" s="84">
        <f>IF(G13=G12,SUMIFS($T$2:T13,$K$2:K13,K12,$G$2:G13,G12),0)</f>
        <v>0</v>
      </c>
      <c r="V13" s="84">
        <f t="shared" si="3"/>
        <v>300</v>
      </c>
      <c r="W13" s="84" t="str">
        <f>IF(CommissionDetail[[#This Row],[Tier 2 Bonus]]&gt;0,"Yes","No")</f>
        <v>No</v>
      </c>
      <c r="X13" s="84">
        <f>IF(CommissionDetail[[#This Row],[Payment Quarter]]="First Payment Pending",0,CommissionDetail[[#This Row],[Total Commission]])</f>
        <v>300</v>
      </c>
    </row>
    <row r="14" spans="1:24" ht="15.75" customHeight="1" x14ac:dyDescent="0.2">
      <c r="A14" s="68">
        <v>10051</v>
      </c>
      <c r="B14" s="69">
        <v>44636</v>
      </c>
      <c r="C14" s="68" t="s">
        <v>6</v>
      </c>
      <c r="D14" s="68">
        <v>30</v>
      </c>
      <c r="E14" s="84">
        <v>24000</v>
      </c>
      <c r="F14" s="69" t="s">
        <v>10</v>
      </c>
      <c r="G14" s="68" t="str">
        <f t="shared" si="0"/>
        <v>Q1</v>
      </c>
      <c r="H14" s="84">
        <f t="shared" si="1"/>
        <v>9600</v>
      </c>
      <c r="I14" s="68" t="str">
        <f t="shared" si="2"/>
        <v>First Payment Pending</v>
      </c>
      <c r="J14" s="69" t="str">
        <f>_xlfn.IFNA(VLOOKUP(I14,PaymentDates[],2,FALSE),"First Payment Pending")</f>
        <v>First Payment Pending</v>
      </c>
      <c r="K14" s="68" t="str">
        <f>VLOOKUP(C14,EmployeeNames[],2,FALSE)</f>
        <v>Bob</v>
      </c>
      <c r="L14" s="68" t="str">
        <f>CONCATENATE('Deal Data'!$K14,'Deal Data'!$G14)</f>
        <v>BobQ1</v>
      </c>
      <c r="M14" s="84">
        <f>IF(G14=G13,SUMIFS($H$2:H14,$K$2:K14,K13,$G$2:G14,G13),0)</f>
        <v>186541.66999999998</v>
      </c>
      <c r="N14" s="85">
        <f>VLOOKUP(L14,Base_Rate[[UniqueIdentifier]:[Rate]],2,FALSE)</f>
        <v>0.1</v>
      </c>
      <c r="O14" s="84">
        <f>VLOOKUP(L14,Table3[[UniqueIdentifier]:[Goal]],2,FALSE)</f>
        <v>200000</v>
      </c>
      <c r="P14" s="84">
        <f t="shared" si="4"/>
        <v>300000</v>
      </c>
      <c r="Q14" s="84">
        <f>'Deal Data'!$H14*VLOOKUP('Deal Data'!$L14,Base_Rate[[UniqueIdentifier]:[Rate]],2,FALSE)</f>
        <v>960</v>
      </c>
      <c r="R14" s="84">
        <f t="shared" si="5"/>
        <v>0</v>
      </c>
      <c r="S14" s="84">
        <f>IF(G14=G13,SUMIFS($R$2:R14,$K$2:K14,K13,$G$2:G14,G13),0)</f>
        <v>0</v>
      </c>
      <c r="T14" s="84">
        <f t="shared" si="6"/>
        <v>0</v>
      </c>
      <c r="U14" s="84">
        <f>IF(G14=G13,SUMIFS($T$2:T14,$K$2:K14,K13,$G$2:G14,G13),0)</f>
        <v>0</v>
      </c>
      <c r="V14" s="84">
        <f t="shared" si="3"/>
        <v>960</v>
      </c>
      <c r="W14" s="84" t="str">
        <f>IF(CommissionDetail[[#This Row],[Tier 2 Bonus]]&gt;0,"Yes","No")</f>
        <v>No</v>
      </c>
      <c r="X14" s="84">
        <f>IF(CommissionDetail[[#This Row],[Payment Quarter]]="First Payment Pending",0,CommissionDetail[[#This Row],[Total Commission]])</f>
        <v>0</v>
      </c>
    </row>
    <row r="15" spans="1:24" ht="15.75" customHeight="1" x14ac:dyDescent="0.2">
      <c r="A15" s="68">
        <v>10246</v>
      </c>
      <c r="B15" s="69">
        <v>44640</v>
      </c>
      <c r="C15" s="68" t="s">
        <v>6</v>
      </c>
      <c r="D15" s="68">
        <v>12</v>
      </c>
      <c r="E15" s="84">
        <v>7200</v>
      </c>
      <c r="F15" s="69">
        <v>44642</v>
      </c>
      <c r="G15" s="68" t="str">
        <f t="shared" si="0"/>
        <v>Q1</v>
      </c>
      <c r="H15" s="84">
        <f t="shared" si="1"/>
        <v>7200</v>
      </c>
      <c r="I15" s="68" t="str">
        <f t="shared" si="2"/>
        <v>Q1</v>
      </c>
      <c r="J15" s="69">
        <f>_xlfn.IFNA(VLOOKUP(I15,PaymentDates[],2,FALSE),"First Payment Pending")</f>
        <v>44651</v>
      </c>
      <c r="K15" s="68" t="str">
        <f>VLOOKUP(C15,EmployeeNames[],2,FALSE)</f>
        <v>Bob</v>
      </c>
      <c r="L15" s="68" t="str">
        <f>CONCATENATE('Deal Data'!$K15,'Deal Data'!$G15)</f>
        <v>BobQ1</v>
      </c>
      <c r="M15" s="84">
        <f>IF(G15=G14,SUMIFS($H$2:H15,$K$2:K15,K14,$G$2:G15,G14),0)</f>
        <v>193741.66999999998</v>
      </c>
      <c r="N15" s="85">
        <f>VLOOKUP(L15,Base_Rate[[UniqueIdentifier]:[Rate]],2,FALSE)</f>
        <v>0.1</v>
      </c>
      <c r="O15" s="84">
        <f>VLOOKUP(L15,Table3[[UniqueIdentifier]:[Goal]],2,FALSE)</f>
        <v>200000</v>
      </c>
      <c r="P15" s="84">
        <f t="shared" si="4"/>
        <v>300000</v>
      </c>
      <c r="Q15" s="84">
        <f>'Deal Data'!$H15*VLOOKUP('Deal Data'!$L15,Base_Rate[[UniqueIdentifier]:[Rate]],2,FALSE)</f>
        <v>720</v>
      </c>
      <c r="R15" s="84">
        <f t="shared" si="5"/>
        <v>0</v>
      </c>
      <c r="S15" s="84">
        <f>IF(G15=G14,SUMIFS($R$2:R15,$K$2:K15,K14,$G$2:G15,G14),0)</f>
        <v>0</v>
      </c>
      <c r="T15" s="84">
        <f t="shared" si="6"/>
        <v>0</v>
      </c>
      <c r="U15" s="84">
        <f>IF(G15=G14,SUMIFS($T$2:T15,$K$2:K15,K14,$G$2:G15,G14),0)</f>
        <v>0</v>
      </c>
      <c r="V15" s="84">
        <f t="shared" si="3"/>
        <v>720</v>
      </c>
      <c r="W15" s="84" t="str">
        <f>IF(CommissionDetail[[#This Row],[Tier 2 Bonus]]&gt;0,"Yes","No")</f>
        <v>No</v>
      </c>
      <c r="X15" s="84">
        <f>IF(CommissionDetail[[#This Row],[Payment Quarter]]="First Payment Pending",0,CommissionDetail[[#This Row],[Total Commission]])</f>
        <v>720</v>
      </c>
    </row>
    <row r="16" spans="1:24" ht="15.75" customHeight="1" x14ac:dyDescent="0.2">
      <c r="A16" s="68">
        <v>10241</v>
      </c>
      <c r="B16" s="69">
        <v>44642</v>
      </c>
      <c r="C16" s="68" t="s">
        <v>6</v>
      </c>
      <c r="D16" s="68">
        <v>12</v>
      </c>
      <c r="E16" s="84">
        <v>7000</v>
      </c>
      <c r="F16" s="69">
        <v>44678</v>
      </c>
      <c r="G16" s="68" t="str">
        <f t="shared" si="0"/>
        <v>Q1</v>
      </c>
      <c r="H16" s="84">
        <f t="shared" si="1"/>
        <v>7000</v>
      </c>
      <c r="I16" s="68" t="str">
        <f t="shared" si="2"/>
        <v>Q2</v>
      </c>
      <c r="J16" s="69">
        <f>_xlfn.IFNA(VLOOKUP(I16,PaymentDates[],2,FALSE),"First Payment Pending")</f>
        <v>44742</v>
      </c>
      <c r="K16" s="68" t="str">
        <f>VLOOKUP(C16,EmployeeNames[],2,FALSE)</f>
        <v>Bob</v>
      </c>
      <c r="L16" s="68" t="str">
        <f>CONCATENATE('Deal Data'!$K16,'Deal Data'!$G16)</f>
        <v>BobQ1</v>
      </c>
      <c r="M16" s="84">
        <f>IF(G16=G15,SUMIFS($H$2:H16,$K$2:K16,K15,$G$2:G16,G15),0)</f>
        <v>200741.66999999998</v>
      </c>
      <c r="N16" s="85">
        <f>VLOOKUP(L16,Base_Rate[[UniqueIdentifier]:[Rate]],2,FALSE)</f>
        <v>0.1</v>
      </c>
      <c r="O16" s="84">
        <f>VLOOKUP(L16,Table3[[UniqueIdentifier]:[Goal]],2,FALSE)</f>
        <v>200000</v>
      </c>
      <c r="P16" s="84">
        <f t="shared" si="4"/>
        <v>300000</v>
      </c>
      <c r="Q16" s="84">
        <f>'Deal Data'!$H16*VLOOKUP('Deal Data'!$L16,Base_Rate[[UniqueIdentifier]:[Rate]],2,FALSE)</f>
        <v>700</v>
      </c>
      <c r="R16" s="84">
        <f t="shared" si="5"/>
        <v>37.083499999999184</v>
      </c>
      <c r="S16" s="84">
        <f>IF(G16=G15,SUMIFS($R$2:R16,$K$2:K16,K15,$G$2:G16,G15),0)</f>
        <v>37.083499999999184</v>
      </c>
      <c r="T16" s="84">
        <f t="shared" si="6"/>
        <v>0</v>
      </c>
      <c r="U16" s="84">
        <f>IF(G16=G15,SUMIFS($T$2:T16,$K$2:K16,K15,$G$2:G16,G15),0)</f>
        <v>0</v>
      </c>
      <c r="V16" s="84">
        <f t="shared" si="3"/>
        <v>737.08349999999916</v>
      </c>
      <c r="W16" s="84" t="str">
        <f>IF(CommissionDetail[[#This Row],[Tier 2 Bonus]]&gt;0,"Yes","No")</f>
        <v>Yes</v>
      </c>
      <c r="X16" s="84">
        <f>IF(CommissionDetail[[#This Row],[Payment Quarter]]="First Payment Pending",0,CommissionDetail[[#This Row],[Total Commission]])</f>
        <v>737.08349999999916</v>
      </c>
    </row>
    <row r="17" spans="1:24" ht="15.75" customHeight="1" x14ac:dyDescent="0.2">
      <c r="A17" s="68">
        <v>10036</v>
      </c>
      <c r="B17" s="69">
        <v>44646</v>
      </c>
      <c r="C17" s="68" t="s">
        <v>6</v>
      </c>
      <c r="D17" s="68">
        <v>30</v>
      </c>
      <c r="E17" s="84">
        <v>12000</v>
      </c>
      <c r="F17" s="69">
        <v>44720</v>
      </c>
      <c r="G17" s="68" t="str">
        <f t="shared" si="0"/>
        <v>Q1</v>
      </c>
      <c r="H17" s="84">
        <f t="shared" si="1"/>
        <v>4800</v>
      </c>
      <c r="I17" s="68" t="str">
        <f t="shared" si="2"/>
        <v>Q2</v>
      </c>
      <c r="J17" s="69">
        <f>_xlfn.IFNA(VLOOKUP(I17,PaymentDates[],2,FALSE),"First Payment Pending")</f>
        <v>44742</v>
      </c>
      <c r="K17" s="68" t="str">
        <f>VLOOKUP(C17,EmployeeNames[],2,FALSE)</f>
        <v>Bob</v>
      </c>
      <c r="L17" s="68" t="str">
        <f>CONCATENATE('Deal Data'!$K17,'Deal Data'!$G17)</f>
        <v>BobQ1</v>
      </c>
      <c r="M17" s="84">
        <f>IF(G17=G16,SUMIFS($H$2:H17,$K$2:K17,K16,$G$2:G17,G16),0)</f>
        <v>205541.66999999998</v>
      </c>
      <c r="N17" s="85">
        <f>VLOOKUP(L17,Base_Rate[[UniqueIdentifier]:[Rate]],2,FALSE)</f>
        <v>0.1</v>
      </c>
      <c r="O17" s="84">
        <f>VLOOKUP(L17,Table3[[UniqueIdentifier]:[Goal]],2,FALSE)</f>
        <v>200000</v>
      </c>
      <c r="P17" s="84">
        <f t="shared" si="4"/>
        <v>300000</v>
      </c>
      <c r="Q17" s="84">
        <f>'Deal Data'!$H17*VLOOKUP('Deal Data'!$L17,Base_Rate[[UniqueIdentifier]:[Rate]],2,FALSE)</f>
        <v>480</v>
      </c>
      <c r="R17" s="84">
        <f t="shared" si="5"/>
        <v>240.00000000000003</v>
      </c>
      <c r="S17" s="84">
        <f>IF(G17=G16,SUMIFS($R$2:R17,$K$2:K17,K16,$G$2:G17,G16),0)</f>
        <v>277.08349999999922</v>
      </c>
      <c r="T17" s="84">
        <f t="shared" si="6"/>
        <v>0</v>
      </c>
      <c r="U17" s="84">
        <f>IF(G17=G16,SUMIFS($T$2:T17,$K$2:K17,K16,$G$2:G17,G16),0)</f>
        <v>0</v>
      </c>
      <c r="V17" s="84">
        <f t="shared" si="3"/>
        <v>720</v>
      </c>
      <c r="W17" s="84" t="str">
        <f>IF(CommissionDetail[[#This Row],[Tier 2 Bonus]]&gt;0,"Yes","No")</f>
        <v>Yes</v>
      </c>
      <c r="X17" s="84">
        <f>IF(CommissionDetail[[#This Row],[Payment Quarter]]="First Payment Pending",0,CommissionDetail[[#This Row],[Total Commission]])</f>
        <v>720</v>
      </c>
    </row>
    <row r="18" spans="1:24" ht="15.75" customHeight="1" x14ac:dyDescent="0.2">
      <c r="A18" s="68">
        <v>10206</v>
      </c>
      <c r="B18" s="69">
        <v>44649</v>
      </c>
      <c r="C18" s="68" t="s">
        <v>6</v>
      </c>
      <c r="D18" s="68">
        <v>12</v>
      </c>
      <c r="E18" s="84">
        <v>18000</v>
      </c>
      <c r="F18" s="69">
        <v>44674</v>
      </c>
      <c r="G18" s="68" t="str">
        <f t="shared" si="0"/>
        <v>Q1</v>
      </c>
      <c r="H18" s="84">
        <f t="shared" si="1"/>
        <v>18000</v>
      </c>
      <c r="I18" s="68" t="str">
        <f t="shared" si="2"/>
        <v>Q2</v>
      </c>
      <c r="J18" s="69">
        <f>_xlfn.IFNA(VLOOKUP(I18,PaymentDates[],2,FALSE),"First Payment Pending")</f>
        <v>44742</v>
      </c>
      <c r="K18" s="68" t="str">
        <f>VLOOKUP(C18,EmployeeNames[],2,FALSE)</f>
        <v>Bob</v>
      </c>
      <c r="L18" s="68" t="str">
        <f>CONCATENATE('Deal Data'!$K18,'Deal Data'!$G18)</f>
        <v>BobQ1</v>
      </c>
      <c r="M18" s="84">
        <f>IF(G18=G17,SUMIFS($H$2:H18,$K$2:K18,K17,$G$2:G18,G17),0)</f>
        <v>223541.66999999998</v>
      </c>
      <c r="N18" s="85">
        <f>VLOOKUP(L18,Base_Rate[[UniqueIdentifier]:[Rate]],2,FALSE)</f>
        <v>0.1</v>
      </c>
      <c r="O18" s="84">
        <f>VLOOKUP(L18,Table3[[UniqueIdentifier]:[Goal]],2,FALSE)</f>
        <v>200000</v>
      </c>
      <c r="P18" s="84">
        <f t="shared" si="4"/>
        <v>300000</v>
      </c>
      <c r="Q18" s="84">
        <f>'Deal Data'!$H18*VLOOKUP('Deal Data'!$L18,Base_Rate[[UniqueIdentifier]:[Rate]],2,FALSE)</f>
        <v>1800</v>
      </c>
      <c r="R18" s="84">
        <f t="shared" si="5"/>
        <v>900</v>
      </c>
      <c r="S18" s="84">
        <f>IF(G18=G17,SUMIFS($R$2:R18,$K$2:K18,K17,$G$2:G18,G17),0)</f>
        <v>1177.0834999999993</v>
      </c>
      <c r="T18" s="84">
        <f t="shared" si="6"/>
        <v>0</v>
      </c>
      <c r="U18" s="84">
        <f>IF(G18=G17,SUMIFS($T$2:T18,$K$2:K18,K17,$G$2:G18,G17),0)</f>
        <v>0</v>
      </c>
      <c r="V18" s="84">
        <f t="shared" si="3"/>
        <v>2700</v>
      </c>
      <c r="W18" s="84" t="str">
        <f>IF(CommissionDetail[[#This Row],[Tier 2 Bonus]]&gt;0,"Yes","No")</f>
        <v>Yes</v>
      </c>
      <c r="X18" s="84">
        <f>IF(CommissionDetail[[#This Row],[Payment Quarter]]="First Payment Pending",0,CommissionDetail[[#This Row],[Total Commission]])</f>
        <v>2700</v>
      </c>
    </row>
    <row r="19" spans="1:24" ht="15.75" customHeight="1" x14ac:dyDescent="0.2">
      <c r="A19" s="68">
        <v>10216</v>
      </c>
      <c r="B19" s="69">
        <v>44649</v>
      </c>
      <c r="C19" s="68" t="s">
        <v>6</v>
      </c>
      <c r="D19" s="68">
        <v>12</v>
      </c>
      <c r="E19" s="84">
        <v>18000</v>
      </c>
      <c r="F19" s="69">
        <v>44683</v>
      </c>
      <c r="G19" s="68" t="str">
        <f t="shared" si="0"/>
        <v>Q1</v>
      </c>
      <c r="H19" s="84">
        <f t="shared" si="1"/>
        <v>18000</v>
      </c>
      <c r="I19" s="68" t="str">
        <f t="shared" si="2"/>
        <v>Q2</v>
      </c>
      <c r="J19" s="69">
        <f>_xlfn.IFNA(VLOOKUP(I19,PaymentDates[],2,FALSE),"First Payment Pending")</f>
        <v>44742</v>
      </c>
      <c r="K19" s="68" t="str">
        <f>VLOOKUP(C19,EmployeeNames[],2,FALSE)</f>
        <v>Bob</v>
      </c>
      <c r="L19" s="68" t="str">
        <f>CONCATENATE('Deal Data'!$K19,'Deal Data'!$G19)</f>
        <v>BobQ1</v>
      </c>
      <c r="M19" s="84">
        <f>IF(G19=G18,SUMIFS($H$2:H19,$K$2:K19,K18,$G$2:G19,G18),0)</f>
        <v>241541.66999999998</v>
      </c>
      <c r="N19" s="85">
        <f>VLOOKUP(L19,Base_Rate[[UniqueIdentifier]:[Rate]],2,FALSE)</f>
        <v>0.1</v>
      </c>
      <c r="O19" s="84">
        <f>VLOOKUP(L19,Table3[[UniqueIdentifier]:[Goal]],2,FALSE)</f>
        <v>200000</v>
      </c>
      <c r="P19" s="84">
        <f t="shared" si="4"/>
        <v>300000</v>
      </c>
      <c r="Q19" s="84">
        <f>'Deal Data'!$H19*VLOOKUP('Deal Data'!$L19,Base_Rate[[UniqueIdentifier]:[Rate]],2,FALSE)</f>
        <v>1800</v>
      </c>
      <c r="R19" s="84">
        <f t="shared" si="5"/>
        <v>900</v>
      </c>
      <c r="S19" s="84">
        <f>IF(G19=G18,SUMIFS($R$2:R19,$K$2:K19,K18,$G$2:G19,G18),0)</f>
        <v>2077.0834999999993</v>
      </c>
      <c r="T19" s="84">
        <f t="shared" si="6"/>
        <v>0</v>
      </c>
      <c r="U19" s="84">
        <f>IF(G19=G18,SUMIFS($T$2:T19,$K$2:K19,K18,$G$2:G19,G18),0)</f>
        <v>0</v>
      </c>
      <c r="V19" s="84">
        <f t="shared" si="3"/>
        <v>2700</v>
      </c>
      <c r="W19" s="84" t="str">
        <f>IF(CommissionDetail[[#This Row],[Tier 2 Bonus]]&gt;0,"Yes","No")</f>
        <v>Yes</v>
      </c>
      <c r="X19" s="84">
        <f>IF(CommissionDetail[[#This Row],[Payment Quarter]]="First Payment Pending",0,CommissionDetail[[#This Row],[Total Commission]])</f>
        <v>2700</v>
      </c>
    </row>
    <row r="20" spans="1:24" ht="15.75" customHeight="1" x14ac:dyDescent="0.2">
      <c r="A20" s="68">
        <v>10226</v>
      </c>
      <c r="B20" s="69">
        <v>44649</v>
      </c>
      <c r="C20" s="68" t="s">
        <v>6</v>
      </c>
      <c r="D20" s="68">
        <v>12</v>
      </c>
      <c r="E20" s="84">
        <v>9000</v>
      </c>
      <c r="F20" s="69" t="s">
        <v>10</v>
      </c>
      <c r="G20" s="68" t="str">
        <f t="shared" si="0"/>
        <v>Q1</v>
      </c>
      <c r="H20" s="84">
        <f t="shared" si="1"/>
        <v>9000</v>
      </c>
      <c r="I20" s="68" t="str">
        <f t="shared" si="2"/>
        <v>First Payment Pending</v>
      </c>
      <c r="J20" s="69" t="str">
        <f>_xlfn.IFNA(VLOOKUP(I20,PaymentDates[],2,FALSE),"First Payment Pending")</f>
        <v>First Payment Pending</v>
      </c>
      <c r="K20" s="68" t="str">
        <f>VLOOKUP(C20,EmployeeNames[],2,FALSE)</f>
        <v>Bob</v>
      </c>
      <c r="L20" s="68" t="str">
        <f>CONCATENATE('Deal Data'!$K20,'Deal Data'!$G20)</f>
        <v>BobQ1</v>
      </c>
      <c r="M20" s="84">
        <f>IF(G20=G19,SUMIFS($H$2:H20,$K$2:K20,K19,$G$2:G20,G19),0)</f>
        <v>250541.66999999998</v>
      </c>
      <c r="N20" s="85">
        <f>VLOOKUP(L20,Base_Rate[[UniqueIdentifier]:[Rate]],2,FALSE)</f>
        <v>0.1</v>
      </c>
      <c r="O20" s="84">
        <f>VLOOKUP(L20,Table3[[UniqueIdentifier]:[Goal]],2,FALSE)</f>
        <v>200000</v>
      </c>
      <c r="P20" s="84">
        <f t="shared" si="4"/>
        <v>300000</v>
      </c>
      <c r="Q20" s="84">
        <f>'Deal Data'!$H20*VLOOKUP('Deal Data'!$L20,Base_Rate[[UniqueIdentifier]:[Rate]],2,FALSE)</f>
        <v>900</v>
      </c>
      <c r="R20" s="84">
        <f t="shared" si="5"/>
        <v>450</v>
      </c>
      <c r="S20" s="84">
        <f>IF(G20=G19,SUMIFS($R$2:R20,$K$2:K20,K19,$G$2:G20,G19),0)</f>
        <v>2527.0834999999993</v>
      </c>
      <c r="T20" s="84">
        <f t="shared" si="6"/>
        <v>0</v>
      </c>
      <c r="U20" s="84">
        <f>IF(G20=G19,SUMIFS($T$2:T20,$K$2:K20,K19,$G$2:G20,G19),0)</f>
        <v>0</v>
      </c>
      <c r="V20" s="84">
        <f t="shared" si="3"/>
        <v>1350</v>
      </c>
      <c r="W20" s="84" t="str">
        <f>IF(CommissionDetail[[#This Row],[Tier 2 Bonus]]&gt;0,"Yes","No")</f>
        <v>Yes</v>
      </c>
      <c r="X20" s="84">
        <f>IF(CommissionDetail[[#This Row],[Payment Quarter]]="First Payment Pending",0,CommissionDetail[[#This Row],[Total Commission]])</f>
        <v>0</v>
      </c>
    </row>
    <row r="21" spans="1:24" ht="15.75" customHeight="1" x14ac:dyDescent="0.2">
      <c r="A21" s="68">
        <v>10221</v>
      </c>
      <c r="B21" s="69">
        <v>44650</v>
      </c>
      <c r="C21" s="68" t="s">
        <v>6</v>
      </c>
      <c r="D21" s="68">
        <v>12</v>
      </c>
      <c r="E21" s="84">
        <v>29000</v>
      </c>
      <c r="F21" s="69">
        <v>44719</v>
      </c>
      <c r="G21" s="68" t="str">
        <f t="shared" si="0"/>
        <v>Q1</v>
      </c>
      <c r="H21" s="84">
        <f t="shared" si="1"/>
        <v>29000</v>
      </c>
      <c r="I21" s="68" t="str">
        <f t="shared" si="2"/>
        <v>Q2</v>
      </c>
      <c r="J21" s="69">
        <f>_xlfn.IFNA(VLOOKUP(I21,PaymentDates[],2,FALSE),"First Payment Pending")</f>
        <v>44742</v>
      </c>
      <c r="K21" s="68" t="str">
        <f>VLOOKUP(C21,EmployeeNames[],2,FALSE)</f>
        <v>Bob</v>
      </c>
      <c r="L21" s="68" t="str">
        <f>CONCATENATE('Deal Data'!$K21,'Deal Data'!$G21)</f>
        <v>BobQ1</v>
      </c>
      <c r="M21" s="84">
        <f>IF(G21=G20,SUMIFS($H$2:H21,$K$2:K21,K20,$G$2:G21,G20),0)</f>
        <v>279541.67</v>
      </c>
      <c r="N21" s="85">
        <f>VLOOKUP(L21,Base_Rate[[UniqueIdentifier]:[Rate]],2,FALSE)</f>
        <v>0.1</v>
      </c>
      <c r="O21" s="84">
        <f>VLOOKUP(L21,Table3[[UniqueIdentifier]:[Goal]],2,FALSE)</f>
        <v>200000</v>
      </c>
      <c r="P21" s="84">
        <f t="shared" si="4"/>
        <v>300000</v>
      </c>
      <c r="Q21" s="84">
        <f>'Deal Data'!$H21*VLOOKUP('Deal Data'!$L21,Base_Rate[[UniqueIdentifier]:[Rate]],2,FALSE)</f>
        <v>2900</v>
      </c>
      <c r="R21" s="84">
        <f t="shared" si="5"/>
        <v>1450</v>
      </c>
      <c r="S21" s="84">
        <f>IF(G21=G20,SUMIFS($R$2:R21,$K$2:K21,K20,$G$2:G21,G20),0)</f>
        <v>3977.0834999999993</v>
      </c>
      <c r="T21" s="84">
        <f t="shared" si="6"/>
        <v>0</v>
      </c>
      <c r="U21" s="84">
        <f>IF(G21=G20,SUMIFS($T$2:T21,$K$2:K21,K20,$G$2:G21,G20),0)</f>
        <v>0</v>
      </c>
      <c r="V21" s="84">
        <f t="shared" si="3"/>
        <v>4350</v>
      </c>
      <c r="W21" s="84" t="str">
        <f>IF(CommissionDetail[[#This Row],[Tier 2 Bonus]]&gt;0,"Yes","No")</f>
        <v>Yes</v>
      </c>
      <c r="X21" s="84">
        <f>IF(CommissionDetail[[#This Row],[Payment Quarter]]="First Payment Pending",0,CommissionDetail[[#This Row],[Total Commission]])</f>
        <v>4350</v>
      </c>
    </row>
    <row r="22" spans="1:24" ht="15.75" customHeight="1" x14ac:dyDescent="0.2">
      <c r="A22" s="68">
        <v>10186</v>
      </c>
      <c r="B22" s="69">
        <v>44651</v>
      </c>
      <c r="C22" s="68" t="s">
        <v>6</v>
      </c>
      <c r="D22" s="68">
        <v>12</v>
      </c>
      <c r="E22" s="84">
        <v>7000</v>
      </c>
      <c r="F22" s="69">
        <v>44664</v>
      </c>
      <c r="G22" s="68" t="str">
        <f t="shared" si="0"/>
        <v>Q1</v>
      </c>
      <c r="H22" s="84">
        <f t="shared" si="1"/>
        <v>7000</v>
      </c>
      <c r="I22" s="68" t="str">
        <f t="shared" si="2"/>
        <v>Q2</v>
      </c>
      <c r="J22" s="69">
        <f>_xlfn.IFNA(VLOOKUP(I22,PaymentDates[],2,FALSE),"First Payment Pending")</f>
        <v>44742</v>
      </c>
      <c r="K22" s="68" t="str">
        <f>VLOOKUP(C22,EmployeeNames[],2,FALSE)</f>
        <v>Bob</v>
      </c>
      <c r="L22" s="68" t="str">
        <f>CONCATENATE('Deal Data'!$K22,'Deal Data'!$G22)</f>
        <v>BobQ1</v>
      </c>
      <c r="M22" s="84">
        <f>IF(G22=G21,SUMIFS($H$2:H22,$K$2:K22,K21,$G$2:G22,G21),0)</f>
        <v>286541.67</v>
      </c>
      <c r="N22" s="85">
        <f>VLOOKUP(L22,Base_Rate[[UniqueIdentifier]:[Rate]],2,FALSE)</f>
        <v>0.1</v>
      </c>
      <c r="O22" s="84">
        <f>VLOOKUP(L22,Table3[[UniqueIdentifier]:[Goal]],2,FALSE)</f>
        <v>200000</v>
      </c>
      <c r="P22" s="84">
        <f t="shared" si="4"/>
        <v>300000</v>
      </c>
      <c r="Q22" s="84">
        <f>'Deal Data'!$H22*VLOOKUP('Deal Data'!$L22,Base_Rate[[UniqueIdentifier]:[Rate]],2,FALSE)</f>
        <v>700</v>
      </c>
      <c r="R22" s="84">
        <f t="shared" si="5"/>
        <v>350.00000000000045</v>
      </c>
      <c r="S22" s="84">
        <f>IF(G22=G21,SUMIFS($R$2:R22,$K$2:K22,K21,$G$2:G22,G21),0)</f>
        <v>4327.0834999999997</v>
      </c>
      <c r="T22" s="84">
        <f t="shared" si="6"/>
        <v>0</v>
      </c>
      <c r="U22" s="84">
        <f>IF(G22=G21,SUMIFS($T$2:T22,$K$2:K22,K21,$G$2:G22,G21),0)</f>
        <v>0</v>
      </c>
      <c r="V22" s="84">
        <f t="shared" si="3"/>
        <v>1050.0000000000005</v>
      </c>
      <c r="W22" s="84" t="str">
        <f>IF(CommissionDetail[[#This Row],[Tier 2 Bonus]]&gt;0,"Yes","No")</f>
        <v>Yes</v>
      </c>
      <c r="X22" s="84">
        <f>IF(CommissionDetail[[#This Row],[Payment Quarter]]="First Payment Pending",0,CommissionDetail[[#This Row],[Total Commission]])</f>
        <v>1050.0000000000005</v>
      </c>
    </row>
    <row r="23" spans="1:24" ht="15.75" customHeight="1" x14ac:dyDescent="0.2">
      <c r="A23" s="68">
        <v>10191</v>
      </c>
      <c r="B23" s="69">
        <v>44651</v>
      </c>
      <c r="C23" s="68" t="s">
        <v>6</v>
      </c>
      <c r="D23" s="68">
        <v>12</v>
      </c>
      <c r="E23" s="84">
        <v>15000</v>
      </c>
      <c r="F23" s="69">
        <v>44721</v>
      </c>
      <c r="G23" s="68" t="str">
        <f t="shared" si="0"/>
        <v>Q1</v>
      </c>
      <c r="H23" s="84">
        <f t="shared" si="1"/>
        <v>15000</v>
      </c>
      <c r="I23" s="68" t="str">
        <f t="shared" si="2"/>
        <v>Q2</v>
      </c>
      <c r="J23" s="69">
        <f>_xlfn.IFNA(VLOOKUP(I23,PaymentDates[],2,FALSE),"First Payment Pending")</f>
        <v>44742</v>
      </c>
      <c r="K23" s="68" t="str">
        <f>VLOOKUP(C23,EmployeeNames[],2,FALSE)</f>
        <v>Bob</v>
      </c>
      <c r="L23" s="68" t="str">
        <f>CONCATENATE('Deal Data'!$K23,'Deal Data'!$G23)</f>
        <v>BobQ1</v>
      </c>
      <c r="M23" s="84">
        <f>IF(G23=G22,SUMIFS($H$2:H23,$K$2:K23,K22,$G$2:G23,G22),0)</f>
        <v>301541.67</v>
      </c>
      <c r="N23" s="85">
        <f>VLOOKUP(L23,Base_Rate[[UniqueIdentifier]:[Rate]],2,FALSE)</f>
        <v>0.1</v>
      </c>
      <c r="O23" s="84">
        <f>VLOOKUP(L23,Table3[[UniqueIdentifier]:[Goal]],2,FALSE)</f>
        <v>200000</v>
      </c>
      <c r="P23" s="84">
        <f t="shared" si="4"/>
        <v>300000</v>
      </c>
      <c r="Q23" s="84">
        <f>'Deal Data'!$H23*VLOOKUP('Deal Data'!$L23,Base_Rate[[UniqueIdentifier]:[Rate]],2,FALSE)</f>
        <v>1500</v>
      </c>
      <c r="R23" s="84">
        <f t="shared" si="5"/>
        <v>750</v>
      </c>
      <c r="S23" s="84">
        <f>IF(G23=G22,SUMIFS($R$2:R23,$K$2:K23,K22,$G$2:G23,G22),0)</f>
        <v>5077.0834999999997</v>
      </c>
      <c r="T23" s="84">
        <f t="shared" si="6"/>
        <v>77.083499999999191</v>
      </c>
      <c r="U23" s="84">
        <f>IF(G23=G22,SUMIFS($T$2:T23,$K$2:K23,K22,$G$2:G23,G22),0)</f>
        <v>77.083499999999191</v>
      </c>
      <c r="V23" s="84">
        <f t="shared" si="3"/>
        <v>2327.0834999999993</v>
      </c>
      <c r="W23" s="84" t="str">
        <f>IF(CommissionDetail[[#This Row],[Tier 2 Bonus]]&gt;0,"Yes","No")</f>
        <v>Yes</v>
      </c>
      <c r="X23" s="84">
        <f>IF(CommissionDetail[[#This Row],[Payment Quarter]]="First Payment Pending",0,CommissionDetail[[#This Row],[Total Commission]])</f>
        <v>2327.0834999999993</v>
      </c>
    </row>
    <row r="24" spans="1:24" ht="15.75" customHeight="1" x14ac:dyDescent="0.2">
      <c r="A24" s="68">
        <v>10196</v>
      </c>
      <c r="B24" s="69">
        <v>44652</v>
      </c>
      <c r="C24" s="68" t="s">
        <v>6</v>
      </c>
      <c r="D24" s="68">
        <v>20</v>
      </c>
      <c r="E24" s="84">
        <v>70200</v>
      </c>
      <c r="F24" s="69">
        <v>44664</v>
      </c>
      <c r="G24" s="68" t="str">
        <f t="shared" si="0"/>
        <v>Q2</v>
      </c>
      <c r="H24" s="84">
        <f t="shared" si="1"/>
        <v>42120</v>
      </c>
      <c r="I24" s="68" t="str">
        <f t="shared" si="2"/>
        <v>Q2</v>
      </c>
      <c r="J24" s="69">
        <f>_xlfn.IFNA(VLOOKUP(I24,PaymentDates[],2,FALSE),"First Payment Pending")</f>
        <v>44742</v>
      </c>
      <c r="K24" s="68" t="str">
        <f>VLOOKUP(C24,EmployeeNames[],2,FALSE)</f>
        <v>Bob</v>
      </c>
      <c r="L24" s="68" t="str">
        <f>CONCATENATE('Deal Data'!$K24,'Deal Data'!$G24)</f>
        <v>BobQ2</v>
      </c>
      <c r="M24" s="84">
        <f>IF(G24=G23,SUMIFS($H$2:H24,$K$2:K24,K23,$G$2:G24,G23),0)</f>
        <v>0</v>
      </c>
      <c r="N24" s="85">
        <f>VLOOKUP(L24,Base_Rate[[UniqueIdentifier]:[Rate]],2,FALSE)</f>
        <v>0.08</v>
      </c>
      <c r="O24" s="84">
        <f>VLOOKUP(L24,Table3[[UniqueIdentifier]:[Goal]],2,FALSE)</f>
        <v>250000</v>
      </c>
      <c r="P24" s="84">
        <f t="shared" si="4"/>
        <v>375000</v>
      </c>
      <c r="Q24" s="84">
        <f>'Deal Data'!$H24*VLOOKUP('Deal Data'!$L24,Base_Rate[[UniqueIdentifier]:[Rate]],2,FALSE)</f>
        <v>3369.6</v>
      </c>
      <c r="R24" s="84">
        <f t="shared" si="5"/>
        <v>0</v>
      </c>
      <c r="S24" s="84">
        <f>IF(G24=G23,SUMIFS($R$2:R24,$K$2:K24,K23,$G$2:G24,G23),0)</f>
        <v>0</v>
      </c>
      <c r="T24" s="84">
        <f t="shared" si="6"/>
        <v>0</v>
      </c>
      <c r="U24" s="84">
        <f>IF(G24=G23,SUMIFS($T$2:T24,$K$2:K24,K23,$G$2:G24,G23),0)</f>
        <v>0</v>
      </c>
      <c r="V24" s="84">
        <f t="shared" si="3"/>
        <v>3369.6</v>
      </c>
      <c r="W24" s="84" t="str">
        <f>IF(CommissionDetail[[#This Row],[Tier 2 Bonus]]&gt;0,"Yes","No")</f>
        <v>No</v>
      </c>
      <c r="X24" s="84">
        <f>IF(CommissionDetail[[#This Row],[Payment Quarter]]="First Payment Pending",0,CommissionDetail[[#This Row],[Total Commission]])</f>
        <v>3369.6</v>
      </c>
    </row>
    <row r="25" spans="1:24" ht="15.75" customHeight="1" x14ac:dyDescent="0.2">
      <c r="A25" s="68">
        <v>10181</v>
      </c>
      <c r="B25" s="69">
        <v>44668</v>
      </c>
      <c r="C25" s="68" t="s">
        <v>6</v>
      </c>
      <c r="D25" s="68">
        <v>12</v>
      </c>
      <c r="E25" s="84">
        <v>948</v>
      </c>
      <c r="F25" s="69">
        <v>44705</v>
      </c>
      <c r="G25" s="68" t="str">
        <f t="shared" si="0"/>
        <v>Q2</v>
      </c>
      <c r="H25" s="84">
        <f t="shared" si="1"/>
        <v>948</v>
      </c>
      <c r="I25" s="68" t="str">
        <f t="shared" si="2"/>
        <v>Q2</v>
      </c>
      <c r="J25" s="69">
        <f>_xlfn.IFNA(VLOOKUP(I25,PaymentDates[],2,FALSE),"First Payment Pending")</f>
        <v>44742</v>
      </c>
      <c r="K25" s="68" t="str">
        <f>VLOOKUP(C25,EmployeeNames[],2,FALSE)</f>
        <v>Bob</v>
      </c>
      <c r="L25" s="68" t="str">
        <f>CONCATENATE('Deal Data'!$K25,'Deal Data'!$G25)</f>
        <v>BobQ2</v>
      </c>
      <c r="M25" s="84">
        <f>IF(G25=G24,SUMIFS($H$2:H25,$K$2:K25,K24,$G$2:G25,G24),0)</f>
        <v>43068</v>
      </c>
      <c r="N25" s="85">
        <f>VLOOKUP(L25,Base_Rate[[UniqueIdentifier]:[Rate]],2,FALSE)</f>
        <v>0.08</v>
      </c>
      <c r="O25" s="84">
        <f>VLOOKUP(L25,Table3[[UniqueIdentifier]:[Goal]],2,FALSE)</f>
        <v>250000</v>
      </c>
      <c r="P25" s="84">
        <f t="shared" si="4"/>
        <v>375000</v>
      </c>
      <c r="Q25" s="84">
        <f>'Deal Data'!$H25*VLOOKUP('Deal Data'!$L25,Base_Rate[[UniqueIdentifier]:[Rate]],2,FALSE)</f>
        <v>75.84</v>
      </c>
      <c r="R25" s="84">
        <f t="shared" si="5"/>
        <v>0</v>
      </c>
      <c r="S25" s="84">
        <f>IF(G25=G24,SUMIFS($R$2:R25,$K$2:K25,K24,$G$2:G25,G24),0)</f>
        <v>0</v>
      </c>
      <c r="T25" s="84">
        <f t="shared" si="6"/>
        <v>0</v>
      </c>
      <c r="U25" s="84">
        <f>IF(G25=G24,SUMIFS($T$2:T25,$K$2:K25,K24,$G$2:G25,G24),0)</f>
        <v>0</v>
      </c>
      <c r="V25" s="84">
        <f t="shared" si="3"/>
        <v>75.84</v>
      </c>
      <c r="W25" s="84" t="str">
        <f>IF(CommissionDetail[[#This Row],[Tier 2 Bonus]]&gt;0,"Yes","No")</f>
        <v>No</v>
      </c>
      <c r="X25" s="84">
        <f>IF(CommissionDetail[[#This Row],[Payment Quarter]]="First Payment Pending",0,CommissionDetail[[#This Row],[Total Commission]])</f>
        <v>75.84</v>
      </c>
    </row>
    <row r="26" spans="1:24" ht="15.75" customHeight="1" x14ac:dyDescent="0.2">
      <c r="A26" s="68">
        <v>10011</v>
      </c>
      <c r="B26" s="69">
        <v>44675</v>
      </c>
      <c r="C26" s="68" t="s">
        <v>6</v>
      </c>
      <c r="D26" s="68">
        <v>36</v>
      </c>
      <c r="E26" s="84">
        <v>30000</v>
      </c>
      <c r="F26" s="69" t="s">
        <v>10</v>
      </c>
      <c r="G26" s="68" t="str">
        <f t="shared" si="0"/>
        <v>Q2</v>
      </c>
      <c r="H26" s="84">
        <f t="shared" si="1"/>
        <v>10000</v>
      </c>
      <c r="I26" s="68" t="str">
        <f t="shared" si="2"/>
        <v>First Payment Pending</v>
      </c>
      <c r="J26" s="69" t="str">
        <f>_xlfn.IFNA(VLOOKUP(I26,PaymentDates[],2,FALSE),"First Payment Pending")</f>
        <v>First Payment Pending</v>
      </c>
      <c r="K26" s="68" t="str">
        <f>VLOOKUP(C26,EmployeeNames[],2,FALSE)</f>
        <v>Bob</v>
      </c>
      <c r="L26" s="68" t="str">
        <f>CONCATENATE('Deal Data'!$K26,'Deal Data'!$G26)</f>
        <v>BobQ2</v>
      </c>
      <c r="M26" s="84">
        <f>IF(G26=G25,SUMIFS($H$2:H26,$K$2:K26,K25,$G$2:G26,G25),0)</f>
        <v>53068</v>
      </c>
      <c r="N26" s="85">
        <f>VLOOKUP(L26,Base_Rate[[UniqueIdentifier]:[Rate]],2,FALSE)</f>
        <v>0.08</v>
      </c>
      <c r="O26" s="84">
        <f>VLOOKUP(L26,Table3[[UniqueIdentifier]:[Goal]],2,FALSE)</f>
        <v>250000</v>
      </c>
      <c r="P26" s="84">
        <f t="shared" si="4"/>
        <v>375000</v>
      </c>
      <c r="Q26" s="84">
        <f>'Deal Data'!$H26*VLOOKUP('Deal Data'!$L26,Base_Rate[[UniqueIdentifier]:[Rate]],2,FALSE)</f>
        <v>800</v>
      </c>
      <c r="R26" s="84">
        <f t="shared" si="5"/>
        <v>0</v>
      </c>
      <c r="S26" s="84">
        <f>IF(G26=G25,SUMIFS($R$2:R26,$K$2:K26,K25,$G$2:G26,G25),0)</f>
        <v>0</v>
      </c>
      <c r="T26" s="84">
        <f t="shared" si="6"/>
        <v>0</v>
      </c>
      <c r="U26" s="84">
        <f>IF(G26=G25,SUMIFS($T$2:T26,$K$2:K26,K25,$G$2:G26,G25),0)</f>
        <v>0</v>
      </c>
      <c r="V26" s="84">
        <f t="shared" si="3"/>
        <v>800</v>
      </c>
      <c r="W26" s="84" t="str">
        <f>IF(CommissionDetail[[#This Row],[Tier 2 Bonus]]&gt;0,"Yes","No")</f>
        <v>No</v>
      </c>
      <c r="X26" s="84">
        <f>IF(CommissionDetail[[#This Row],[Payment Quarter]]="First Payment Pending",0,CommissionDetail[[#This Row],[Total Commission]])</f>
        <v>0</v>
      </c>
    </row>
    <row r="27" spans="1:24" ht="15.75" customHeight="1" x14ac:dyDescent="0.2">
      <c r="A27" s="68">
        <v>10016</v>
      </c>
      <c r="B27" s="69">
        <v>44678</v>
      </c>
      <c r="C27" s="68" t="s">
        <v>6</v>
      </c>
      <c r="D27" s="68">
        <v>36</v>
      </c>
      <c r="E27" s="84">
        <v>15000</v>
      </c>
      <c r="F27" s="69" t="s">
        <v>10</v>
      </c>
      <c r="G27" s="68" t="str">
        <f t="shared" si="0"/>
        <v>Q2</v>
      </c>
      <c r="H27" s="84">
        <f t="shared" si="1"/>
        <v>5000</v>
      </c>
      <c r="I27" s="68" t="str">
        <f t="shared" si="2"/>
        <v>First Payment Pending</v>
      </c>
      <c r="J27" s="69" t="str">
        <f>_xlfn.IFNA(VLOOKUP(I27,PaymentDates[],2,FALSE),"First Payment Pending")</f>
        <v>First Payment Pending</v>
      </c>
      <c r="K27" s="68" t="str">
        <f>VLOOKUP(C27,EmployeeNames[],2,FALSE)</f>
        <v>Bob</v>
      </c>
      <c r="L27" s="68" t="str">
        <f>CONCATENATE('Deal Data'!$K27,'Deal Data'!$G27)</f>
        <v>BobQ2</v>
      </c>
      <c r="M27" s="84">
        <f>IF(G27=G26,SUMIFS($H$2:H27,$K$2:K27,K26,$G$2:G27,G26),0)</f>
        <v>58068</v>
      </c>
      <c r="N27" s="85">
        <f>VLOOKUP(L27,Base_Rate[[UniqueIdentifier]:[Rate]],2,FALSE)</f>
        <v>0.08</v>
      </c>
      <c r="O27" s="84">
        <f>VLOOKUP(L27,Table3[[UniqueIdentifier]:[Goal]],2,FALSE)</f>
        <v>250000</v>
      </c>
      <c r="P27" s="84">
        <f t="shared" si="4"/>
        <v>375000</v>
      </c>
      <c r="Q27" s="84">
        <f>'Deal Data'!$H27*VLOOKUP('Deal Data'!$L27,Base_Rate[[UniqueIdentifier]:[Rate]],2,FALSE)</f>
        <v>400</v>
      </c>
      <c r="R27" s="84">
        <f t="shared" si="5"/>
        <v>0</v>
      </c>
      <c r="S27" s="84">
        <f>IF(G27=G26,SUMIFS($R$2:R27,$K$2:K27,K26,$G$2:G27,G26),0)</f>
        <v>0</v>
      </c>
      <c r="T27" s="84">
        <f t="shared" si="6"/>
        <v>0</v>
      </c>
      <c r="U27" s="84">
        <f>IF(G27=G26,SUMIFS($T$2:T27,$K$2:K27,K26,$G$2:G27,G26),0)</f>
        <v>0</v>
      </c>
      <c r="V27" s="84">
        <f t="shared" si="3"/>
        <v>400</v>
      </c>
      <c r="W27" s="84" t="str">
        <f>IF(CommissionDetail[[#This Row],[Tier 2 Bonus]]&gt;0,"Yes","No")</f>
        <v>No</v>
      </c>
      <c r="X27" s="84">
        <f>IF(CommissionDetail[[#This Row],[Payment Quarter]]="First Payment Pending",0,CommissionDetail[[#This Row],[Total Commission]])</f>
        <v>0</v>
      </c>
    </row>
    <row r="28" spans="1:24" ht="15.75" customHeight="1" x14ac:dyDescent="0.2">
      <c r="A28" s="68">
        <v>10296</v>
      </c>
      <c r="B28" s="69">
        <v>44679</v>
      </c>
      <c r="C28" s="68" t="s">
        <v>6</v>
      </c>
      <c r="D28" s="68">
        <v>12</v>
      </c>
      <c r="E28" s="84">
        <v>20000</v>
      </c>
      <c r="F28" s="69">
        <v>44718</v>
      </c>
      <c r="G28" s="68" t="str">
        <f t="shared" si="0"/>
        <v>Q2</v>
      </c>
      <c r="H28" s="84">
        <f t="shared" si="1"/>
        <v>20000</v>
      </c>
      <c r="I28" s="68" t="str">
        <f t="shared" si="2"/>
        <v>Q2</v>
      </c>
      <c r="J28" s="69">
        <f>_xlfn.IFNA(VLOOKUP(I28,PaymentDates[],2,FALSE),"First Payment Pending")</f>
        <v>44742</v>
      </c>
      <c r="K28" s="68" t="str">
        <f>VLOOKUP(C28,EmployeeNames[],2,FALSE)</f>
        <v>Bob</v>
      </c>
      <c r="L28" s="68" t="str">
        <f>CONCATENATE('Deal Data'!$K28,'Deal Data'!$G28)</f>
        <v>BobQ2</v>
      </c>
      <c r="M28" s="84">
        <f>IF(G28=G27,SUMIFS($H$2:H28,$K$2:K28,K27,$G$2:G28,G27),0)</f>
        <v>78068</v>
      </c>
      <c r="N28" s="85">
        <f>VLOOKUP(L28,Base_Rate[[UniqueIdentifier]:[Rate]],2,FALSE)</f>
        <v>0.08</v>
      </c>
      <c r="O28" s="84">
        <f>VLOOKUP(L28,Table3[[UniqueIdentifier]:[Goal]],2,FALSE)</f>
        <v>250000</v>
      </c>
      <c r="P28" s="84">
        <f t="shared" si="4"/>
        <v>375000</v>
      </c>
      <c r="Q28" s="84">
        <f>'Deal Data'!$H28*VLOOKUP('Deal Data'!$L28,Base_Rate[[UniqueIdentifier]:[Rate]],2,FALSE)</f>
        <v>1600</v>
      </c>
      <c r="R28" s="84">
        <f t="shared" si="5"/>
        <v>0</v>
      </c>
      <c r="S28" s="84">
        <f>IF(G28=G27,SUMIFS($R$2:R28,$K$2:K28,K27,$G$2:G28,G27),0)</f>
        <v>0</v>
      </c>
      <c r="T28" s="84">
        <f t="shared" si="6"/>
        <v>0</v>
      </c>
      <c r="U28" s="84">
        <f>IF(G28=G27,SUMIFS($T$2:T28,$K$2:K28,K27,$G$2:G28,G27),0)</f>
        <v>0</v>
      </c>
      <c r="V28" s="84">
        <f t="shared" si="3"/>
        <v>1600</v>
      </c>
      <c r="W28" s="84" t="str">
        <f>IF(CommissionDetail[[#This Row],[Tier 2 Bonus]]&gt;0,"Yes","No")</f>
        <v>No</v>
      </c>
      <c r="X28" s="84">
        <f>IF(CommissionDetail[[#This Row],[Payment Quarter]]="First Payment Pending",0,CommissionDetail[[#This Row],[Total Commission]])</f>
        <v>1600</v>
      </c>
    </row>
    <row r="29" spans="1:24" ht="15.75" customHeight="1" x14ac:dyDescent="0.2">
      <c r="A29" s="68">
        <v>10006</v>
      </c>
      <c r="B29" s="69">
        <v>44682</v>
      </c>
      <c r="C29" s="68" t="s">
        <v>6</v>
      </c>
      <c r="D29" s="68">
        <v>12</v>
      </c>
      <c r="E29" s="84">
        <v>4500</v>
      </c>
      <c r="F29" s="69" t="s">
        <v>10</v>
      </c>
      <c r="G29" s="68" t="str">
        <f t="shared" si="0"/>
        <v>Q2</v>
      </c>
      <c r="H29" s="84">
        <f t="shared" si="1"/>
        <v>4500</v>
      </c>
      <c r="I29" s="68" t="str">
        <f t="shared" si="2"/>
        <v>First Payment Pending</v>
      </c>
      <c r="J29" s="69" t="str">
        <f>_xlfn.IFNA(VLOOKUP(I29,PaymentDates[],2,FALSE),"First Payment Pending")</f>
        <v>First Payment Pending</v>
      </c>
      <c r="K29" s="68" t="str">
        <f>VLOOKUP(C29,EmployeeNames[],2,FALSE)</f>
        <v>Bob</v>
      </c>
      <c r="L29" s="68" t="str">
        <f>CONCATENATE('Deal Data'!$K29,'Deal Data'!$G29)</f>
        <v>BobQ2</v>
      </c>
      <c r="M29" s="84">
        <f>IF(G29=G28,SUMIFS($H$2:H29,$K$2:K29,K28,$G$2:G29,G28),0)</f>
        <v>82568</v>
      </c>
      <c r="N29" s="85">
        <f>VLOOKUP(L29,Base_Rate[[UniqueIdentifier]:[Rate]],2,FALSE)</f>
        <v>0.08</v>
      </c>
      <c r="O29" s="84">
        <f>VLOOKUP(L29,Table3[[UniqueIdentifier]:[Goal]],2,FALSE)</f>
        <v>250000</v>
      </c>
      <c r="P29" s="84">
        <f t="shared" si="4"/>
        <v>375000</v>
      </c>
      <c r="Q29" s="84">
        <f>'Deal Data'!$H29*VLOOKUP('Deal Data'!$L29,Base_Rate[[UniqueIdentifier]:[Rate]],2,FALSE)</f>
        <v>360</v>
      </c>
      <c r="R29" s="84">
        <f t="shared" si="5"/>
        <v>0</v>
      </c>
      <c r="S29" s="84">
        <f>IF(G29=G28,SUMIFS($R$2:R29,$K$2:K29,K28,$G$2:G29,G28),0)</f>
        <v>0</v>
      </c>
      <c r="T29" s="84">
        <f t="shared" si="6"/>
        <v>0</v>
      </c>
      <c r="U29" s="84">
        <f>IF(G29=G28,SUMIFS($T$2:T29,$K$2:K29,K28,$G$2:G29,G28),0)</f>
        <v>0</v>
      </c>
      <c r="V29" s="84">
        <f t="shared" si="3"/>
        <v>360</v>
      </c>
      <c r="W29" s="84" t="str">
        <f>IF(CommissionDetail[[#This Row],[Tier 2 Bonus]]&gt;0,"Yes","No")</f>
        <v>No</v>
      </c>
      <c r="X29" s="84">
        <f>IF(CommissionDetail[[#This Row],[Payment Quarter]]="First Payment Pending",0,CommissionDetail[[#This Row],[Total Commission]])</f>
        <v>0</v>
      </c>
    </row>
    <row r="30" spans="1:24" ht="15.75" customHeight="1" x14ac:dyDescent="0.2">
      <c r="A30" s="68">
        <v>10301</v>
      </c>
      <c r="B30" s="69">
        <v>44692</v>
      </c>
      <c r="C30" s="68" t="s">
        <v>6</v>
      </c>
      <c r="D30" s="68">
        <v>30</v>
      </c>
      <c r="E30" s="84">
        <v>15000</v>
      </c>
      <c r="F30" s="69">
        <v>44740</v>
      </c>
      <c r="G30" s="68" t="str">
        <f t="shared" si="0"/>
        <v>Q2</v>
      </c>
      <c r="H30" s="84">
        <f t="shared" si="1"/>
        <v>6000</v>
      </c>
      <c r="I30" s="68" t="str">
        <f t="shared" si="2"/>
        <v>Q2</v>
      </c>
      <c r="J30" s="69">
        <f>_xlfn.IFNA(VLOOKUP(I30,PaymentDates[],2,FALSE),"First Payment Pending")</f>
        <v>44742</v>
      </c>
      <c r="K30" s="68" t="str">
        <f>VLOOKUP(C30,EmployeeNames[],2,FALSE)</f>
        <v>Bob</v>
      </c>
      <c r="L30" s="68" t="str">
        <f>CONCATENATE('Deal Data'!$K30,'Deal Data'!$G30)</f>
        <v>BobQ2</v>
      </c>
      <c r="M30" s="84">
        <f>IF(G30=G29,SUMIFS($H$2:H30,$K$2:K30,K29,$G$2:G30,G29),0)</f>
        <v>88568</v>
      </c>
      <c r="N30" s="85">
        <f>VLOOKUP(L30,Base_Rate[[UniqueIdentifier]:[Rate]],2,FALSE)</f>
        <v>0.08</v>
      </c>
      <c r="O30" s="84">
        <f>VLOOKUP(L30,Table3[[UniqueIdentifier]:[Goal]],2,FALSE)</f>
        <v>250000</v>
      </c>
      <c r="P30" s="84">
        <f t="shared" si="4"/>
        <v>375000</v>
      </c>
      <c r="Q30" s="84">
        <f>'Deal Data'!$H30*VLOOKUP('Deal Data'!$L30,Base_Rate[[UniqueIdentifier]:[Rate]],2,FALSE)</f>
        <v>480</v>
      </c>
      <c r="R30" s="84">
        <f t="shared" si="5"/>
        <v>0</v>
      </c>
      <c r="S30" s="84">
        <f>IF(G30=G29,SUMIFS($R$2:R30,$K$2:K30,K29,$G$2:G30,G29),0)</f>
        <v>0</v>
      </c>
      <c r="T30" s="84">
        <f t="shared" si="6"/>
        <v>0</v>
      </c>
      <c r="U30" s="84">
        <f>IF(G30=G29,SUMIFS($T$2:T30,$K$2:K30,K29,$G$2:G30,G29),0)</f>
        <v>0</v>
      </c>
      <c r="V30" s="84">
        <f t="shared" si="3"/>
        <v>480</v>
      </c>
      <c r="W30" s="84" t="str">
        <f>IF(CommissionDetail[[#This Row],[Tier 2 Bonus]]&gt;0,"Yes","No")</f>
        <v>No</v>
      </c>
      <c r="X30" s="84">
        <f>IF(CommissionDetail[[#This Row],[Payment Quarter]]="First Payment Pending",0,CommissionDetail[[#This Row],[Total Commission]])</f>
        <v>480</v>
      </c>
    </row>
    <row r="31" spans="1:24" ht="15.75" customHeight="1" x14ac:dyDescent="0.2">
      <c r="A31" s="68">
        <v>10236</v>
      </c>
      <c r="B31" s="69">
        <v>44707</v>
      </c>
      <c r="C31" s="68" t="s">
        <v>6</v>
      </c>
      <c r="D31" s="68">
        <v>20</v>
      </c>
      <c r="E31" s="84">
        <v>20000</v>
      </c>
      <c r="F31" s="69">
        <v>44721</v>
      </c>
      <c r="G31" s="68" t="str">
        <f t="shared" si="0"/>
        <v>Q2</v>
      </c>
      <c r="H31" s="84">
        <f t="shared" si="1"/>
        <v>12000</v>
      </c>
      <c r="I31" s="68" t="str">
        <f t="shared" si="2"/>
        <v>Q2</v>
      </c>
      <c r="J31" s="69">
        <f>_xlfn.IFNA(VLOOKUP(I31,PaymentDates[],2,FALSE),"First Payment Pending")</f>
        <v>44742</v>
      </c>
      <c r="K31" s="68" t="str">
        <f>VLOOKUP(C31,EmployeeNames[],2,FALSE)</f>
        <v>Bob</v>
      </c>
      <c r="L31" s="68" t="str">
        <f>CONCATENATE('Deal Data'!$K31,'Deal Data'!$G31)</f>
        <v>BobQ2</v>
      </c>
      <c r="M31" s="84">
        <f>IF(G31=G30,SUMIFS($H$2:H31,$K$2:K31,K30,$G$2:G31,G30),0)</f>
        <v>100568</v>
      </c>
      <c r="N31" s="85">
        <f>VLOOKUP(L31,Base_Rate[[UniqueIdentifier]:[Rate]],2,FALSE)</f>
        <v>0.08</v>
      </c>
      <c r="O31" s="84">
        <f>VLOOKUP(L31,Table3[[UniqueIdentifier]:[Goal]],2,FALSE)</f>
        <v>250000</v>
      </c>
      <c r="P31" s="84">
        <f t="shared" si="4"/>
        <v>375000</v>
      </c>
      <c r="Q31" s="84">
        <f>'Deal Data'!$H31*VLOOKUP('Deal Data'!$L31,Base_Rate[[UniqueIdentifier]:[Rate]],2,FALSE)</f>
        <v>960</v>
      </c>
      <c r="R31" s="84">
        <f t="shared" si="5"/>
        <v>0</v>
      </c>
      <c r="S31" s="84">
        <f>IF(G31=G30,SUMIFS($R$2:R31,$K$2:K31,K30,$G$2:G31,G30),0)</f>
        <v>0</v>
      </c>
      <c r="T31" s="84">
        <f t="shared" si="6"/>
        <v>0</v>
      </c>
      <c r="U31" s="84">
        <f>IF(G31=G30,SUMIFS($T$2:T31,$K$2:K31,K30,$G$2:G31,G30),0)</f>
        <v>0</v>
      </c>
      <c r="V31" s="84">
        <f t="shared" si="3"/>
        <v>960</v>
      </c>
      <c r="W31" s="84" t="str">
        <f>IF(CommissionDetail[[#This Row],[Tier 2 Bonus]]&gt;0,"Yes","No")</f>
        <v>No</v>
      </c>
      <c r="X31" s="84">
        <f>IF(CommissionDetail[[#This Row],[Payment Quarter]]="First Payment Pending",0,CommissionDetail[[#This Row],[Total Commission]])</f>
        <v>960</v>
      </c>
    </row>
    <row r="32" spans="1:24" ht="15.75" customHeight="1" x14ac:dyDescent="0.2">
      <c r="A32" s="68">
        <v>10316</v>
      </c>
      <c r="B32" s="69">
        <v>44714</v>
      </c>
      <c r="C32" s="68" t="s">
        <v>6</v>
      </c>
      <c r="D32" s="68">
        <v>16</v>
      </c>
      <c r="E32" s="84">
        <v>4295</v>
      </c>
      <c r="F32" s="69">
        <v>44732</v>
      </c>
      <c r="G32" s="68" t="str">
        <f t="shared" si="0"/>
        <v>Q2</v>
      </c>
      <c r="H32" s="84">
        <f t="shared" si="1"/>
        <v>3221.25</v>
      </c>
      <c r="I32" s="68" t="str">
        <f t="shared" si="2"/>
        <v>Q2</v>
      </c>
      <c r="J32" s="69">
        <f>_xlfn.IFNA(VLOOKUP(I32,PaymentDates[],2,FALSE),"First Payment Pending")</f>
        <v>44742</v>
      </c>
      <c r="K32" s="68" t="str">
        <f>VLOOKUP(C32,EmployeeNames[],2,FALSE)</f>
        <v>Bob</v>
      </c>
      <c r="L32" s="68" t="str">
        <f>CONCATENATE('Deal Data'!$K32,'Deal Data'!$G32)</f>
        <v>BobQ2</v>
      </c>
      <c r="M32" s="84">
        <f>IF(G32=G31,SUMIFS($H$2:H32,$K$2:K32,K31,$G$2:G32,G31),0)</f>
        <v>103789.25</v>
      </c>
      <c r="N32" s="85">
        <f>VLOOKUP(L32,Base_Rate[[UniqueIdentifier]:[Rate]],2,FALSE)</f>
        <v>0.08</v>
      </c>
      <c r="O32" s="84">
        <f>VLOOKUP(L32,Table3[[UniqueIdentifier]:[Goal]],2,FALSE)</f>
        <v>250000</v>
      </c>
      <c r="P32" s="84">
        <f t="shared" si="4"/>
        <v>375000</v>
      </c>
      <c r="Q32" s="84">
        <f>'Deal Data'!$H32*VLOOKUP('Deal Data'!$L32,Base_Rate[[UniqueIdentifier]:[Rate]],2,FALSE)</f>
        <v>257.7</v>
      </c>
      <c r="R32" s="84">
        <f t="shared" si="5"/>
        <v>0</v>
      </c>
      <c r="S32" s="84">
        <f>IF(G32=G31,SUMIFS($R$2:R32,$K$2:K32,K31,$G$2:G32,G31),0)</f>
        <v>0</v>
      </c>
      <c r="T32" s="84">
        <f t="shared" si="6"/>
        <v>0</v>
      </c>
      <c r="U32" s="84">
        <f>IF(G32=G31,SUMIFS($T$2:T32,$K$2:K32,K31,$G$2:G32,G31),0)</f>
        <v>0</v>
      </c>
      <c r="V32" s="84">
        <f t="shared" si="3"/>
        <v>257.7</v>
      </c>
      <c r="W32" s="84" t="str">
        <f>IF(CommissionDetail[[#This Row],[Tier 2 Bonus]]&gt;0,"Yes","No")</f>
        <v>No</v>
      </c>
      <c r="X32" s="84">
        <f>IF(CommissionDetail[[#This Row],[Payment Quarter]]="First Payment Pending",0,CommissionDetail[[#This Row],[Total Commission]])</f>
        <v>257.7</v>
      </c>
    </row>
    <row r="33" spans="1:24" ht="15.75" customHeight="1" x14ac:dyDescent="0.2">
      <c r="A33" s="68">
        <v>10306</v>
      </c>
      <c r="B33" s="69">
        <v>44732</v>
      </c>
      <c r="C33" s="68" t="s">
        <v>6</v>
      </c>
      <c r="D33" s="68">
        <v>12</v>
      </c>
      <c r="E33" s="84">
        <v>9000</v>
      </c>
      <c r="F33" s="69">
        <v>44739</v>
      </c>
      <c r="G33" s="68" t="str">
        <f t="shared" si="0"/>
        <v>Q2</v>
      </c>
      <c r="H33" s="84">
        <f t="shared" si="1"/>
        <v>9000</v>
      </c>
      <c r="I33" s="68" t="str">
        <f t="shared" si="2"/>
        <v>Q2</v>
      </c>
      <c r="J33" s="69">
        <f>_xlfn.IFNA(VLOOKUP(I33,PaymentDates[],2,FALSE),"First Payment Pending")</f>
        <v>44742</v>
      </c>
      <c r="K33" s="68" t="str">
        <f>VLOOKUP(C33,EmployeeNames[],2,FALSE)</f>
        <v>Bob</v>
      </c>
      <c r="L33" s="68" t="str">
        <f>CONCATENATE('Deal Data'!$K33,'Deal Data'!$G33)</f>
        <v>BobQ2</v>
      </c>
      <c r="M33" s="84">
        <f>IF(G33=G32,SUMIFS($H$2:H33,$K$2:K33,K32,$G$2:G33,G32),0)</f>
        <v>112789.25</v>
      </c>
      <c r="N33" s="85">
        <f>VLOOKUP(L33,Base_Rate[[UniqueIdentifier]:[Rate]],2,FALSE)</f>
        <v>0.08</v>
      </c>
      <c r="O33" s="84">
        <f>VLOOKUP(L33,Table3[[UniqueIdentifier]:[Goal]],2,FALSE)</f>
        <v>250000</v>
      </c>
      <c r="P33" s="84">
        <f t="shared" si="4"/>
        <v>375000</v>
      </c>
      <c r="Q33" s="84">
        <f>'Deal Data'!$H33*VLOOKUP('Deal Data'!$L33,Base_Rate[[UniqueIdentifier]:[Rate]],2,FALSE)</f>
        <v>720</v>
      </c>
      <c r="R33" s="84">
        <f t="shared" si="5"/>
        <v>0</v>
      </c>
      <c r="S33" s="84">
        <f>IF(G33=G32,SUMIFS($R$2:R33,$K$2:K33,K32,$G$2:G33,G32),0)</f>
        <v>0</v>
      </c>
      <c r="T33" s="84">
        <f t="shared" si="6"/>
        <v>0</v>
      </c>
      <c r="U33" s="84">
        <f>IF(G33=G32,SUMIFS($T$2:T33,$K$2:K33,K32,$G$2:G33,G32),0)</f>
        <v>0</v>
      </c>
      <c r="V33" s="84">
        <f t="shared" si="3"/>
        <v>720</v>
      </c>
      <c r="W33" s="84" t="str">
        <f>IF(CommissionDetail[[#This Row],[Tier 2 Bonus]]&gt;0,"Yes","No")</f>
        <v>No</v>
      </c>
      <c r="X33" s="84">
        <f>IF(CommissionDetail[[#This Row],[Payment Quarter]]="First Payment Pending",0,CommissionDetail[[#This Row],[Total Commission]])</f>
        <v>720</v>
      </c>
    </row>
    <row r="34" spans="1:24" ht="15.75" customHeight="1" x14ac:dyDescent="0.2">
      <c r="A34" s="68">
        <v>10311</v>
      </c>
      <c r="B34" s="69">
        <v>44732</v>
      </c>
      <c r="C34" s="68" t="s">
        <v>6</v>
      </c>
      <c r="D34" s="68">
        <v>12</v>
      </c>
      <c r="E34" s="84">
        <v>27500</v>
      </c>
      <c r="F34" s="69">
        <v>44713</v>
      </c>
      <c r="G34" s="68" t="str">
        <f t="shared" ref="G34:G65" si="7">"Q"&amp;ROUNDUP(MONTH(B34)/3,0)</f>
        <v>Q2</v>
      </c>
      <c r="H34" s="84">
        <f t="shared" ref="H34:H65" si="8">IF(D34&gt;12,((E34/D34)*12),E34)</f>
        <v>27500</v>
      </c>
      <c r="I34" s="68" t="str">
        <f t="shared" si="2"/>
        <v>Q2</v>
      </c>
      <c r="J34" s="69">
        <f>_xlfn.IFNA(VLOOKUP(I34,PaymentDates[],2,FALSE),"First Payment Pending")</f>
        <v>44742</v>
      </c>
      <c r="K34" s="68" t="str">
        <f>VLOOKUP(C34,EmployeeNames[],2,FALSE)</f>
        <v>Bob</v>
      </c>
      <c r="L34" s="68" t="str">
        <f>CONCATENATE('Deal Data'!$K34,'Deal Data'!$G34)</f>
        <v>BobQ2</v>
      </c>
      <c r="M34" s="84">
        <f>IF(G34=G33,SUMIFS($H$2:H34,$K$2:K34,K33,$G$2:G34,G33),0)</f>
        <v>140289.25</v>
      </c>
      <c r="N34" s="85">
        <f>VLOOKUP(L34,Base_Rate[[UniqueIdentifier]:[Rate]],2,FALSE)</f>
        <v>0.08</v>
      </c>
      <c r="O34" s="84">
        <f>VLOOKUP(L34,Table3[[UniqueIdentifier]:[Goal]],2,FALSE)</f>
        <v>250000</v>
      </c>
      <c r="P34" s="84">
        <f t="shared" si="4"/>
        <v>375000</v>
      </c>
      <c r="Q34" s="84">
        <f>'Deal Data'!$H34*VLOOKUP('Deal Data'!$L34,Base_Rate[[UniqueIdentifier]:[Rate]],2,FALSE)</f>
        <v>2200</v>
      </c>
      <c r="R34" s="84">
        <f t="shared" si="5"/>
        <v>0</v>
      </c>
      <c r="S34" s="84">
        <f>IF(G34=G33,SUMIFS($R$2:R34,$K$2:K34,K33,$G$2:G34,G33),0)</f>
        <v>0</v>
      </c>
      <c r="T34" s="84">
        <f t="shared" si="6"/>
        <v>0</v>
      </c>
      <c r="U34" s="84">
        <f>IF(G34=G33,SUMIFS($T$2:T34,$K$2:K34,K33,$G$2:G34,G33),0)</f>
        <v>0</v>
      </c>
      <c r="V34" s="84">
        <f t="shared" si="3"/>
        <v>2200</v>
      </c>
      <c r="W34" s="84" t="str">
        <f>IF(CommissionDetail[[#This Row],[Tier 2 Bonus]]&gt;0,"Yes","No")</f>
        <v>No</v>
      </c>
      <c r="X34" s="84">
        <f>IF(CommissionDetail[[#This Row],[Payment Quarter]]="First Payment Pending",0,CommissionDetail[[#This Row],[Total Commission]])</f>
        <v>2200</v>
      </c>
    </row>
    <row r="35" spans="1:24" ht="15.75" customHeight="1" x14ac:dyDescent="0.2">
      <c r="A35" s="68">
        <v>10272</v>
      </c>
      <c r="B35" s="69">
        <v>44572</v>
      </c>
      <c r="C35" s="68" t="s">
        <v>7</v>
      </c>
      <c r="D35" s="68">
        <v>36</v>
      </c>
      <c r="E35" s="84">
        <v>1800</v>
      </c>
      <c r="F35" s="69">
        <v>44593</v>
      </c>
      <c r="G35" s="68" t="str">
        <f t="shared" si="7"/>
        <v>Q1</v>
      </c>
      <c r="H35" s="84">
        <f t="shared" si="8"/>
        <v>600</v>
      </c>
      <c r="I35" s="68" t="str">
        <f t="shared" si="2"/>
        <v>Q1</v>
      </c>
      <c r="J35" s="69">
        <f>_xlfn.IFNA(VLOOKUP(I35,PaymentDates[],2,FALSE),"First Payment Pending")</f>
        <v>44651</v>
      </c>
      <c r="K35" s="68" t="str">
        <f>VLOOKUP(C35,EmployeeNames[],2,FALSE)</f>
        <v>Jane</v>
      </c>
      <c r="L35" s="68" t="str">
        <f>CONCATENATE('Deal Data'!$K35,'Deal Data'!$G35)</f>
        <v>JaneQ1</v>
      </c>
      <c r="M35" s="84">
        <f>IF(G35=G34,SUMIFS($H$2:H35,$K$2:K35,K34,$G$2:G35,G34),0)</f>
        <v>0</v>
      </c>
      <c r="N35" s="85">
        <f>VLOOKUP(L35,Base_Rate[[UniqueIdentifier]:[Rate]],2,FALSE)</f>
        <v>0.12</v>
      </c>
      <c r="O35" s="84">
        <f>VLOOKUP(L35,Table3[[UniqueIdentifier]:[Goal]],2,FALSE)</f>
        <v>100000</v>
      </c>
      <c r="P35" s="84">
        <f t="shared" si="4"/>
        <v>150000</v>
      </c>
      <c r="Q35" s="84">
        <f>'Deal Data'!$H35*VLOOKUP('Deal Data'!$L35,Base_Rate[[UniqueIdentifier]:[Rate]],2,FALSE)</f>
        <v>72</v>
      </c>
      <c r="R35" s="84">
        <f t="shared" si="5"/>
        <v>0</v>
      </c>
      <c r="S35" s="84">
        <f>IF(G35=G34,SUMIFS($R$2:R35,$K$2:K35,K34,$G$2:G35,G34),0)</f>
        <v>0</v>
      </c>
      <c r="T35" s="84">
        <f t="shared" si="6"/>
        <v>0</v>
      </c>
      <c r="U35" s="84">
        <f>IF(G35=G34,SUMIFS($T$2:T35,$K$2:K35,K34,$G$2:G35,G34),0)</f>
        <v>0</v>
      </c>
      <c r="V35" s="84">
        <f t="shared" si="3"/>
        <v>72</v>
      </c>
      <c r="W35" s="84" t="str">
        <f>IF(CommissionDetail[[#This Row],[Tier 2 Bonus]]&gt;0,"Yes","No")</f>
        <v>No</v>
      </c>
      <c r="X35" s="84">
        <f>IF(CommissionDetail[[#This Row],[Payment Quarter]]="First Payment Pending",0,CommissionDetail[[#This Row],[Total Commission]])</f>
        <v>72</v>
      </c>
    </row>
    <row r="36" spans="1:24" ht="15.75" customHeight="1" x14ac:dyDescent="0.2">
      <c r="A36" s="68">
        <v>10237</v>
      </c>
      <c r="B36" s="69">
        <v>44581</v>
      </c>
      <c r="C36" s="68" t="s">
        <v>7</v>
      </c>
      <c r="D36" s="68">
        <v>20</v>
      </c>
      <c r="E36" s="84">
        <v>17000</v>
      </c>
      <c r="F36" s="69">
        <v>44539</v>
      </c>
      <c r="G36" s="68" t="str">
        <f t="shared" si="7"/>
        <v>Q1</v>
      </c>
      <c r="H36" s="84">
        <f t="shared" si="8"/>
        <v>10200</v>
      </c>
      <c r="J36" s="69" t="str">
        <f>_xlfn.IFNA(VLOOKUP(I36,PaymentDates[],2,FALSE),"First Payment Pending")</f>
        <v>First Payment Pending</v>
      </c>
      <c r="K36" s="68" t="str">
        <f>VLOOKUP(C36,EmployeeNames[],2,FALSE)</f>
        <v>Jane</v>
      </c>
      <c r="L36" s="68" t="str">
        <f>CONCATENATE('Deal Data'!$K36,'Deal Data'!$G36)</f>
        <v>JaneQ1</v>
      </c>
      <c r="M36" s="84">
        <f>IF(G36=G35,SUMIFS($H$2:H36,$K$2:K36,K35,$G$2:G36,G35),0)</f>
        <v>10800</v>
      </c>
      <c r="N36" s="85">
        <f>VLOOKUP(L36,Base_Rate[[UniqueIdentifier]:[Rate]],2,FALSE)</f>
        <v>0.12</v>
      </c>
      <c r="O36" s="84">
        <f>VLOOKUP(L36,Table3[[UniqueIdentifier]:[Goal]],2,FALSE)</f>
        <v>100000</v>
      </c>
      <c r="P36" s="84">
        <f t="shared" si="4"/>
        <v>150000</v>
      </c>
      <c r="Q36" s="84">
        <f>'Deal Data'!$H36*VLOOKUP('Deal Data'!$L36,Base_Rate[[UniqueIdentifier]:[Rate]],2,FALSE)</f>
        <v>1224</v>
      </c>
      <c r="R36" s="84">
        <f t="shared" si="5"/>
        <v>0</v>
      </c>
      <c r="S36" s="84">
        <f>IF(G36=G35,SUMIFS($R$2:R36,$K$2:K36,K35,$G$2:G36,G35),0)</f>
        <v>0</v>
      </c>
      <c r="T36" s="84">
        <f t="shared" si="6"/>
        <v>0</v>
      </c>
      <c r="U36" s="84">
        <f>IF(G36=G35,SUMIFS($T$2:T36,$K$2:K36,K35,$G$2:G36,G35),0)</f>
        <v>0</v>
      </c>
      <c r="V36" s="84">
        <f t="shared" si="3"/>
        <v>1224</v>
      </c>
      <c r="W36" s="84" t="str">
        <f>IF(CommissionDetail[[#This Row],[Tier 2 Bonus]]&gt;0,"Yes","No")</f>
        <v>No</v>
      </c>
      <c r="X36" s="84">
        <f>IF(CommissionDetail[[#This Row],[Payment Quarter]]="First Payment Pending",0,CommissionDetail[[#This Row],[Total Commission]])</f>
        <v>1224</v>
      </c>
    </row>
    <row r="37" spans="1:24" ht="15.75" customHeight="1" x14ac:dyDescent="0.2">
      <c r="A37" s="68">
        <v>10282</v>
      </c>
      <c r="B37" s="69">
        <v>44593</v>
      </c>
      <c r="C37" s="68" t="s">
        <v>7</v>
      </c>
      <c r="D37" s="68">
        <v>36</v>
      </c>
      <c r="E37" s="84">
        <v>6589</v>
      </c>
      <c r="F37" s="69">
        <v>44614</v>
      </c>
      <c r="G37" s="68" t="str">
        <f t="shared" si="7"/>
        <v>Q1</v>
      </c>
      <c r="H37" s="84">
        <f t="shared" si="8"/>
        <v>2196.333333333333</v>
      </c>
      <c r="I37" s="68" t="str">
        <f t="shared" ref="I37:I68" si="9">IFERROR("Q"&amp;ROUNDUP(MONTH(F37)/3,0),"First Payment Pending")</f>
        <v>Q1</v>
      </c>
      <c r="J37" s="69">
        <f>_xlfn.IFNA(VLOOKUP(I37,PaymentDates[],2,FALSE),"First Payment Pending")</f>
        <v>44651</v>
      </c>
      <c r="K37" s="68" t="str">
        <f>VLOOKUP(C37,EmployeeNames[],2,FALSE)</f>
        <v>Jane</v>
      </c>
      <c r="L37" s="68" t="str">
        <f>CONCATENATE('Deal Data'!$K37,'Deal Data'!$G37)</f>
        <v>JaneQ1</v>
      </c>
      <c r="M37" s="84">
        <f>IF(G37=G36,SUMIFS($H$2:H37,$K$2:K37,K36,$G$2:G37,G36),0)</f>
        <v>12996.333333333332</v>
      </c>
      <c r="N37" s="85">
        <f>VLOOKUP(L37,Base_Rate[[UniqueIdentifier]:[Rate]],2,FALSE)</f>
        <v>0.12</v>
      </c>
      <c r="O37" s="84">
        <f>VLOOKUP(L37,Table3[[UniqueIdentifier]:[Goal]],2,FALSE)</f>
        <v>100000</v>
      </c>
      <c r="P37" s="84">
        <f t="shared" si="4"/>
        <v>150000</v>
      </c>
      <c r="Q37" s="84">
        <f>'Deal Data'!$H37*VLOOKUP('Deal Data'!$L37,Base_Rate[[UniqueIdentifier]:[Rate]],2,FALSE)</f>
        <v>263.55999999999995</v>
      </c>
      <c r="R37" s="84">
        <f t="shared" si="5"/>
        <v>0</v>
      </c>
      <c r="S37" s="84">
        <f>IF(G37=G36,SUMIFS($R$2:R37,$K$2:K37,K36,$G$2:G37,G36),0)</f>
        <v>0</v>
      </c>
      <c r="T37" s="84">
        <f t="shared" si="6"/>
        <v>0</v>
      </c>
      <c r="U37" s="84">
        <f>IF(G37=G36,SUMIFS($T$2:T37,$K$2:K37,K36,$G$2:G37,G36),0)</f>
        <v>0</v>
      </c>
      <c r="V37" s="84">
        <f t="shared" si="3"/>
        <v>263.55999999999995</v>
      </c>
      <c r="W37" s="84" t="str">
        <f>IF(CommissionDetail[[#This Row],[Tier 2 Bonus]]&gt;0,"Yes","No")</f>
        <v>No</v>
      </c>
      <c r="X37" s="84">
        <f>IF(CommissionDetail[[#This Row],[Payment Quarter]]="First Payment Pending",0,CommissionDetail[[#This Row],[Total Commission]])</f>
        <v>263.55999999999995</v>
      </c>
    </row>
    <row r="38" spans="1:24" ht="15.75" customHeight="1" x14ac:dyDescent="0.2">
      <c r="A38" s="68">
        <v>10277</v>
      </c>
      <c r="B38" s="69">
        <v>44595</v>
      </c>
      <c r="C38" s="68" t="s">
        <v>7</v>
      </c>
      <c r="D38" s="68">
        <v>12</v>
      </c>
      <c r="E38" s="84">
        <v>15000</v>
      </c>
      <c r="F38" s="69">
        <v>44620</v>
      </c>
      <c r="G38" s="68" t="str">
        <f t="shared" si="7"/>
        <v>Q1</v>
      </c>
      <c r="H38" s="84">
        <f t="shared" si="8"/>
        <v>15000</v>
      </c>
      <c r="I38" s="68" t="str">
        <f t="shared" si="9"/>
        <v>Q1</v>
      </c>
      <c r="J38" s="69">
        <f>_xlfn.IFNA(VLOOKUP(I38,PaymentDates[],2,FALSE),"First Payment Pending")</f>
        <v>44651</v>
      </c>
      <c r="K38" s="68" t="str">
        <f>VLOOKUP(C38,EmployeeNames[],2,FALSE)</f>
        <v>Jane</v>
      </c>
      <c r="L38" s="68" t="str">
        <f>CONCATENATE('Deal Data'!$K38,'Deal Data'!$G38)</f>
        <v>JaneQ1</v>
      </c>
      <c r="M38" s="84">
        <f>IF(G38=G37,SUMIFS($H$2:H38,$K$2:K38,K37,$G$2:G38,G37),0)</f>
        <v>27996.333333333332</v>
      </c>
      <c r="N38" s="85">
        <f>VLOOKUP(L38,Base_Rate[[UniqueIdentifier]:[Rate]],2,FALSE)</f>
        <v>0.12</v>
      </c>
      <c r="O38" s="84">
        <f>VLOOKUP(L38,Table3[[UniqueIdentifier]:[Goal]],2,FALSE)</f>
        <v>100000</v>
      </c>
      <c r="P38" s="84">
        <f t="shared" si="4"/>
        <v>150000</v>
      </c>
      <c r="Q38" s="84">
        <f>'Deal Data'!$H38*VLOOKUP('Deal Data'!$L38,Base_Rate[[UniqueIdentifier]:[Rate]],2,FALSE)</f>
        <v>1800</v>
      </c>
      <c r="R38" s="84">
        <f t="shared" si="5"/>
        <v>0</v>
      </c>
      <c r="S38" s="84">
        <f>IF(G38=G37,SUMIFS($R$2:R38,$K$2:K38,K37,$G$2:G38,G37),0)</f>
        <v>0</v>
      </c>
      <c r="T38" s="84">
        <f t="shared" si="6"/>
        <v>0</v>
      </c>
      <c r="U38" s="84">
        <f>IF(G38=G37,SUMIFS($T$2:T38,$K$2:K38,K37,$G$2:G38,G37),0)</f>
        <v>0</v>
      </c>
      <c r="V38" s="84">
        <f t="shared" si="3"/>
        <v>1800</v>
      </c>
      <c r="W38" s="84" t="str">
        <f>IF(CommissionDetail[[#This Row],[Tier 2 Bonus]]&gt;0,"Yes","No")</f>
        <v>No</v>
      </c>
      <c r="X38" s="84">
        <f>IF(CommissionDetail[[#This Row],[Payment Quarter]]="First Payment Pending",0,CommissionDetail[[#This Row],[Total Commission]])</f>
        <v>1800</v>
      </c>
    </row>
    <row r="39" spans="1:24" ht="15.75" customHeight="1" x14ac:dyDescent="0.2">
      <c r="A39" s="68">
        <v>10287</v>
      </c>
      <c r="B39" s="69">
        <v>44626</v>
      </c>
      <c r="C39" s="68" t="s">
        <v>7</v>
      </c>
      <c r="D39" s="68">
        <v>30</v>
      </c>
      <c r="E39" s="84">
        <v>7200</v>
      </c>
      <c r="F39" s="69">
        <v>44657</v>
      </c>
      <c r="G39" s="68" t="str">
        <f t="shared" si="7"/>
        <v>Q1</v>
      </c>
      <c r="H39" s="84">
        <f t="shared" si="8"/>
        <v>2880</v>
      </c>
      <c r="I39" s="68" t="str">
        <f t="shared" si="9"/>
        <v>Q2</v>
      </c>
      <c r="J39" s="69">
        <f>_xlfn.IFNA(VLOOKUP(I39,PaymentDates[],2,FALSE),"First Payment Pending")</f>
        <v>44742</v>
      </c>
      <c r="K39" s="68" t="str">
        <f>VLOOKUP(C39,EmployeeNames[],2,FALSE)</f>
        <v>Jane</v>
      </c>
      <c r="L39" s="68" t="str">
        <f>CONCATENATE('Deal Data'!$K39,'Deal Data'!$G39)</f>
        <v>JaneQ1</v>
      </c>
      <c r="M39" s="84">
        <f>IF(G39=G38,SUMIFS($H$2:H39,$K$2:K39,K38,$G$2:G39,G38),0)</f>
        <v>30876.333333333332</v>
      </c>
      <c r="N39" s="85">
        <f>VLOOKUP(L39,Base_Rate[[UniqueIdentifier]:[Rate]],2,FALSE)</f>
        <v>0.12</v>
      </c>
      <c r="O39" s="84">
        <f>VLOOKUP(L39,Table3[[UniqueIdentifier]:[Goal]],2,FALSE)</f>
        <v>100000</v>
      </c>
      <c r="P39" s="84">
        <f t="shared" si="4"/>
        <v>150000</v>
      </c>
      <c r="Q39" s="84">
        <f>'Deal Data'!$H39*VLOOKUP('Deal Data'!$L39,Base_Rate[[UniqueIdentifier]:[Rate]],2,FALSE)</f>
        <v>345.59999999999997</v>
      </c>
      <c r="R39" s="84">
        <f t="shared" si="5"/>
        <v>0</v>
      </c>
      <c r="S39" s="84">
        <f>IF(G39=G38,SUMIFS($R$2:R39,$K$2:K39,K38,$G$2:G39,G38),0)</f>
        <v>0</v>
      </c>
      <c r="T39" s="84">
        <f t="shared" si="6"/>
        <v>0</v>
      </c>
      <c r="U39" s="84">
        <f>IF(G39=G38,SUMIFS($T$2:T39,$K$2:K39,K38,$G$2:G39,G38),0)</f>
        <v>0</v>
      </c>
      <c r="V39" s="84">
        <f t="shared" si="3"/>
        <v>345.59999999999997</v>
      </c>
      <c r="W39" s="84" t="str">
        <f>IF(CommissionDetail[[#This Row],[Tier 2 Bonus]]&gt;0,"Yes","No")</f>
        <v>No</v>
      </c>
      <c r="X39" s="84">
        <f>IF(CommissionDetail[[#This Row],[Payment Quarter]]="First Payment Pending",0,CommissionDetail[[#This Row],[Total Commission]])</f>
        <v>345.59999999999997</v>
      </c>
    </row>
    <row r="40" spans="1:24" ht="15.75" customHeight="1" x14ac:dyDescent="0.2">
      <c r="A40" s="68">
        <v>10052</v>
      </c>
      <c r="B40" s="69">
        <v>44635</v>
      </c>
      <c r="C40" s="68" t="s">
        <v>7</v>
      </c>
      <c r="D40" s="68">
        <v>12</v>
      </c>
      <c r="E40" s="84">
        <v>3360</v>
      </c>
      <c r="F40" s="69">
        <v>44708</v>
      </c>
      <c r="G40" s="68" t="str">
        <f t="shared" si="7"/>
        <v>Q1</v>
      </c>
      <c r="H40" s="84">
        <f t="shared" si="8"/>
        <v>3360</v>
      </c>
      <c r="I40" s="68" t="str">
        <f t="shared" si="9"/>
        <v>Q2</v>
      </c>
      <c r="J40" s="69">
        <f>_xlfn.IFNA(VLOOKUP(I40,PaymentDates[],2,FALSE),"First Payment Pending")</f>
        <v>44742</v>
      </c>
      <c r="K40" s="68" t="str">
        <f>VLOOKUP(C40,EmployeeNames[],2,FALSE)</f>
        <v>Jane</v>
      </c>
      <c r="L40" s="68" t="str">
        <f>CONCATENATE('Deal Data'!$K40,'Deal Data'!$G40)</f>
        <v>JaneQ1</v>
      </c>
      <c r="M40" s="84">
        <f>IF(G40=G39,SUMIFS($H$2:H40,$K$2:K40,K39,$G$2:G40,G39),0)</f>
        <v>34236.333333333328</v>
      </c>
      <c r="N40" s="85">
        <f>VLOOKUP(L40,Base_Rate[[UniqueIdentifier]:[Rate]],2,FALSE)</f>
        <v>0.12</v>
      </c>
      <c r="O40" s="84">
        <f>VLOOKUP(L40,Table3[[UniqueIdentifier]:[Goal]],2,FALSE)</f>
        <v>100000</v>
      </c>
      <c r="P40" s="84">
        <f t="shared" si="4"/>
        <v>150000</v>
      </c>
      <c r="Q40" s="84">
        <f>'Deal Data'!$H40*VLOOKUP('Deal Data'!$L40,Base_Rate[[UniqueIdentifier]:[Rate]],2,FALSE)</f>
        <v>403.2</v>
      </c>
      <c r="R40" s="84">
        <f t="shared" si="5"/>
        <v>0</v>
      </c>
      <c r="S40" s="84">
        <f>IF(G40=G39,SUMIFS($R$2:R40,$K$2:K40,K39,$G$2:G40,G39),0)</f>
        <v>0</v>
      </c>
      <c r="T40" s="84">
        <f t="shared" si="6"/>
        <v>0</v>
      </c>
      <c r="U40" s="84">
        <f>IF(G40=G39,SUMIFS($T$2:T40,$K$2:K40,K39,$G$2:G40,G39),0)</f>
        <v>0</v>
      </c>
      <c r="V40" s="84">
        <f t="shared" si="3"/>
        <v>403.2</v>
      </c>
      <c r="W40" s="84" t="str">
        <f>IF(CommissionDetail[[#This Row],[Tier 2 Bonus]]&gt;0,"Yes","No")</f>
        <v>No</v>
      </c>
      <c r="X40" s="84">
        <f>IF(CommissionDetail[[#This Row],[Payment Quarter]]="First Payment Pending",0,CommissionDetail[[#This Row],[Total Commission]])</f>
        <v>403.2</v>
      </c>
    </row>
    <row r="41" spans="1:24" ht="15.75" customHeight="1" x14ac:dyDescent="0.2">
      <c r="A41" s="68">
        <v>10042</v>
      </c>
      <c r="B41" s="69">
        <v>44642</v>
      </c>
      <c r="C41" s="68" t="s">
        <v>7</v>
      </c>
      <c r="D41" s="68">
        <v>12</v>
      </c>
      <c r="E41" s="84">
        <v>1125</v>
      </c>
      <c r="F41" s="69">
        <v>44662</v>
      </c>
      <c r="G41" s="68" t="str">
        <f t="shared" si="7"/>
        <v>Q1</v>
      </c>
      <c r="H41" s="84">
        <f t="shared" si="8"/>
        <v>1125</v>
      </c>
      <c r="I41" s="68" t="str">
        <f t="shared" si="9"/>
        <v>Q2</v>
      </c>
      <c r="J41" s="69">
        <f>_xlfn.IFNA(VLOOKUP(I41,PaymentDates[],2,FALSE),"First Payment Pending")</f>
        <v>44742</v>
      </c>
      <c r="K41" s="68" t="str">
        <f>VLOOKUP(C41,EmployeeNames[],2,FALSE)</f>
        <v>Jane</v>
      </c>
      <c r="L41" s="68" t="str">
        <f>CONCATENATE('Deal Data'!$K41,'Deal Data'!$G41)</f>
        <v>JaneQ1</v>
      </c>
      <c r="M41" s="84">
        <f>IF(G41=G40,SUMIFS($H$2:H41,$K$2:K41,K40,$G$2:G41,G40),0)</f>
        <v>35361.333333333328</v>
      </c>
      <c r="N41" s="85">
        <f>VLOOKUP(L41,Base_Rate[[UniqueIdentifier]:[Rate]],2,FALSE)</f>
        <v>0.12</v>
      </c>
      <c r="O41" s="84">
        <f>VLOOKUP(L41,Table3[[UniqueIdentifier]:[Goal]],2,FALSE)</f>
        <v>100000</v>
      </c>
      <c r="P41" s="84">
        <f t="shared" si="4"/>
        <v>150000</v>
      </c>
      <c r="Q41" s="84">
        <f>'Deal Data'!$H41*VLOOKUP('Deal Data'!$L41,Base_Rate[[UniqueIdentifier]:[Rate]],2,FALSE)</f>
        <v>135</v>
      </c>
      <c r="R41" s="84">
        <f t="shared" si="5"/>
        <v>0</v>
      </c>
      <c r="S41" s="84">
        <f>IF(G41=G40,SUMIFS($R$2:R41,$K$2:K41,K40,$G$2:G41,G40),0)</f>
        <v>0</v>
      </c>
      <c r="T41" s="84">
        <f t="shared" si="6"/>
        <v>0</v>
      </c>
      <c r="U41" s="84">
        <f>IF(G41=G40,SUMIFS($T$2:T41,$K$2:K41,K40,$G$2:G41,G40),0)</f>
        <v>0</v>
      </c>
      <c r="V41" s="84">
        <f t="shared" si="3"/>
        <v>135</v>
      </c>
      <c r="W41" s="84" t="str">
        <f>IF(CommissionDetail[[#This Row],[Tier 2 Bonus]]&gt;0,"Yes","No")</f>
        <v>No</v>
      </c>
      <c r="X41" s="84">
        <f>IF(CommissionDetail[[#This Row],[Payment Quarter]]="First Payment Pending",0,CommissionDetail[[#This Row],[Total Commission]])</f>
        <v>135</v>
      </c>
    </row>
    <row r="42" spans="1:24" ht="15.75" customHeight="1" x14ac:dyDescent="0.2">
      <c r="A42" s="68">
        <v>10027</v>
      </c>
      <c r="B42" s="69">
        <v>44643</v>
      </c>
      <c r="C42" s="68" t="s">
        <v>7</v>
      </c>
      <c r="D42" s="68">
        <v>12</v>
      </c>
      <c r="E42" s="84">
        <v>360</v>
      </c>
      <c r="F42" s="69">
        <v>44675</v>
      </c>
      <c r="G42" s="68" t="str">
        <f t="shared" si="7"/>
        <v>Q1</v>
      </c>
      <c r="H42" s="84">
        <f t="shared" si="8"/>
        <v>360</v>
      </c>
      <c r="I42" s="68" t="str">
        <f t="shared" si="9"/>
        <v>Q2</v>
      </c>
      <c r="J42" s="69">
        <f>_xlfn.IFNA(VLOOKUP(I42,PaymentDates[],2,FALSE),"First Payment Pending")</f>
        <v>44742</v>
      </c>
      <c r="K42" s="68" t="str">
        <f>VLOOKUP(C42,EmployeeNames[],2,FALSE)</f>
        <v>Jane</v>
      </c>
      <c r="L42" s="68" t="str">
        <f>CONCATENATE('Deal Data'!$K42,'Deal Data'!$G42)</f>
        <v>JaneQ1</v>
      </c>
      <c r="M42" s="84">
        <f>IF(G42=G41,SUMIFS($H$2:H42,$K$2:K42,K41,$G$2:G42,G41),0)</f>
        <v>35721.333333333328</v>
      </c>
      <c r="N42" s="85">
        <f>VLOOKUP(L42,Base_Rate[[UniqueIdentifier]:[Rate]],2,FALSE)</f>
        <v>0.12</v>
      </c>
      <c r="O42" s="84">
        <f>VLOOKUP(L42,Table3[[UniqueIdentifier]:[Goal]],2,FALSE)</f>
        <v>100000</v>
      </c>
      <c r="P42" s="84">
        <f t="shared" si="4"/>
        <v>150000</v>
      </c>
      <c r="Q42" s="84">
        <f>'Deal Data'!$H42*VLOOKUP('Deal Data'!$L42,Base_Rate[[UniqueIdentifier]:[Rate]],2,FALSE)</f>
        <v>43.199999999999996</v>
      </c>
      <c r="R42" s="84">
        <f t="shared" si="5"/>
        <v>0</v>
      </c>
      <c r="S42" s="84">
        <f>IF(G42=G41,SUMIFS($R$2:R42,$K$2:K42,K41,$G$2:G42,G41),0)</f>
        <v>0</v>
      </c>
      <c r="T42" s="84">
        <f t="shared" si="6"/>
        <v>0</v>
      </c>
      <c r="U42" s="84">
        <f>IF(G42=G41,SUMIFS($T$2:T42,$K$2:K42,K41,$G$2:G42,G41),0)</f>
        <v>0</v>
      </c>
      <c r="V42" s="84">
        <f t="shared" si="3"/>
        <v>43.199999999999996</v>
      </c>
      <c r="W42" s="84" t="str">
        <f>IF(CommissionDetail[[#This Row],[Tier 2 Bonus]]&gt;0,"Yes","No")</f>
        <v>No</v>
      </c>
      <c r="X42" s="84">
        <f>IF(CommissionDetail[[#This Row],[Payment Quarter]]="First Payment Pending",0,CommissionDetail[[#This Row],[Total Commission]])</f>
        <v>43.199999999999996</v>
      </c>
    </row>
    <row r="43" spans="1:24" ht="15.75" customHeight="1" x14ac:dyDescent="0.2">
      <c r="A43" s="68">
        <v>10232</v>
      </c>
      <c r="B43" s="69">
        <v>44644</v>
      </c>
      <c r="C43" s="68" t="s">
        <v>7</v>
      </c>
      <c r="D43" s="68">
        <v>12</v>
      </c>
      <c r="E43" s="84">
        <v>13400</v>
      </c>
      <c r="F43" s="69">
        <v>44658</v>
      </c>
      <c r="G43" s="68" t="str">
        <f t="shared" si="7"/>
        <v>Q1</v>
      </c>
      <c r="H43" s="84">
        <f t="shared" si="8"/>
        <v>13400</v>
      </c>
      <c r="I43" s="68" t="str">
        <f t="shared" si="9"/>
        <v>Q2</v>
      </c>
      <c r="J43" s="69">
        <f>_xlfn.IFNA(VLOOKUP(I43,PaymentDates[],2,FALSE),"First Payment Pending")</f>
        <v>44742</v>
      </c>
      <c r="K43" s="68" t="str">
        <f>VLOOKUP(C43,EmployeeNames[],2,FALSE)</f>
        <v>Jane</v>
      </c>
      <c r="L43" s="68" t="str">
        <f>CONCATENATE('Deal Data'!$K43,'Deal Data'!$G43)</f>
        <v>JaneQ1</v>
      </c>
      <c r="M43" s="84">
        <f>IF(G43=G42,SUMIFS($H$2:H43,$K$2:K43,K42,$G$2:G43,G42),0)</f>
        <v>49121.333333333328</v>
      </c>
      <c r="N43" s="85">
        <f>VLOOKUP(L43,Base_Rate[[UniqueIdentifier]:[Rate]],2,FALSE)</f>
        <v>0.12</v>
      </c>
      <c r="O43" s="84">
        <f>VLOOKUP(L43,Table3[[UniqueIdentifier]:[Goal]],2,FALSE)</f>
        <v>100000</v>
      </c>
      <c r="P43" s="84">
        <f t="shared" si="4"/>
        <v>150000</v>
      </c>
      <c r="Q43" s="84">
        <f>'Deal Data'!$H43*VLOOKUP('Deal Data'!$L43,Base_Rate[[UniqueIdentifier]:[Rate]],2,FALSE)</f>
        <v>1608</v>
      </c>
      <c r="R43" s="84">
        <f t="shared" si="5"/>
        <v>0</v>
      </c>
      <c r="S43" s="84">
        <f>IF(G43=G42,SUMIFS($R$2:R43,$K$2:K43,K42,$G$2:G43,G42),0)</f>
        <v>0</v>
      </c>
      <c r="T43" s="84">
        <f t="shared" si="6"/>
        <v>0</v>
      </c>
      <c r="U43" s="84">
        <f>IF(G43=G42,SUMIFS($T$2:T43,$K$2:K43,K42,$G$2:G43,G42),0)</f>
        <v>0</v>
      </c>
      <c r="V43" s="84">
        <f t="shared" si="3"/>
        <v>1608</v>
      </c>
      <c r="W43" s="84" t="str">
        <f>IF(CommissionDetail[[#This Row],[Tier 2 Bonus]]&gt;0,"Yes","No")</f>
        <v>No</v>
      </c>
      <c r="X43" s="84">
        <f>IF(CommissionDetail[[#This Row],[Payment Quarter]]="First Payment Pending",0,CommissionDetail[[#This Row],[Total Commission]])</f>
        <v>1608</v>
      </c>
    </row>
    <row r="44" spans="1:24" ht="15.75" customHeight="1" x14ac:dyDescent="0.2">
      <c r="A44" s="68">
        <v>10222</v>
      </c>
      <c r="B44" s="69">
        <v>44650</v>
      </c>
      <c r="C44" s="68" t="s">
        <v>7</v>
      </c>
      <c r="D44" s="68">
        <v>12</v>
      </c>
      <c r="E44" s="84">
        <v>6000</v>
      </c>
      <c r="F44" s="69">
        <v>44688</v>
      </c>
      <c r="G44" s="68" t="str">
        <f t="shared" si="7"/>
        <v>Q1</v>
      </c>
      <c r="H44" s="84">
        <f t="shared" si="8"/>
        <v>6000</v>
      </c>
      <c r="I44" s="68" t="str">
        <f t="shared" si="9"/>
        <v>Q2</v>
      </c>
      <c r="J44" s="69">
        <f>_xlfn.IFNA(VLOOKUP(I44,PaymentDates[],2,FALSE),"First Payment Pending")</f>
        <v>44742</v>
      </c>
      <c r="K44" s="68" t="str">
        <f>VLOOKUP(C44,EmployeeNames[],2,FALSE)</f>
        <v>Jane</v>
      </c>
      <c r="L44" s="68" t="str">
        <f>CONCATENATE('Deal Data'!$K44,'Deal Data'!$G44)</f>
        <v>JaneQ1</v>
      </c>
      <c r="M44" s="84">
        <f>IF(G44=G43,SUMIFS($H$2:H44,$K$2:K44,K43,$G$2:G44,G43),0)</f>
        <v>55121.333333333328</v>
      </c>
      <c r="N44" s="85">
        <f>VLOOKUP(L44,Base_Rate[[UniqueIdentifier]:[Rate]],2,FALSE)</f>
        <v>0.12</v>
      </c>
      <c r="O44" s="84">
        <f>VLOOKUP(L44,Table3[[UniqueIdentifier]:[Goal]],2,FALSE)</f>
        <v>100000</v>
      </c>
      <c r="P44" s="84">
        <f t="shared" si="4"/>
        <v>150000</v>
      </c>
      <c r="Q44" s="84">
        <f>'Deal Data'!$H44*VLOOKUP('Deal Data'!$L44,Base_Rate[[UniqueIdentifier]:[Rate]],2,FALSE)</f>
        <v>720</v>
      </c>
      <c r="R44" s="84">
        <f t="shared" si="5"/>
        <v>0</v>
      </c>
      <c r="S44" s="84">
        <f>IF(G44=G43,SUMIFS($R$2:R44,$K$2:K44,K43,$G$2:G44,G43),0)</f>
        <v>0</v>
      </c>
      <c r="T44" s="84">
        <f t="shared" si="6"/>
        <v>0</v>
      </c>
      <c r="U44" s="84">
        <f>IF(G44=G43,SUMIFS($T$2:T44,$K$2:K44,K43,$G$2:G44,G43),0)</f>
        <v>0</v>
      </c>
      <c r="V44" s="84">
        <f t="shared" si="3"/>
        <v>720</v>
      </c>
      <c r="W44" s="84" t="str">
        <f>IF(CommissionDetail[[#This Row],[Tier 2 Bonus]]&gt;0,"Yes","No")</f>
        <v>No</v>
      </c>
      <c r="X44" s="84">
        <f>IF(CommissionDetail[[#This Row],[Payment Quarter]]="First Payment Pending",0,CommissionDetail[[#This Row],[Total Commission]])</f>
        <v>720</v>
      </c>
    </row>
    <row r="45" spans="1:24" ht="15.75" customHeight="1" x14ac:dyDescent="0.2">
      <c r="A45" s="68">
        <v>10192</v>
      </c>
      <c r="B45" s="69">
        <v>44651</v>
      </c>
      <c r="C45" s="68" t="s">
        <v>7</v>
      </c>
      <c r="D45" s="68">
        <v>12</v>
      </c>
      <c r="E45" s="84">
        <v>3999</v>
      </c>
      <c r="F45" s="69">
        <v>44713</v>
      </c>
      <c r="G45" s="68" t="str">
        <f t="shared" si="7"/>
        <v>Q1</v>
      </c>
      <c r="H45" s="84">
        <f t="shared" si="8"/>
        <v>3999</v>
      </c>
      <c r="I45" s="68" t="str">
        <f t="shared" si="9"/>
        <v>Q2</v>
      </c>
      <c r="J45" s="69">
        <f>_xlfn.IFNA(VLOOKUP(I45,PaymentDates[],2,FALSE),"First Payment Pending")</f>
        <v>44742</v>
      </c>
      <c r="K45" s="68" t="str">
        <f>VLOOKUP(C45,EmployeeNames[],2,FALSE)</f>
        <v>Jane</v>
      </c>
      <c r="L45" s="68" t="str">
        <f>CONCATENATE('Deal Data'!$K45,'Deal Data'!$G45)</f>
        <v>JaneQ1</v>
      </c>
      <c r="M45" s="84">
        <f>IF(G45=G44,SUMIFS($H$2:H45,$K$2:K45,K44,$G$2:G45,G44),0)</f>
        <v>59120.333333333328</v>
      </c>
      <c r="N45" s="85">
        <f>VLOOKUP(L45,Base_Rate[[UniqueIdentifier]:[Rate]],2,FALSE)</f>
        <v>0.12</v>
      </c>
      <c r="O45" s="84">
        <f>VLOOKUP(L45,Table3[[UniqueIdentifier]:[Goal]],2,FALSE)</f>
        <v>100000</v>
      </c>
      <c r="P45" s="84">
        <f t="shared" si="4"/>
        <v>150000</v>
      </c>
      <c r="Q45" s="84">
        <f>'Deal Data'!$H45*VLOOKUP('Deal Data'!$L45,Base_Rate[[UniqueIdentifier]:[Rate]],2,FALSE)</f>
        <v>479.88</v>
      </c>
      <c r="R45" s="84">
        <f t="shared" si="5"/>
        <v>0</v>
      </c>
      <c r="S45" s="84">
        <f>IF(G45=G44,SUMIFS($R$2:R45,$K$2:K45,K44,$G$2:G45,G44),0)</f>
        <v>0</v>
      </c>
      <c r="T45" s="84">
        <f t="shared" si="6"/>
        <v>0</v>
      </c>
      <c r="U45" s="84">
        <f>IF(G45=G44,SUMIFS($T$2:T45,$K$2:K45,K44,$G$2:G45,G44),0)</f>
        <v>0</v>
      </c>
      <c r="V45" s="84">
        <f t="shared" si="3"/>
        <v>479.88</v>
      </c>
      <c r="W45" s="84" t="str">
        <f>IF(CommissionDetail[[#This Row],[Tier 2 Bonus]]&gt;0,"Yes","No")</f>
        <v>No</v>
      </c>
      <c r="X45" s="84">
        <f>IF(CommissionDetail[[#This Row],[Payment Quarter]]="First Payment Pending",0,CommissionDetail[[#This Row],[Total Commission]])</f>
        <v>479.88</v>
      </c>
    </row>
    <row r="46" spans="1:24" ht="15.75" customHeight="1" x14ac:dyDescent="0.2">
      <c r="A46" s="68">
        <v>10012</v>
      </c>
      <c r="B46" s="69">
        <v>44671</v>
      </c>
      <c r="C46" s="68" t="s">
        <v>7</v>
      </c>
      <c r="D46" s="68">
        <v>12</v>
      </c>
      <c r="E46" s="84">
        <v>15996</v>
      </c>
      <c r="F46" s="69">
        <v>44691</v>
      </c>
      <c r="G46" s="68" t="str">
        <f t="shared" si="7"/>
        <v>Q2</v>
      </c>
      <c r="H46" s="84">
        <f t="shared" si="8"/>
        <v>15996</v>
      </c>
      <c r="I46" s="68" t="str">
        <f t="shared" si="9"/>
        <v>Q2</v>
      </c>
      <c r="J46" s="69">
        <f>_xlfn.IFNA(VLOOKUP(I46,PaymentDates[],2,FALSE),"First Payment Pending")</f>
        <v>44742</v>
      </c>
      <c r="K46" s="68" t="str">
        <f>VLOOKUP(C46,EmployeeNames[],2,FALSE)</f>
        <v>Jane</v>
      </c>
      <c r="L46" s="68" t="str">
        <f>CONCATENATE('Deal Data'!$K46,'Deal Data'!$G46)</f>
        <v>JaneQ2</v>
      </c>
      <c r="M46" s="84">
        <f>IF(G46=G45,SUMIFS($H$2:H46,$K$2:K46,K45,$G$2:G46,G45),0)</f>
        <v>0</v>
      </c>
      <c r="N46" s="85">
        <f>VLOOKUP(L46,Base_Rate[[UniqueIdentifier]:[Rate]],2,FALSE)</f>
        <v>0.11</v>
      </c>
      <c r="O46" s="84">
        <f>VLOOKUP(L46,Table3[[UniqueIdentifier]:[Goal]],2,FALSE)</f>
        <v>200000</v>
      </c>
      <c r="P46" s="84">
        <f t="shared" si="4"/>
        <v>300000</v>
      </c>
      <c r="Q46" s="84">
        <f>'Deal Data'!$H46*VLOOKUP('Deal Data'!$L46,Base_Rate[[UniqueIdentifier]:[Rate]],2,FALSE)</f>
        <v>1759.56</v>
      </c>
      <c r="R46" s="84">
        <f t="shared" si="5"/>
        <v>0</v>
      </c>
      <c r="S46" s="84">
        <f>IF(G46=G45,SUMIFS($R$2:R46,$K$2:K46,K45,$G$2:G46,G45),0)</f>
        <v>0</v>
      </c>
      <c r="T46" s="84">
        <f t="shared" si="6"/>
        <v>0</v>
      </c>
      <c r="U46" s="84">
        <f>IF(G46=G45,SUMIFS($T$2:T46,$K$2:K46,K45,$G$2:G46,G45),0)</f>
        <v>0</v>
      </c>
      <c r="V46" s="84">
        <f t="shared" si="3"/>
        <v>1759.56</v>
      </c>
      <c r="W46" s="84" t="str">
        <f>IF(CommissionDetail[[#This Row],[Tier 2 Bonus]]&gt;0,"Yes","No")</f>
        <v>No</v>
      </c>
      <c r="X46" s="84">
        <f>IF(CommissionDetail[[#This Row],[Payment Quarter]]="First Payment Pending",0,CommissionDetail[[#This Row],[Total Commission]])</f>
        <v>1759.56</v>
      </c>
    </row>
    <row r="47" spans="1:24" ht="15.75" customHeight="1" x14ac:dyDescent="0.2">
      <c r="A47" s="68">
        <v>10207</v>
      </c>
      <c r="B47" s="69">
        <v>44672</v>
      </c>
      <c r="C47" s="68" t="s">
        <v>7</v>
      </c>
      <c r="D47" s="68">
        <v>27</v>
      </c>
      <c r="E47" s="84">
        <v>20000</v>
      </c>
      <c r="F47" s="69">
        <v>44688</v>
      </c>
      <c r="G47" s="68" t="str">
        <f t="shared" si="7"/>
        <v>Q2</v>
      </c>
      <c r="H47" s="84">
        <f t="shared" si="8"/>
        <v>8888.8888888888887</v>
      </c>
      <c r="I47" s="68" t="str">
        <f t="shared" si="9"/>
        <v>Q2</v>
      </c>
      <c r="J47" s="69">
        <f>_xlfn.IFNA(VLOOKUP(I47,PaymentDates[],2,FALSE),"First Payment Pending")</f>
        <v>44742</v>
      </c>
      <c r="K47" s="68" t="str">
        <f>VLOOKUP(C47,EmployeeNames[],2,FALSE)</f>
        <v>Jane</v>
      </c>
      <c r="L47" s="68" t="str">
        <f>CONCATENATE('Deal Data'!$K47,'Deal Data'!$G47)</f>
        <v>JaneQ2</v>
      </c>
      <c r="M47" s="84">
        <f>IF(G47=G46,SUMIFS($H$2:H47,$K$2:K47,K46,$G$2:G47,G46),0)</f>
        <v>24884.888888888891</v>
      </c>
      <c r="N47" s="85">
        <f>VLOOKUP(L47,Base_Rate[[UniqueIdentifier]:[Rate]],2,FALSE)</f>
        <v>0.11</v>
      </c>
      <c r="O47" s="84">
        <f>VLOOKUP(L47,Table3[[UniqueIdentifier]:[Goal]],2,FALSE)</f>
        <v>200000</v>
      </c>
      <c r="P47" s="84">
        <f t="shared" si="4"/>
        <v>300000</v>
      </c>
      <c r="Q47" s="84">
        <f>'Deal Data'!$H47*VLOOKUP('Deal Data'!$L47,Base_Rate[[UniqueIdentifier]:[Rate]],2,FALSE)</f>
        <v>977.77777777777771</v>
      </c>
      <c r="R47" s="84">
        <f t="shared" si="5"/>
        <v>0</v>
      </c>
      <c r="S47" s="84">
        <f>IF(G47=G46,SUMIFS($R$2:R47,$K$2:K47,K46,$G$2:G47,G46),0)</f>
        <v>0</v>
      </c>
      <c r="T47" s="84">
        <f t="shared" si="6"/>
        <v>0</v>
      </c>
      <c r="U47" s="84">
        <f>IF(G47=G46,SUMIFS($T$2:T47,$K$2:K47,K46,$G$2:G47,G46),0)</f>
        <v>0</v>
      </c>
      <c r="V47" s="84">
        <f t="shared" si="3"/>
        <v>977.77777777777771</v>
      </c>
      <c r="W47" s="84" t="str">
        <f>IF(CommissionDetail[[#This Row],[Tier 2 Bonus]]&gt;0,"Yes","No")</f>
        <v>No</v>
      </c>
      <c r="X47" s="84">
        <f>IF(CommissionDetail[[#This Row],[Payment Quarter]]="First Payment Pending",0,CommissionDetail[[#This Row],[Total Commission]])</f>
        <v>977.77777777777771</v>
      </c>
    </row>
    <row r="48" spans="1:24" ht="15.75" customHeight="1" x14ac:dyDescent="0.2">
      <c r="A48" s="68">
        <v>10017</v>
      </c>
      <c r="B48" s="69">
        <v>44677</v>
      </c>
      <c r="C48" s="68" t="s">
        <v>7</v>
      </c>
      <c r="D48" s="68">
        <v>36</v>
      </c>
      <c r="E48" s="84">
        <v>85000.5</v>
      </c>
      <c r="F48" s="69" t="s">
        <v>10</v>
      </c>
      <c r="G48" s="68" t="str">
        <f t="shared" si="7"/>
        <v>Q2</v>
      </c>
      <c r="H48" s="84">
        <f t="shared" si="8"/>
        <v>28333.5</v>
      </c>
      <c r="I48" s="68" t="str">
        <f t="shared" si="9"/>
        <v>First Payment Pending</v>
      </c>
      <c r="J48" s="69" t="str">
        <f>_xlfn.IFNA(VLOOKUP(I48,PaymentDates[],2,FALSE),"First Payment Pending")</f>
        <v>First Payment Pending</v>
      </c>
      <c r="K48" s="68" t="str">
        <f>VLOOKUP(C48,EmployeeNames[],2,FALSE)</f>
        <v>Jane</v>
      </c>
      <c r="L48" s="68" t="str">
        <f>CONCATENATE('Deal Data'!$K48,'Deal Data'!$G48)</f>
        <v>JaneQ2</v>
      </c>
      <c r="M48" s="84">
        <f>IF(G48=G47,SUMIFS($H$2:H48,$K$2:K48,K47,$G$2:G48,G47),0)</f>
        <v>53218.388888888891</v>
      </c>
      <c r="N48" s="85">
        <f>VLOOKUP(L48,Base_Rate[[UniqueIdentifier]:[Rate]],2,FALSE)</f>
        <v>0.11</v>
      </c>
      <c r="O48" s="84">
        <f>VLOOKUP(L48,Table3[[UniqueIdentifier]:[Goal]],2,FALSE)</f>
        <v>200000</v>
      </c>
      <c r="P48" s="84">
        <f t="shared" si="4"/>
        <v>300000</v>
      </c>
      <c r="Q48" s="84">
        <f>'Deal Data'!$H48*VLOOKUP('Deal Data'!$L48,Base_Rate[[UniqueIdentifier]:[Rate]],2,FALSE)</f>
        <v>3116.6849999999999</v>
      </c>
      <c r="R48" s="84">
        <f t="shared" si="5"/>
        <v>0</v>
      </c>
      <c r="S48" s="84">
        <f>IF(G48=G47,SUMIFS($R$2:R48,$K$2:K48,K47,$G$2:G48,G47),0)</f>
        <v>0</v>
      </c>
      <c r="T48" s="84">
        <f t="shared" si="6"/>
        <v>0</v>
      </c>
      <c r="U48" s="84">
        <f>IF(G48=G47,SUMIFS($T$2:T48,$K$2:K48,K47,$G$2:G48,G47),0)</f>
        <v>0</v>
      </c>
      <c r="V48" s="84">
        <f t="shared" si="3"/>
        <v>3116.6849999999999</v>
      </c>
      <c r="W48" s="84" t="str">
        <f>IF(CommissionDetail[[#This Row],[Tier 2 Bonus]]&gt;0,"Yes","No")</f>
        <v>No</v>
      </c>
      <c r="X48" s="84">
        <f>IF(CommissionDetail[[#This Row],[Payment Quarter]]="First Payment Pending",0,CommissionDetail[[#This Row],[Total Commission]])</f>
        <v>0</v>
      </c>
    </row>
    <row r="49" spans="1:24" ht="15.75" customHeight="1" x14ac:dyDescent="0.2">
      <c r="A49" s="68">
        <v>10007</v>
      </c>
      <c r="B49" s="69">
        <v>44682</v>
      </c>
      <c r="C49" s="68" t="s">
        <v>7</v>
      </c>
      <c r="D49" s="68">
        <v>12</v>
      </c>
      <c r="E49" s="84">
        <v>27000</v>
      </c>
      <c r="F49" s="69">
        <v>44742</v>
      </c>
      <c r="G49" s="68" t="str">
        <f t="shared" si="7"/>
        <v>Q2</v>
      </c>
      <c r="H49" s="84">
        <f t="shared" si="8"/>
        <v>27000</v>
      </c>
      <c r="I49" s="68" t="str">
        <f t="shared" si="9"/>
        <v>Q2</v>
      </c>
      <c r="J49" s="69">
        <f>_xlfn.IFNA(VLOOKUP(I49,PaymentDates[],2,FALSE),"First Payment Pending")</f>
        <v>44742</v>
      </c>
      <c r="K49" s="68" t="str">
        <f>VLOOKUP(C49,EmployeeNames[],2,FALSE)</f>
        <v>Jane</v>
      </c>
      <c r="L49" s="68" t="str">
        <f>CONCATENATE('Deal Data'!$K49,'Deal Data'!$G49)</f>
        <v>JaneQ2</v>
      </c>
      <c r="M49" s="84">
        <f>IF(G49=G48,SUMIFS($H$2:H49,$K$2:K49,K48,$G$2:G49,G48),0)</f>
        <v>80218.388888888891</v>
      </c>
      <c r="N49" s="85">
        <f>VLOOKUP(L49,Base_Rate[[UniqueIdentifier]:[Rate]],2,FALSE)</f>
        <v>0.11</v>
      </c>
      <c r="O49" s="84">
        <f>VLOOKUP(L49,Table3[[UniqueIdentifier]:[Goal]],2,FALSE)</f>
        <v>200000</v>
      </c>
      <c r="P49" s="84">
        <f t="shared" si="4"/>
        <v>300000</v>
      </c>
      <c r="Q49" s="84">
        <f>'Deal Data'!$H49*VLOOKUP('Deal Data'!$L49,Base_Rate[[UniqueIdentifier]:[Rate]],2,FALSE)</f>
        <v>2970</v>
      </c>
      <c r="R49" s="84">
        <f t="shared" si="5"/>
        <v>0</v>
      </c>
      <c r="S49" s="84">
        <f>IF(G49=G48,SUMIFS($R$2:R49,$K$2:K49,K48,$G$2:G49,G48),0)</f>
        <v>0</v>
      </c>
      <c r="T49" s="84">
        <f t="shared" si="6"/>
        <v>0</v>
      </c>
      <c r="U49" s="84">
        <f>IF(G49=G48,SUMIFS($T$2:T49,$K$2:K49,K48,$G$2:G49,G48),0)</f>
        <v>0</v>
      </c>
      <c r="V49" s="84">
        <f t="shared" si="3"/>
        <v>2970</v>
      </c>
      <c r="W49" s="84" t="str">
        <f>IF(CommissionDetail[[#This Row],[Tier 2 Bonus]]&gt;0,"Yes","No")</f>
        <v>No</v>
      </c>
      <c r="X49" s="84">
        <f>IF(CommissionDetail[[#This Row],[Payment Quarter]]="First Payment Pending",0,CommissionDetail[[#This Row],[Total Commission]])</f>
        <v>2970</v>
      </c>
    </row>
    <row r="50" spans="1:24" ht="15.75" customHeight="1" x14ac:dyDescent="0.2">
      <c r="A50" s="68">
        <v>10002</v>
      </c>
      <c r="B50" s="69">
        <v>44684</v>
      </c>
      <c r="C50" s="68" t="s">
        <v>7</v>
      </c>
      <c r="D50" s="68">
        <v>36</v>
      </c>
      <c r="E50" s="84">
        <v>23333</v>
      </c>
      <c r="F50" s="69">
        <v>44696</v>
      </c>
      <c r="G50" s="68" t="str">
        <f t="shared" si="7"/>
        <v>Q2</v>
      </c>
      <c r="H50" s="84">
        <f t="shared" si="8"/>
        <v>7777.666666666667</v>
      </c>
      <c r="I50" s="68" t="str">
        <f t="shared" si="9"/>
        <v>Q2</v>
      </c>
      <c r="J50" s="69">
        <f>_xlfn.IFNA(VLOOKUP(I50,PaymentDates[],2,FALSE),"First Payment Pending")</f>
        <v>44742</v>
      </c>
      <c r="K50" s="68" t="str">
        <f>VLOOKUP(C50,EmployeeNames[],2,FALSE)</f>
        <v>Jane</v>
      </c>
      <c r="L50" s="68" t="str">
        <f>CONCATENATE('Deal Data'!$K50,'Deal Data'!$G50)</f>
        <v>JaneQ2</v>
      </c>
      <c r="M50" s="84">
        <f>IF(G50=G49,SUMIFS($H$2:H50,$K$2:K50,K49,$G$2:G50,G49),0)</f>
        <v>87996.055555555562</v>
      </c>
      <c r="N50" s="85">
        <f>VLOOKUP(L50,Base_Rate[[UniqueIdentifier]:[Rate]],2,FALSE)</f>
        <v>0.11</v>
      </c>
      <c r="O50" s="84">
        <f>VLOOKUP(L50,Table3[[UniqueIdentifier]:[Goal]],2,FALSE)</f>
        <v>200000</v>
      </c>
      <c r="P50" s="84">
        <f t="shared" si="4"/>
        <v>300000</v>
      </c>
      <c r="Q50" s="84">
        <f>'Deal Data'!$H50*VLOOKUP('Deal Data'!$L50,Base_Rate[[UniqueIdentifier]:[Rate]],2,FALSE)</f>
        <v>855.54333333333341</v>
      </c>
      <c r="R50" s="84">
        <f t="shared" si="5"/>
        <v>0</v>
      </c>
      <c r="S50" s="84">
        <f>IF(G50=G49,SUMIFS($R$2:R50,$K$2:K50,K49,$G$2:G50,G49),0)</f>
        <v>0</v>
      </c>
      <c r="T50" s="84">
        <f t="shared" si="6"/>
        <v>0</v>
      </c>
      <c r="U50" s="84">
        <f>IF(G50=G49,SUMIFS($T$2:T50,$K$2:K50,K49,$G$2:G50,G49),0)</f>
        <v>0</v>
      </c>
      <c r="V50" s="84">
        <f t="shared" si="3"/>
        <v>855.54333333333341</v>
      </c>
      <c r="W50" s="84" t="str">
        <f>IF(CommissionDetail[[#This Row],[Tier 2 Bonus]]&gt;0,"Yes","No")</f>
        <v>No</v>
      </c>
      <c r="X50" s="84">
        <f>IF(CommissionDetail[[#This Row],[Payment Quarter]]="First Payment Pending",0,CommissionDetail[[#This Row],[Total Commission]])</f>
        <v>855.54333333333341</v>
      </c>
    </row>
    <row r="51" spans="1:24" ht="15.75" customHeight="1" x14ac:dyDescent="0.2">
      <c r="A51" s="68">
        <v>10297</v>
      </c>
      <c r="B51" s="69">
        <v>44684</v>
      </c>
      <c r="C51" s="68" t="s">
        <v>7</v>
      </c>
      <c r="D51" s="68">
        <v>12</v>
      </c>
      <c r="E51" s="84">
        <v>17980</v>
      </c>
      <c r="F51" s="69">
        <v>44693</v>
      </c>
      <c r="G51" s="68" t="str">
        <f t="shared" si="7"/>
        <v>Q2</v>
      </c>
      <c r="H51" s="84">
        <f t="shared" si="8"/>
        <v>17980</v>
      </c>
      <c r="I51" s="68" t="str">
        <f t="shared" si="9"/>
        <v>Q2</v>
      </c>
      <c r="J51" s="69">
        <f>_xlfn.IFNA(VLOOKUP(I51,PaymentDates[],2,FALSE),"First Payment Pending")</f>
        <v>44742</v>
      </c>
      <c r="K51" s="68" t="str">
        <f>VLOOKUP(C51,EmployeeNames[],2,FALSE)</f>
        <v>Jane</v>
      </c>
      <c r="L51" s="68" t="str">
        <f>CONCATENATE('Deal Data'!$K51,'Deal Data'!$G51)</f>
        <v>JaneQ2</v>
      </c>
      <c r="M51" s="84">
        <f>IF(G51=G50,SUMIFS($H$2:H51,$K$2:K51,K50,$G$2:G51,G50),0)</f>
        <v>105976.05555555556</v>
      </c>
      <c r="N51" s="85">
        <f>VLOOKUP(L51,Base_Rate[[UniqueIdentifier]:[Rate]],2,FALSE)</f>
        <v>0.11</v>
      </c>
      <c r="O51" s="84">
        <f>VLOOKUP(L51,Table3[[UniqueIdentifier]:[Goal]],2,FALSE)</f>
        <v>200000</v>
      </c>
      <c r="P51" s="84">
        <f t="shared" si="4"/>
        <v>300000</v>
      </c>
      <c r="Q51" s="84">
        <f>'Deal Data'!$H51*VLOOKUP('Deal Data'!$L51,Base_Rate[[UniqueIdentifier]:[Rate]],2,FALSE)</f>
        <v>1977.8</v>
      </c>
      <c r="R51" s="84">
        <f t="shared" si="5"/>
        <v>0</v>
      </c>
      <c r="S51" s="84">
        <f>IF(G51=G50,SUMIFS($R$2:R51,$K$2:K51,K50,$G$2:G51,G50),0)</f>
        <v>0</v>
      </c>
      <c r="T51" s="84">
        <f t="shared" si="6"/>
        <v>0</v>
      </c>
      <c r="U51" s="84">
        <f>IF(G51=G50,SUMIFS($T$2:T51,$K$2:K51,K50,$G$2:G51,G50),0)</f>
        <v>0</v>
      </c>
      <c r="V51" s="84">
        <f t="shared" si="3"/>
        <v>1977.8</v>
      </c>
      <c r="W51" s="84" t="str">
        <f>IF(CommissionDetail[[#This Row],[Tier 2 Bonus]]&gt;0,"Yes","No")</f>
        <v>No</v>
      </c>
      <c r="X51" s="84">
        <f>IF(CommissionDetail[[#This Row],[Payment Quarter]]="First Payment Pending",0,CommissionDetail[[#This Row],[Total Commission]])</f>
        <v>1977.8</v>
      </c>
    </row>
    <row r="52" spans="1:24" ht="15.75" customHeight="1" x14ac:dyDescent="0.2">
      <c r="A52" s="68">
        <v>10302</v>
      </c>
      <c r="B52" s="69">
        <v>44712</v>
      </c>
      <c r="C52" s="68" t="s">
        <v>7</v>
      </c>
      <c r="D52" s="68">
        <v>12</v>
      </c>
      <c r="E52" s="84">
        <v>215000</v>
      </c>
      <c r="F52" s="69">
        <v>44720</v>
      </c>
      <c r="G52" s="68" t="str">
        <f t="shared" si="7"/>
        <v>Q2</v>
      </c>
      <c r="H52" s="84">
        <f t="shared" si="8"/>
        <v>215000</v>
      </c>
      <c r="I52" s="68" t="str">
        <f t="shared" si="9"/>
        <v>Q2</v>
      </c>
      <c r="J52" s="69">
        <f>_xlfn.IFNA(VLOOKUP(I52,PaymentDates[],2,FALSE),"First Payment Pending")</f>
        <v>44742</v>
      </c>
      <c r="K52" s="68" t="str">
        <f>VLOOKUP(C52,EmployeeNames[],2,FALSE)</f>
        <v>Jane</v>
      </c>
      <c r="L52" s="68" t="str">
        <f>CONCATENATE('Deal Data'!$K52,'Deal Data'!$G52)</f>
        <v>JaneQ2</v>
      </c>
      <c r="M52" s="84">
        <f>IF(G52=G51,SUMIFS($H$2:H52,$K$2:K52,K51,$G$2:G52,G51),0)</f>
        <v>320976.05555555556</v>
      </c>
      <c r="N52" s="85">
        <f>VLOOKUP(L52,Base_Rate[[UniqueIdentifier]:[Rate]],2,FALSE)</f>
        <v>0.11</v>
      </c>
      <c r="O52" s="84">
        <f>VLOOKUP(L52,Table3[[UniqueIdentifier]:[Goal]],2,FALSE)</f>
        <v>200000</v>
      </c>
      <c r="P52" s="84">
        <f t="shared" si="4"/>
        <v>300000</v>
      </c>
      <c r="Q52" s="84">
        <f>'Deal Data'!$H52*VLOOKUP('Deal Data'!$L52,Base_Rate[[UniqueIdentifier]:[Rate]],2,FALSE)</f>
        <v>23650</v>
      </c>
      <c r="R52" s="84">
        <f t="shared" si="5"/>
        <v>6653.6830555555562</v>
      </c>
      <c r="S52" s="84">
        <f>IF(G52=G51,SUMIFS($R$2:R52,$K$2:K52,K51,$G$2:G52,G51),0)</f>
        <v>6653.6830555555562</v>
      </c>
      <c r="T52" s="84">
        <f t="shared" si="6"/>
        <v>1153.6830555555559</v>
      </c>
      <c r="U52" s="84">
        <f>IF(G52=G51,SUMIFS($T$2:T52,$K$2:K52,K51,$G$2:G52,G51),0)</f>
        <v>1153.6830555555559</v>
      </c>
      <c r="V52" s="84">
        <f>Q52+R52+T52</f>
        <v>31457.366111111114</v>
      </c>
      <c r="W52" s="84" t="str">
        <f>IF(CommissionDetail[[#This Row],[Tier 2 Bonus]]&gt;0,"Yes","No")</f>
        <v>Yes</v>
      </c>
      <c r="X52" s="84">
        <f>IF(CommissionDetail[[#This Row],[Payment Quarter]]="First Payment Pending",0,CommissionDetail[[#This Row],[Total Commission]])</f>
        <v>31457.366111111114</v>
      </c>
    </row>
    <row r="53" spans="1:24" ht="15.75" customHeight="1" x14ac:dyDescent="0.2">
      <c r="A53" s="68">
        <v>10312</v>
      </c>
      <c r="B53" s="69">
        <v>44734</v>
      </c>
      <c r="C53" s="68" t="s">
        <v>7</v>
      </c>
      <c r="D53" s="68">
        <v>12</v>
      </c>
      <c r="E53" s="84">
        <v>14400</v>
      </c>
      <c r="F53" s="69" t="s">
        <v>10</v>
      </c>
      <c r="G53" s="68" t="str">
        <f t="shared" si="7"/>
        <v>Q2</v>
      </c>
      <c r="H53" s="84">
        <f t="shared" si="8"/>
        <v>14400</v>
      </c>
      <c r="I53" s="68" t="str">
        <f t="shared" si="9"/>
        <v>First Payment Pending</v>
      </c>
      <c r="J53" s="69" t="str">
        <f>_xlfn.IFNA(VLOOKUP(I53,PaymentDates[],2,FALSE),"First Payment Pending")</f>
        <v>First Payment Pending</v>
      </c>
      <c r="K53" s="68" t="str">
        <f>VLOOKUP(C53,EmployeeNames[],2,FALSE)</f>
        <v>Jane</v>
      </c>
      <c r="L53" s="68" t="str">
        <f>CONCATENATE('Deal Data'!$K53,'Deal Data'!$G53)</f>
        <v>JaneQ2</v>
      </c>
      <c r="M53" s="84">
        <f>IF(G53=G52,SUMIFS($H$2:H53,$K$2:K53,K52,$G$2:G53,G52),0)</f>
        <v>335376.05555555556</v>
      </c>
      <c r="N53" s="85">
        <f>VLOOKUP(L53,Base_Rate[[UniqueIdentifier]:[Rate]],2,FALSE)</f>
        <v>0.11</v>
      </c>
      <c r="O53" s="84">
        <f>VLOOKUP(L53,Table3[[UniqueIdentifier]:[Goal]],2,FALSE)</f>
        <v>200000</v>
      </c>
      <c r="P53" s="84">
        <f t="shared" si="4"/>
        <v>300000</v>
      </c>
      <c r="Q53" s="84">
        <f>'Deal Data'!$H53*VLOOKUP('Deal Data'!$L53,Base_Rate[[UniqueIdentifier]:[Rate]],2,FALSE)</f>
        <v>1584</v>
      </c>
      <c r="R53" s="84">
        <f t="shared" si="5"/>
        <v>792</v>
      </c>
      <c r="S53" s="84">
        <f>IF(G53=G52,SUMIFS($R$2:R53,$K$2:K53,K52,$G$2:G53,G52),0)</f>
        <v>7445.6830555555562</v>
      </c>
      <c r="T53" s="84">
        <f t="shared" si="6"/>
        <v>792</v>
      </c>
      <c r="U53" s="84">
        <f>IF(G53=G52,SUMIFS($T$2:T53,$K$2:K53,K52,$G$2:G53,G52),0)</f>
        <v>1945.6830555555559</v>
      </c>
      <c r="V53" s="84">
        <f>Q53+R53+T53</f>
        <v>3168</v>
      </c>
      <c r="W53" s="84" t="str">
        <f>IF(CommissionDetail[[#This Row],[Tier 2 Bonus]]&gt;0,"Yes","No")</f>
        <v>Yes</v>
      </c>
      <c r="X53" s="84">
        <f>IF(CommissionDetail[[#This Row],[Payment Quarter]]="First Payment Pending",0,CommissionDetail[[#This Row],[Total Commission]])</f>
        <v>0</v>
      </c>
    </row>
    <row r="54" spans="1:24" ht="15.75" customHeight="1" x14ac:dyDescent="0.2">
      <c r="A54" s="68">
        <v>10307</v>
      </c>
      <c r="B54" s="69">
        <v>44739</v>
      </c>
      <c r="C54" s="68" t="s">
        <v>7</v>
      </c>
      <c r="D54" s="68">
        <v>30</v>
      </c>
      <c r="E54" s="84">
        <v>18000</v>
      </c>
      <c r="F54" s="69" t="s">
        <v>10</v>
      </c>
      <c r="G54" s="68" t="str">
        <f t="shared" si="7"/>
        <v>Q2</v>
      </c>
      <c r="H54" s="84">
        <f t="shared" si="8"/>
        <v>7200</v>
      </c>
      <c r="I54" s="68" t="str">
        <f t="shared" si="9"/>
        <v>First Payment Pending</v>
      </c>
      <c r="J54" s="69" t="str">
        <f>_xlfn.IFNA(VLOOKUP(I54,PaymentDates[],2,FALSE),"First Payment Pending")</f>
        <v>First Payment Pending</v>
      </c>
      <c r="K54" s="68" t="str">
        <f>VLOOKUP(C54,EmployeeNames[],2,FALSE)</f>
        <v>Jane</v>
      </c>
      <c r="L54" s="68" t="str">
        <f>CONCATENATE('Deal Data'!$K54,'Deal Data'!$G54)</f>
        <v>JaneQ2</v>
      </c>
      <c r="M54" s="84">
        <f>IF(G54=G53,SUMIFS($H$2:H54,$K$2:K54,K53,$G$2:G54,G53),0)</f>
        <v>342576.05555555556</v>
      </c>
      <c r="N54" s="85">
        <f>VLOOKUP(L54,Base_Rate[[UniqueIdentifier]:[Rate]],2,FALSE)</f>
        <v>0.11</v>
      </c>
      <c r="O54" s="84">
        <f>VLOOKUP(L54,Table3[[UniqueIdentifier]:[Goal]],2,FALSE)</f>
        <v>200000</v>
      </c>
      <c r="P54" s="84">
        <f t="shared" si="4"/>
        <v>300000</v>
      </c>
      <c r="Q54" s="84">
        <f>'Deal Data'!$H54*VLOOKUP('Deal Data'!$L54,Base_Rate[[UniqueIdentifier]:[Rate]],2,FALSE)</f>
        <v>792</v>
      </c>
      <c r="R54" s="84">
        <f t="shared" si="5"/>
        <v>396</v>
      </c>
      <c r="S54" s="84">
        <f>IF(G54=G53,SUMIFS($R$2:R54,$K$2:K54,K53,$G$2:G54,G53),0)</f>
        <v>7841.6830555555562</v>
      </c>
      <c r="T54" s="84">
        <f t="shared" si="6"/>
        <v>395.99999999999977</v>
      </c>
      <c r="U54" s="84">
        <f>IF(G54=G53,SUMIFS($T$2:T54,$K$2:K54,K53,$G$2:G54,G53),0)</f>
        <v>2341.6830555555557</v>
      </c>
      <c r="V54" s="84">
        <f t="shared" ref="V54:V117" si="10">Q54+R54+T54</f>
        <v>1583.9999999999998</v>
      </c>
      <c r="W54" s="84" t="str">
        <f>IF(CommissionDetail[[#This Row],[Tier 2 Bonus]]&gt;0,"Yes","No")</f>
        <v>Yes</v>
      </c>
      <c r="X54" s="84">
        <f>IF(CommissionDetail[[#This Row],[Payment Quarter]]="First Payment Pending",0,CommissionDetail[[#This Row],[Total Commission]])</f>
        <v>0</v>
      </c>
    </row>
    <row r="55" spans="1:24" ht="15.75" customHeight="1" x14ac:dyDescent="0.2">
      <c r="A55" s="68">
        <v>10317</v>
      </c>
      <c r="B55" s="69">
        <v>44742</v>
      </c>
      <c r="C55" s="68" t="s">
        <v>7</v>
      </c>
      <c r="D55" s="68">
        <v>36</v>
      </c>
      <c r="E55" s="84">
        <v>15000</v>
      </c>
      <c r="F55" s="69" t="s">
        <v>10</v>
      </c>
      <c r="G55" s="68" t="str">
        <f t="shared" si="7"/>
        <v>Q2</v>
      </c>
      <c r="H55" s="84">
        <f t="shared" si="8"/>
        <v>5000</v>
      </c>
      <c r="I55" s="68" t="str">
        <f t="shared" si="9"/>
        <v>First Payment Pending</v>
      </c>
      <c r="J55" s="69" t="str">
        <f>_xlfn.IFNA(VLOOKUP(I55,PaymentDates[],2,FALSE),"First Payment Pending")</f>
        <v>First Payment Pending</v>
      </c>
      <c r="K55" s="68" t="str">
        <f>VLOOKUP(C55,EmployeeNames[],2,FALSE)</f>
        <v>Jane</v>
      </c>
      <c r="L55" s="68" t="str">
        <f>CONCATENATE('Deal Data'!$K55,'Deal Data'!$G55)</f>
        <v>JaneQ2</v>
      </c>
      <c r="M55" s="84">
        <f>IF(G55=G54,SUMIFS($H$2:H55,$K$2:K55,K54,$G$2:G55,G54),0)</f>
        <v>347576.05555555556</v>
      </c>
      <c r="N55" s="85">
        <f>VLOOKUP(L55,Base_Rate[[UniqueIdentifier]:[Rate]],2,FALSE)</f>
        <v>0.11</v>
      </c>
      <c r="O55" s="84">
        <f>VLOOKUP(L55,Table3[[UniqueIdentifier]:[Goal]],2,FALSE)</f>
        <v>200000</v>
      </c>
      <c r="P55" s="84">
        <f t="shared" si="4"/>
        <v>300000</v>
      </c>
      <c r="Q55" s="84">
        <f>'Deal Data'!$H55*VLOOKUP('Deal Data'!$L55,Base_Rate[[UniqueIdentifier]:[Rate]],2,FALSE)</f>
        <v>550</v>
      </c>
      <c r="R55" s="84">
        <f t="shared" si="5"/>
        <v>275</v>
      </c>
      <c r="S55" s="84">
        <f>IF(G55=G54,SUMIFS($R$2:R55,$K$2:K55,K54,$G$2:G55,G54),0)</f>
        <v>8116.6830555555562</v>
      </c>
      <c r="T55" s="84">
        <f t="shared" si="6"/>
        <v>275</v>
      </c>
      <c r="U55" s="84">
        <f>IF(G55=G54,SUMIFS($T$2:T55,$K$2:K55,K54,$G$2:G55,G54),0)</f>
        <v>2616.6830555555557</v>
      </c>
      <c r="V55" s="84">
        <f t="shared" si="10"/>
        <v>1100</v>
      </c>
      <c r="W55" s="84" t="str">
        <f>IF(CommissionDetail[[#This Row],[Tier 2 Bonus]]&gt;0,"Yes","No")</f>
        <v>Yes</v>
      </c>
      <c r="X55" s="84">
        <f>IF(CommissionDetail[[#This Row],[Payment Quarter]]="First Payment Pending",0,CommissionDetail[[#This Row],[Total Commission]])</f>
        <v>0</v>
      </c>
    </row>
    <row r="56" spans="1:24" ht="15.75" customHeight="1" x14ac:dyDescent="0.2">
      <c r="A56" s="68">
        <v>10133</v>
      </c>
      <c r="B56" s="69">
        <v>44592</v>
      </c>
      <c r="C56" s="68" t="s">
        <v>9</v>
      </c>
      <c r="D56" s="68">
        <v>36</v>
      </c>
      <c r="E56" s="84">
        <v>15260</v>
      </c>
      <c r="F56" s="69">
        <v>44625</v>
      </c>
      <c r="G56" s="68" t="str">
        <f t="shared" si="7"/>
        <v>Q1</v>
      </c>
      <c r="H56" s="84">
        <f t="shared" si="8"/>
        <v>5086.666666666667</v>
      </c>
      <c r="I56" s="68" t="str">
        <f t="shared" si="9"/>
        <v>Q1</v>
      </c>
      <c r="J56" s="69">
        <f>_xlfn.IFNA(VLOOKUP(I56,PaymentDates[],2,FALSE),"First Payment Pending")</f>
        <v>44651</v>
      </c>
      <c r="K56" s="68" t="str">
        <f>VLOOKUP(C56,EmployeeNames[],2,FALSE)</f>
        <v>Joe</v>
      </c>
      <c r="L56" s="68" t="str">
        <f>CONCATENATE('Deal Data'!$K56,'Deal Data'!$G56)</f>
        <v>JoeQ1</v>
      </c>
      <c r="M56" s="84">
        <f>IF(G56=G55,SUMIFS($H$2:H56,$K$2:K56,K55,$G$2:G56,G55),0)</f>
        <v>0</v>
      </c>
      <c r="N56" s="85">
        <f>VLOOKUP(L56,Base_Rate[[UniqueIdentifier]:[Rate]],2,FALSE)</f>
        <v>0.09</v>
      </c>
      <c r="O56" s="84">
        <f>VLOOKUP(L56,Table3[[UniqueIdentifier]:[Goal]],2,FALSE)</f>
        <v>200000</v>
      </c>
      <c r="P56" s="84">
        <f t="shared" si="4"/>
        <v>300000</v>
      </c>
      <c r="Q56" s="84">
        <f>'Deal Data'!$H56*VLOOKUP('Deal Data'!$L56,Base_Rate[[UniqueIdentifier]:[Rate]],2,FALSE)</f>
        <v>457.8</v>
      </c>
      <c r="R56" s="84">
        <f t="shared" si="5"/>
        <v>0</v>
      </c>
      <c r="S56" s="84">
        <f>IF(G56=G55,SUMIFS($R$2:R56,$K$2:K56,K55,$G$2:G56,G55),0)</f>
        <v>0</v>
      </c>
      <c r="T56" s="84">
        <f t="shared" si="6"/>
        <v>0</v>
      </c>
      <c r="U56" s="84">
        <f>IF(G56=G55,SUMIFS($T$2:T56,$K$2:K56,K55,$G$2:G56,G55),0)</f>
        <v>0</v>
      </c>
      <c r="V56" s="84">
        <f t="shared" si="10"/>
        <v>457.8</v>
      </c>
      <c r="W56" s="84" t="str">
        <f>IF(CommissionDetail[[#This Row],[Tier 2 Bonus]]&gt;0,"Yes","No")</f>
        <v>No</v>
      </c>
      <c r="X56" s="84">
        <f>IF(CommissionDetail[[#This Row],[Payment Quarter]]="First Payment Pending",0,CommissionDetail[[#This Row],[Total Commission]])</f>
        <v>457.8</v>
      </c>
    </row>
    <row r="57" spans="1:24" ht="15.75" customHeight="1" x14ac:dyDescent="0.2">
      <c r="A57" s="68">
        <v>10128</v>
      </c>
      <c r="B57" s="69">
        <v>44597</v>
      </c>
      <c r="C57" s="68" t="s">
        <v>9</v>
      </c>
      <c r="D57" s="68">
        <v>12</v>
      </c>
      <c r="E57" s="84">
        <v>28800</v>
      </c>
      <c r="F57" s="69">
        <v>44656</v>
      </c>
      <c r="G57" s="68" t="str">
        <f t="shared" si="7"/>
        <v>Q1</v>
      </c>
      <c r="H57" s="84">
        <f t="shared" si="8"/>
        <v>28800</v>
      </c>
      <c r="I57" s="68" t="str">
        <f t="shared" si="9"/>
        <v>Q2</v>
      </c>
      <c r="J57" s="69">
        <f>_xlfn.IFNA(VLOOKUP(I57,PaymentDates[],2,FALSE),"First Payment Pending")</f>
        <v>44742</v>
      </c>
      <c r="K57" s="68" t="str">
        <f>VLOOKUP(C57,EmployeeNames[],2,FALSE)</f>
        <v>Joe</v>
      </c>
      <c r="L57" s="68" t="str">
        <f>CONCATENATE('Deal Data'!$K57,'Deal Data'!$G57)</f>
        <v>JoeQ1</v>
      </c>
      <c r="M57" s="84">
        <f>IF(G57=G56,SUMIFS($H$2:H57,$K$2:K57,K56,$G$2:G57,G56),0)</f>
        <v>33886.666666666664</v>
      </c>
      <c r="N57" s="85">
        <f>VLOOKUP(L57,Base_Rate[[UniqueIdentifier]:[Rate]],2,FALSE)</f>
        <v>0.09</v>
      </c>
      <c r="O57" s="84">
        <f>VLOOKUP(L57,Table3[[UniqueIdentifier]:[Goal]],2,FALSE)</f>
        <v>200000</v>
      </c>
      <c r="P57" s="84">
        <f t="shared" si="4"/>
        <v>300000</v>
      </c>
      <c r="Q57" s="84">
        <f>'Deal Data'!$H57*VLOOKUP('Deal Data'!$L57,Base_Rate[[UniqueIdentifier]:[Rate]],2,FALSE)</f>
        <v>2592</v>
      </c>
      <c r="R57" s="84">
        <f t="shared" si="5"/>
        <v>0</v>
      </c>
      <c r="S57" s="84">
        <f>IF(G57=G56,SUMIFS($R$2:R57,$K$2:K57,K56,$G$2:G57,G56),0)</f>
        <v>0</v>
      </c>
      <c r="T57" s="84">
        <f t="shared" si="6"/>
        <v>0</v>
      </c>
      <c r="U57" s="84">
        <f>IF(G57=G56,SUMIFS($T$2:T57,$K$2:K57,K56,$G$2:G57,G56),0)</f>
        <v>0</v>
      </c>
      <c r="V57" s="84">
        <f t="shared" si="10"/>
        <v>2592</v>
      </c>
      <c r="W57" s="84" t="str">
        <f>IF(CommissionDetail[[#This Row],[Tier 2 Bonus]]&gt;0,"Yes","No")</f>
        <v>No</v>
      </c>
      <c r="X57" s="84">
        <f>IF(CommissionDetail[[#This Row],[Payment Quarter]]="First Payment Pending",0,CommissionDetail[[#This Row],[Total Commission]])</f>
        <v>2592</v>
      </c>
    </row>
    <row r="58" spans="1:24" ht="15.75" customHeight="1" x14ac:dyDescent="0.2">
      <c r="A58" s="68">
        <v>10288</v>
      </c>
      <c r="B58" s="69">
        <v>44615</v>
      </c>
      <c r="C58" s="68" t="s">
        <v>9</v>
      </c>
      <c r="D58" s="68">
        <v>12</v>
      </c>
      <c r="E58" s="84">
        <v>10500</v>
      </c>
      <c r="F58" s="69">
        <v>44624</v>
      </c>
      <c r="G58" s="68" t="str">
        <f t="shared" si="7"/>
        <v>Q1</v>
      </c>
      <c r="H58" s="84">
        <f t="shared" si="8"/>
        <v>10500</v>
      </c>
      <c r="I58" s="68" t="str">
        <f t="shared" si="9"/>
        <v>Q1</v>
      </c>
      <c r="J58" s="69">
        <f>_xlfn.IFNA(VLOOKUP(I58,PaymentDates[],2,FALSE),"First Payment Pending")</f>
        <v>44651</v>
      </c>
      <c r="K58" s="68" t="str">
        <f>VLOOKUP(C58,EmployeeNames[],2,FALSE)</f>
        <v>Joe</v>
      </c>
      <c r="L58" s="68" t="str">
        <f>CONCATENATE('Deal Data'!$K58,'Deal Data'!$G58)</f>
        <v>JoeQ1</v>
      </c>
      <c r="M58" s="84">
        <f>IF(G58=G57,SUMIFS($H$2:H58,$K$2:K58,K57,$G$2:G58,G57),0)</f>
        <v>44386.666666666664</v>
      </c>
      <c r="N58" s="85">
        <f>VLOOKUP(L58,Base_Rate[[UniqueIdentifier]:[Rate]],2,FALSE)</f>
        <v>0.09</v>
      </c>
      <c r="O58" s="84">
        <f>VLOOKUP(L58,Table3[[UniqueIdentifier]:[Goal]],2,FALSE)</f>
        <v>200000</v>
      </c>
      <c r="P58" s="84">
        <f t="shared" si="4"/>
        <v>300000</v>
      </c>
      <c r="Q58" s="84">
        <f>'Deal Data'!$H58*VLOOKUP('Deal Data'!$L58,Base_Rate[[UniqueIdentifier]:[Rate]],2,FALSE)</f>
        <v>945</v>
      </c>
      <c r="R58" s="84">
        <f t="shared" si="5"/>
        <v>0</v>
      </c>
      <c r="S58" s="84">
        <f>IF(G58=G57,SUMIFS($R$2:R58,$K$2:K58,K57,$G$2:G58,G57),0)</f>
        <v>0</v>
      </c>
      <c r="T58" s="84">
        <f t="shared" si="6"/>
        <v>0</v>
      </c>
      <c r="U58" s="84">
        <f>IF(G58=G57,SUMIFS($T$2:T58,$K$2:K58,K57,$G$2:G58,G57),0)</f>
        <v>0</v>
      </c>
      <c r="V58" s="84">
        <f t="shared" si="10"/>
        <v>945</v>
      </c>
      <c r="W58" s="84" t="str">
        <f>IF(CommissionDetail[[#This Row],[Tier 2 Bonus]]&gt;0,"Yes","No")</f>
        <v>No</v>
      </c>
      <c r="X58" s="84">
        <f>IF(CommissionDetail[[#This Row],[Payment Quarter]]="First Payment Pending",0,CommissionDetail[[#This Row],[Total Commission]])</f>
        <v>945</v>
      </c>
    </row>
    <row r="59" spans="1:24" ht="15.75" customHeight="1" x14ac:dyDescent="0.2">
      <c r="A59" s="68">
        <v>10058</v>
      </c>
      <c r="B59" s="69">
        <v>44641</v>
      </c>
      <c r="C59" s="68" t="s">
        <v>9</v>
      </c>
      <c r="D59" s="68">
        <v>20</v>
      </c>
      <c r="E59" s="84">
        <v>5000</v>
      </c>
      <c r="F59" s="69">
        <v>44711</v>
      </c>
      <c r="G59" s="68" t="str">
        <f t="shared" si="7"/>
        <v>Q1</v>
      </c>
      <c r="H59" s="84">
        <f t="shared" si="8"/>
        <v>3000</v>
      </c>
      <c r="I59" s="68" t="str">
        <f t="shared" si="9"/>
        <v>Q2</v>
      </c>
      <c r="J59" s="69">
        <f>_xlfn.IFNA(VLOOKUP(I59,PaymentDates[],2,FALSE),"First Payment Pending")</f>
        <v>44742</v>
      </c>
      <c r="K59" s="68" t="str">
        <f>VLOOKUP(C59,EmployeeNames[],2,FALSE)</f>
        <v>Joe</v>
      </c>
      <c r="L59" s="68" t="str">
        <f>CONCATENATE('Deal Data'!$K59,'Deal Data'!$G59)</f>
        <v>JoeQ1</v>
      </c>
      <c r="M59" s="84">
        <f>IF(G59=G58,SUMIFS($H$2:H59,$K$2:K59,K58,$G$2:G59,G58),0)</f>
        <v>47386.666666666664</v>
      </c>
      <c r="N59" s="85">
        <f>VLOOKUP(L59,Base_Rate[[UniqueIdentifier]:[Rate]],2,FALSE)</f>
        <v>0.09</v>
      </c>
      <c r="O59" s="84">
        <f>VLOOKUP(L59,Table3[[UniqueIdentifier]:[Goal]],2,FALSE)</f>
        <v>200000</v>
      </c>
      <c r="P59" s="84">
        <f t="shared" si="4"/>
        <v>300000</v>
      </c>
      <c r="Q59" s="84">
        <f>'Deal Data'!$H59*VLOOKUP('Deal Data'!$L59,Base_Rate[[UniqueIdentifier]:[Rate]],2,FALSE)</f>
        <v>270</v>
      </c>
      <c r="R59" s="84">
        <f t="shared" si="5"/>
        <v>0</v>
      </c>
      <c r="S59" s="84">
        <f>IF(G59=G58,SUMIFS($R$2:R59,$K$2:K59,K58,$G$2:G59,G58),0)</f>
        <v>0</v>
      </c>
      <c r="T59" s="84">
        <f t="shared" si="6"/>
        <v>0</v>
      </c>
      <c r="U59" s="84">
        <f>IF(G59=G58,SUMIFS($T$2:T59,$K$2:K59,K58,$G$2:G59,G58),0)</f>
        <v>0</v>
      </c>
      <c r="V59" s="84">
        <f t="shared" si="10"/>
        <v>270</v>
      </c>
      <c r="W59" s="84" t="str">
        <f>IF(CommissionDetail[[#This Row],[Tier 2 Bonus]]&gt;0,"Yes","No")</f>
        <v>No</v>
      </c>
      <c r="X59" s="84">
        <f>IF(CommissionDetail[[#This Row],[Payment Quarter]]="First Payment Pending",0,CommissionDetail[[#This Row],[Total Commission]])</f>
        <v>270</v>
      </c>
    </row>
    <row r="60" spans="1:24" ht="15.75" customHeight="1" x14ac:dyDescent="0.2">
      <c r="A60" s="68">
        <v>10028</v>
      </c>
      <c r="B60" s="69">
        <v>44643</v>
      </c>
      <c r="C60" s="68" t="s">
        <v>9</v>
      </c>
      <c r="D60" s="68">
        <v>12</v>
      </c>
      <c r="E60" s="84">
        <v>7200</v>
      </c>
      <c r="F60" s="69">
        <v>44681</v>
      </c>
      <c r="G60" s="68" t="str">
        <f t="shared" si="7"/>
        <v>Q1</v>
      </c>
      <c r="H60" s="84">
        <f t="shared" si="8"/>
        <v>7200</v>
      </c>
      <c r="I60" s="68" t="str">
        <f t="shared" si="9"/>
        <v>Q2</v>
      </c>
      <c r="J60" s="69">
        <f>_xlfn.IFNA(VLOOKUP(I60,PaymentDates[],2,FALSE),"First Payment Pending")</f>
        <v>44742</v>
      </c>
      <c r="K60" s="68" t="str">
        <f>VLOOKUP(C60,EmployeeNames[],2,FALSE)</f>
        <v>Joe</v>
      </c>
      <c r="L60" s="68" t="str">
        <f>CONCATENATE('Deal Data'!$K60,'Deal Data'!$G60)</f>
        <v>JoeQ1</v>
      </c>
      <c r="M60" s="84">
        <f>IF(G60=G59,SUMIFS($H$2:H60,$K$2:K60,K59,$G$2:G60,G59),0)</f>
        <v>54586.666666666664</v>
      </c>
      <c r="N60" s="85">
        <f>VLOOKUP(L60,Base_Rate[[UniqueIdentifier]:[Rate]],2,FALSE)</f>
        <v>0.09</v>
      </c>
      <c r="O60" s="84">
        <f>VLOOKUP(L60,Table3[[UniqueIdentifier]:[Goal]],2,FALSE)</f>
        <v>200000</v>
      </c>
      <c r="P60" s="84">
        <f t="shared" si="4"/>
        <v>300000</v>
      </c>
      <c r="Q60" s="84">
        <f>'Deal Data'!$H60*VLOOKUP('Deal Data'!$L60,Base_Rate[[UniqueIdentifier]:[Rate]],2,FALSE)</f>
        <v>648</v>
      </c>
      <c r="R60" s="84">
        <f t="shared" si="5"/>
        <v>0</v>
      </c>
      <c r="S60" s="84">
        <f>IF(G60=G59,SUMIFS($R$2:R60,$K$2:K60,K59,$G$2:G60,G59),0)</f>
        <v>0</v>
      </c>
      <c r="T60" s="84">
        <f t="shared" si="6"/>
        <v>0</v>
      </c>
      <c r="U60" s="84">
        <f>IF(G60=G59,SUMIFS($T$2:T60,$K$2:K60,K59,$G$2:G60,G59),0)</f>
        <v>0</v>
      </c>
      <c r="V60" s="84">
        <f t="shared" si="10"/>
        <v>648</v>
      </c>
      <c r="W60" s="84" t="str">
        <f>IF(CommissionDetail[[#This Row],[Tier 2 Bonus]]&gt;0,"Yes","No")</f>
        <v>No</v>
      </c>
      <c r="X60" s="84">
        <f>IF(CommissionDetail[[#This Row],[Payment Quarter]]="First Payment Pending",0,CommissionDetail[[#This Row],[Total Commission]])</f>
        <v>648</v>
      </c>
    </row>
    <row r="61" spans="1:24" ht="15.75" customHeight="1" x14ac:dyDescent="0.2">
      <c r="A61" s="68">
        <v>10233</v>
      </c>
      <c r="B61" s="69">
        <v>44644</v>
      </c>
      <c r="C61" s="68" t="s">
        <v>9</v>
      </c>
      <c r="D61" s="68">
        <v>12</v>
      </c>
      <c r="E61" s="84">
        <v>6600</v>
      </c>
      <c r="F61" s="69">
        <v>44646</v>
      </c>
      <c r="G61" s="68" t="str">
        <f t="shared" si="7"/>
        <v>Q1</v>
      </c>
      <c r="H61" s="84">
        <f t="shared" si="8"/>
        <v>6600</v>
      </c>
      <c r="I61" s="68" t="str">
        <f t="shared" si="9"/>
        <v>Q1</v>
      </c>
      <c r="J61" s="69">
        <f>_xlfn.IFNA(VLOOKUP(I61,PaymentDates[],2,FALSE),"First Payment Pending")</f>
        <v>44651</v>
      </c>
      <c r="K61" s="68" t="str">
        <f>VLOOKUP(C61,EmployeeNames[],2,FALSE)</f>
        <v>Joe</v>
      </c>
      <c r="L61" s="68" t="str">
        <f>CONCATENATE('Deal Data'!$K61,'Deal Data'!$G61)</f>
        <v>JoeQ1</v>
      </c>
      <c r="M61" s="84">
        <f>IF(G61=G60,SUMIFS($H$2:H61,$K$2:K61,K60,$G$2:G61,G60),0)</f>
        <v>61186.666666666664</v>
      </c>
      <c r="N61" s="85">
        <f>VLOOKUP(L61,Base_Rate[[UniqueIdentifier]:[Rate]],2,FALSE)</f>
        <v>0.09</v>
      </c>
      <c r="O61" s="84">
        <f>VLOOKUP(L61,Table3[[UniqueIdentifier]:[Goal]],2,FALSE)</f>
        <v>200000</v>
      </c>
      <c r="P61" s="84">
        <f t="shared" si="4"/>
        <v>300000</v>
      </c>
      <c r="Q61" s="84">
        <f>'Deal Data'!$H61*VLOOKUP('Deal Data'!$L61,Base_Rate[[UniqueIdentifier]:[Rate]],2,FALSE)</f>
        <v>594</v>
      </c>
      <c r="R61" s="84">
        <f t="shared" si="5"/>
        <v>0</v>
      </c>
      <c r="S61" s="84">
        <f>IF(G61=G60,SUMIFS($R$2:R61,$K$2:K61,K60,$G$2:G61,G60),0)</f>
        <v>0</v>
      </c>
      <c r="T61" s="84">
        <f t="shared" si="6"/>
        <v>0</v>
      </c>
      <c r="U61" s="84">
        <f>IF(G61=G60,SUMIFS($T$2:T61,$K$2:K61,K60,$G$2:G61,G60),0)</f>
        <v>0</v>
      </c>
      <c r="V61" s="84">
        <f t="shared" si="10"/>
        <v>594</v>
      </c>
      <c r="W61" s="84" t="str">
        <f>IF(CommissionDetail[[#This Row],[Tier 2 Bonus]]&gt;0,"Yes","No")</f>
        <v>No</v>
      </c>
      <c r="X61" s="84">
        <f>IF(CommissionDetail[[#This Row],[Payment Quarter]]="First Payment Pending",0,CommissionDetail[[#This Row],[Total Commission]])</f>
        <v>594</v>
      </c>
    </row>
    <row r="62" spans="1:24" ht="15.75" customHeight="1" x14ac:dyDescent="0.2">
      <c r="A62" s="68">
        <v>10023</v>
      </c>
      <c r="B62" s="69">
        <v>44647</v>
      </c>
      <c r="C62" s="68" t="s">
        <v>9</v>
      </c>
      <c r="D62" s="68">
        <v>12</v>
      </c>
      <c r="E62" s="84">
        <v>88000</v>
      </c>
      <c r="F62" s="69">
        <v>44667</v>
      </c>
      <c r="G62" s="68" t="str">
        <f t="shared" si="7"/>
        <v>Q1</v>
      </c>
      <c r="H62" s="84">
        <f t="shared" si="8"/>
        <v>88000</v>
      </c>
      <c r="I62" s="68" t="str">
        <f t="shared" si="9"/>
        <v>Q2</v>
      </c>
      <c r="J62" s="69">
        <f>_xlfn.IFNA(VLOOKUP(I62,PaymentDates[],2,FALSE),"First Payment Pending")</f>
        <v>44742</v>
      </c>
      <c r="K62" s="68" t="str">
        <f>VLOOKUP(C62,EmployeeNames[],2,FALSE)</f>
        <v>Joe</v>
      </c>
      <c r="L62" s="68" t="str">
        <f>CONCATENATE('Deal Data'!$K62,'Deal Data'!$G62)</f>
        <v>JoeQ1</v>
      </c>
      <c r="M62" s="84">
        <f>IF(G62=G61,SUMIFS($H$2:H62,$K$2:K62,K61,$G$2:G62,G61),0)</f>
        <v>149186.66666666666</v>
      </c>
      <c r="N62" s="85">
        <f>VLOOKUP(L62,Base_Rate[[UniqueIdentifier]:[Rate]],2,FALSE)</f>
        <v>0.09</v>
      </c>
      <c r="O62" s="84">
        <f>VLOOKUP(L62,Table3[[UniqueIdentifier]:[Goal]],2,FALSE)</f>
        <v>200000</v>
      </c>
      <c r="P62" s="84">
        <f t="shared" si="4"/>
        <v>300000</v>
      </c>
      <c r="Q62" s="84">
        <f>'Deal Data'!$H62*VLOOKUP('Deal Data'!$L62,Base_Rate[[UniqueIdentifier]:[Rate]],2,FALSE)</f>
        <v>7920</v>
      </c>
      <c r="R62" s="84">
        <f t="shared" si="5"/>
        <v>0</v>
      </c>
      <c r="S62" s="84">
        <f>IF(G62=G61,SUMIFS($R$2:R62,$K$2:K62,K61,$G$2:G62,G61),0)</f>
        <v>0</v>
      </c>
      <c r="T62" s="84">
        <f t="shared" si="6"/>
        <v>0</v>
      </c>
      <c r="U62" s="84">
        <f>IF(G62=G61,SUMIFS($T$2:T62,$K$2:K62,K61,$G$2:G62,G61),0)</f>
        <v>0</v>
      </c>
      <c r="V62" s="84">
        <f t="shared" si="10"/>
        <v>7920</v>
      </c>
      <c r="W62" s="84" t="str">
        <f>IF(CommissionDetail[[#This Row],[Tier 2 Bonus]]&gt;0,"Yes","No")</f>
        <v>No</v>
      </c>
      <c r="X62" s="84">
        <f>IF(CommissionDetail[[#This Row],[Payment Quarter]]="First Payment Pending",0,CommissionDetail[[#This Row],[Total Commission]])</f>
        <v>7920</v>
      </c>
    </row>
    <row r="63" spans="1:24" ht="15.75" customHeight="1" x14ac:dyDescent="0.2">
      <c r="A63" s="68">
        <v>10033</v>
      </c>
      <c r="B63" s="69">
        <v>44647</v>
      </c>
      <c r="C63" s="68" t="s">
        <v>9</v>
      </c>
      <c r="D63" s="68">
        <v>12</v>
      </c>
      <c r="E63" s="84">
        <v>24000</v>
      </c>
      <c r="F63" s="69">
        <v>44691</v>
      </c>
      <c r="G63" s="68" t="str">
        <f t="shared" si="7"/>
        <v>Q1</v>
      </c>
      <c r="H63" s="84">
        <f t="shared" si="8"/>
        <v>24000</v>
      </c>
      <c r="I63" s="68" t="str">
        <f t="shared" si="9"/>
        <v>Q2</v>
      </c>
      <c r="J63" s="69">
        <f>_xlfn.IFNA(VLOOKUP(I63,PaymentDates[],2,FALSE),"First Payment Pending")</f>
        <v>44742</v>
      </c>
      <c r="K63" s="68" t="str">
        <f>VLOOKUP(C63,EmployeeNames[],2,FALSE)</f>
        <v>Joe</v>
      </c>
      <c r="L63" s="68" t="str">
        <f>CONCATENATE('Deal Data'!$K63,'Deal Data'!$G63)</f>
        <v>JoeQ1</v>
      </c>
      <c r="M63" s="84">
        <f>IF(G63=G62,SUMIFS($H$2:H63,$K$2:K63,K62,$G$2:G63,G62),0)</f>
        <v>173186.66666666666</v>
      </c>
      <c r="N63" s="85">
        <f>VLOOKUP(L63,Base_Rate[[UniqueIdentifier]:[Rate]],2,FALSE)</f>
        <v>0.09</v>
      </c>
      <c r="O63" s="84">
        <f>VLOOKUP(L63,Table3[[UniqueIdentifier]:[Goal]],2,FALSE)</f>
        <v>200000</v>
      </c>
      <c r="P63" s="84">
        <f t="shared" si="4"/>
        <v>300000</v>
      </c>
      <c r="Q63" s="84">
        <f>'Deal Data'!$H63*VLOOKUP('Deal Data'!$L63,Base_Rate[[UniqueIdentifier]:[Rate]],2,FALSE)</f>
        <v>2160</v>
      </c>
      <c r="R63" s="84">
        <f t="shared" si="5"/>
        <v>0</v>
      </c>
      <c r="S63" s="84">
        <f>IF(G63=G62,SUMIFS($R$2:R63,$K$2:K63,K62,$G$2:G63,G62),0)</f>
        <v>0</v>
      </c>
      <c r="T63" s="84">
        <f t="shared" si="6"/>
        <v>0</v>
      </c>
      <c r="U63" s="84">
        <f>IF(G63=G62,SUMIFS($T$2:T63,$K$2:K63,K62,$G$2:G63,G62),0)</f>
        <v>0</v>
      </c>
      <c r="V63" s="84">
        <f t="shared" si="10"/>
        <v>2160</v>
      </c>
      <c r="W63" s="84" t="str">
        <f>IF(CommissionDetail[[#This Row],[Tier 2 Bonus]]&gt;0,"Yes","No")</f>
        <v>No</v>
      </c>
      <c r="X63" s="84">
        <f>IF(CommissionDetail[[#This Row],[Payment Quarter]]="First Payment Pending",0,CommissionDetail[[#This Row],[Total Commission]])</f>
        <v>2160</v>
      </c>
    </row>
    <row r="64" spans="1:24" ht="15.75" customHeight="1" x14ac:dyDescent="0.2">
      <c r="A64" s="68">
        <v>10213</v>
      </c>
      <c r="B64" s="69">
        <v>44648</v>
      </c>
      <c r="C64" s="68" t="s">
        <v>9</v>
      </c>
      <c r="D64" s="68">
        <v>12</v>
      </c>
      <c r="E64" s="84">
        <v>14000</v>
      </c>
      <c r="F64" s="69">
        <v>44692</v>
      </c>
      <c r="G64" s="68" t="str">
        <f t="shared" si="7"/>
        <v>Q1</v>
      </c>
      <c r="H64" s="84">
        <f t="shared" si="8"/>
        <v>14000</v>
      </c>
      <c r="I64" s="68" t="str">
        <f t="shared" si="9"/>
        <v>Q2</v>
      </c>
      <c r="J64" s="69">
        <f>_xlfn.IFNA(VLOOKUP(I64,PaymentDates[],2,FALSE),"First Payment Pending")</f>
        <v>44742</v>
      </c>
      <c r="K64" s="68" t="str">
        <f>VLOOKUP(C64,EmployeeNames[],2,FALSE)</f>
        <v>Joe</v>
      </c>
      <c r="L64" s="68" t="str">
        <f>CONCATENATE('Deal Data'!$K64,'Deal Data'!$G64)</f>
        <v>JoeQ1</v>
      </c>
      <c r="M64" s="84">
        <f>IF(G64=G63,SUMIFS($H$2:H64,$K$2:K64,K63,$G$2:G64,G63),0)</f>
        <v>187186.66666666666</v>
      </c>
      <c r="N64" s="85">
        <f>VLOOKUP(L64,Base_Rate[[UniqueIdentifier]:[Rate]],2,FALSE)</f>
        <v>0.09</v>
      </c>
      <c r="O64" s="84">
        <f>VLOOKUP(L64,Table3[[UniqueIdentifier]:[Goal]],2,FALSE)</f>
        <v>200000</v>
      </c>
      <c r="P64" s="84">
        <f t="shared" si="4"/>
        <v>300000</v>
      </c>
      <c r="Q64" s="84">
        <f>'Deal Data'!$H64*VLOOKUP('Deal Data'!$L64,Base_Rate[[UniqueIdentifier]:[Rate]],2,FALSE)</f>
        <v>1260</v>
      </c>
      <c r="R64" s="84">
        <f t="shared" si="5"/>
        <v>0</v>
      </c>
      <c r="S64" s="84">
        <f>IF(G64=G63,SUMIFS($R$2:R64,$K$2:K64,K63,$G$2:G64,G63),0)</f>
        <v>0</v>
      </c>
      <c r="T64" s="84">
        <f t="shared" si="6"/>
        <v>0</v>
      </c>
      <c r="U64" s="84">
        <f>IF(G64=G63,SUMIFS($T$2:T64,$K$2:K64,K63,$G$2:G64,G63),0)</f>
        <v>0</v>
      </c>
      <c r="V64" s="84">
        <f t="shared" si="10"/>
        <v>1260</v>
      </c>
      <c r="W64" s="84" t="str">
        <f>IF(CommissionDetail[[#This Row],[Tier 2 Bonus]]&gt;0,"Yes","No")</f>
        <v>No</v>
      </c>
      <c r="X64" s="84">
        <f>IF(CommissionDetail[[#This Row],[Payment Quarter]]="First Payment Pending",0,CommissionDetail[[#This Row],[Total Commission]])</f>
        <v>1260</v>
      </c>
    </row>
    <row r="65" spans="1:24" ht="15.75" customHeight="1" x14ac:dyDescent="0.2">
      <c r="A65" s="68">
        <v>10183</v>
      </c>
      <c r="B65" s="69">
        <v>44649</v>
      </c>
      <c r="C65" s="68" t="s">
        <v>9</v>
      </c>
      <c r="D65" s="68">
        <v>20</v>
      </c>
      <c r="E65" s="84">
        <v>7200</v>
      </c>
      <c r="F65" s="69">
        <v>44685</v>
      </c>
      <c r="G65" s="68" t="str">
        <f t="shared" si="7"/>
        <v>Q1</v>
      </c>
      <c r="H65" s="84">
        <f t="shared" si="8"/>
        <v>4320</v>
      </c>
      <c r="I65" s="68" t="str">
        <f t="shared" si="9"/>
        <v>Q2</v>
      </c>
      <c r="J65" s="69">
        <f>_xlfn.IFNA(VLOOKUP(I65,PaymentDates[],2,FALSE),"First Payment Pending")</f>
        <v>44742</v>
      </c>
      <c r="K65" s="68" t="str">
        <f>VLOOKUP(C65,EmployeeNames[],2,FALSE)</f>
        <v>Joe</v>
      </c>
      <c r="L65" s="68" t="str">
        <f>CONCATENATE('Deal Data'!$K65,'Deal Data'!$G65)</f>
        <v>JoeQ1</v>
      </c>
      <c r="M65" s="84">
        <f>IF(G65=G64,SUMIFS($H$2:H65,$K$2:K65,K64,$G$2:G65,G64),0)</f>
        <v>191506.66666666666</v>
      </c>
      <c r="N65" s="85">
        <f>VLOOKUP(L65,Base_Rate[[UniqueIdentifier]:[Rate]],2,FALSE)</f>
        <v>0.09</v>
      </c>
      <c r="O65" s="84">
        <f>VLOOKUP(L65,Table3[[UniqueIdentifier]:[Goal]],2,FALSE)</f>
        <v>200000</v>
      </c>
      <c r="P65" s="84">
        <f t="shared" si="4"/>
        <v>300000</v>
      </c>
      <c r="Q65" s="84">
        <f>'Deal Data'!$H65*VLOOKUP('Deal Data'!$L65,Base_Rate[[UniqueIdentifier]:[Rate]],2,FALSE)</f>
        <v>388.8</v>
      </c>
      <c r="R65" s="84">
        <f t="shared" si="5"/>
        <v>0</v>
      </c>
      <c r="S65" s="84">
        <f>IF(G65=G64,SUMIFS($R$2:R65,$K$2:K65,K64,$G$2:G65,G64),0)</f>
        <v>0</v>
      </c>
      <c r="T65" s="84">
        <f t="shared" si="6"/>
        <v>0</v>
      </c>
      <c r="U65" s="84">
        <f>IF(G65=G64,SUMIFS($T$2:T65,$K$2:K65,K64,$G$2:G65,G64),0)</f>
        <v>0</v>
      </c>
      <c r="V65" s="84">
        <f t="shared" si="10"/>
        <v>388.8</v>
      </c>
      <c r="W65" s="84" t="str">
        <f>IF(CommissionDetail[[#This Row],[Tier 2 Bonus]]&gt;0,"Yes","No")</f>
        <v>No</v>
      </c>
      <c r="X65" s="84">
        <f>IF(CommissionDetail[[#This Row],[Payment Quarter]]="First Payment Pending",0,CommissionDetail[[#This Row],[Total Commission]])</f>
        <v>388.8</v>
      </c>
    </row>
    <row r="66" spans="1:24" ht="15.75" customHeight="1" x14ac:dyDescent="0.2">
      <c r="A66" s="68">
        <v>10208</v>
      </c>
      <c r="B66" s="69">
        <v>44649</v>
      </c>
      <c r="C66" s="68" t="s">
        <v>9</v>
      </c>
      <c r="D66" s="68">
        <v>12</v>
      </c>
      <c r="E66" s="84">
        <v>5000</v>
      </c>
      <c r="F66" s="69">
        <v>44690</v>
      </c>
      <c r="G66" s="68" t="str">
        <f t="shared" ref="G66:G97" si="11">"Q"&amp;ROUNDUP(MONTH(B66)/3,0)</f>
        <v>Q1</v>
      </c>
      <c r="H66" s="84">
        <f t="shared" ref="H66:H97" si="12">IF(D66&gt;12,((E66/D66)*12),E66)</f>
        <v>5000</v>
      </c>
      <c r="I66" s="68" t="str">
        <f t="shared" si="9"/>
        <v>Q2</v>
      </c>
      <c r="J66" s="69">
        <f>_xlfn.IFNA(VLOOKUP(I66,PaymentDates[],2,FALSE),"First Payment Pending")</f>
        <v>44742</v>
      </c>
      <c r="K66" s="68" t="str">
        <f>VLOOKUP(C66,EmployeeNames[],2,FALSE)</f>
        <v>Joe</v>
      </c>
      <c r="L66" s="68" t="str">
        <f>CONCATENATE('Deal Data'!$K66,'Deal Data'!$G66)</f>
        <v>JoeQ1</v>
      </c>
      <c r="M66" s="84">
        <f>IF(G66=G65,SUMIFS($H$2:H66,$K$2:K66,K65,$G$2:G66,G65),0)</f>
        <v>196506.66666666666</v>
      </c>
      <c r="N66" s="85">
        <f>VLOOKUP(L66,Base_Rate[[UniqueIdentifier]:[Rate]],2,FALSE)</f>
        <v>0.09</v>
      </c>
      <c r="O66" s="84">
        <f>VLOOKUP(L66,Table3[[UniqueIdentifier]:[Goal]],2,FALSE)</f>
        <v>200000</v>
      </c>
      <c r="P66" s="84">
        <f t="shared" si="4"/>
        <v>300000</v>
      </c>
      <c r="Q66" s="84">
        <f>'Deal Data'!$H66*VLOOKUP('Deal Data'!$L66,Base_Rate[[UniqueIdentifier]:[Rate]],2,FALSE)</f>
        <v>450</v>
      </c>
      <c r="R66" s="84">
        <f t="shared" si="5"/>
        <v>0</v>
      </c>
      <c r="S66" s="84">
        <f>IF(G66=G65,SUMIFS($R$2:R66,$K$2:K66,K65,$G$2:G66,G65),0)</f>
        <v>0</v>
      </c>
      <c r="T66" s="84">
        <f t="shared" si="6"/>
        <v>0</v>
      </c>
      <c r="U66" s="84">
        <f>IF(G66=G65,SUMIFS($T$2:T66,$K$2:K66,K65,$G$2:G66,G65),0)</f>
        <v>0</v>
      </c>
      <c r="V66" s="84">
        <f t="shared" si="10"/>
        <v>450</v>
      </c>
      <c r="W66" s="84" t="str">
        <f>IF(CommissionDetail[[#This Row],[Tier 2 Bonus]]&gt;0,"Yes","No")</f>
        <v>No</v>
      </c>
      <c r="X66" s="84">
        <f>IF(CommissionDetail[[#This Row],[Payment Quarter]]="First Payment Pending",0,CommissionDetail[[#This Row],[Total Commission]])</f>
        <v>450</v>
      </c>
    </row>
    <row r="67" spans="1:24" ht="15.75" customHeight="1" x14ac:dyDescent="0.2">
      <c r="A67" s="68">
        <v>10188</v>
      </c>
      <c r="B67" s="69">
        <v>44651</v>
      </c>
      <c r="C67" s="68" t="s">
        <v>9</v>
      </c>
      <c r="D67" s="68">
        <v>12</v>
      </c>
      <c r="E67" s="84">
        <v>25000</v>
      </c>
      <c r="F67" s="69">
        <v>44674</v>
      </c>
      <c r="G67" s="68" t="str">
        <f t="shared" si="11"/>
        <v>Q1</v>
      </c>
      <c r="H67" s="84">
        <f t="shared" si="12"/>
        <v>25000</v>
      </c>
      <c r="I67" s="68" t="str">
        <f t="shared" si="9"/>
        <v>Q2</v>
      </c>
      <c r="J67" s="69">
        <f>_xlfn.IFNA(VLOOKUP(I67,PaymentDates[],2,FALSE),"First Payment Pending")</f>
        <v>44742</v>
      </c>
      <c r="K67" s="68" t="str">
        <f>VLOOKUP(C67,EmployeeNames[],2,FALSE)</f>
        <v>Joe</v>
      </c>
      <c r="L67" s="68" t="str">
        <f>CONCATENATE('Deal Data'!$K67,'Deal Data'!$G67)</f>
        <v>JoeQ1</v>
      </c>
      <c r="M67" s="84">
        <f>IF(G67=G66,SUMIFS($H$2:H67,$K$2:K67,K66,$G$2:G67,G66),0)</f>
        <v>221506.66666666666</v>
      </c>
      <c r="N67" s="85">
        <f>VLOOKUP(L67,Base_Rate[[UniqueIdentifier]:[Rate]],2,FALSE)</f>
        <v>0.09</v>
      </c>
      <c r="O67" s="84">
        <f>VLOOKUP(L67,Table3[[UniqueIdentifier]:[Goal]],2,FALSE)</f>
        <v>200000</v>
      </c>
      <c r="P67" s="84">
        <f t="shared" ref="P67:P117" si="13">O67*1.5</f>
        <v>300000</v>
      </c>
      <c r="Q67" s="84">
        <f>'Deal Data'!$H67*VLOOKUP('Deal Data'!$L67,Base_Rate[[UniqueIdentifier]:[Rate]],2,FALSE)</f>
        <v>2250</v>
      </c>
      <c r="R67" s="84">
        <f t="shared" ref="R67:R117" si="14">IF(M67&gt;=O67,(((M67-O67)*0.5)*N67)-S66,0)</f>
        <v>967.7999999999995</v>
      </c>
      <c r="S67" s="84">
        <f>IF(G67=G66,SUMIFS($R$2:R67,$K$2:K67,K66,$G$2:G67,G66),0)</f>
        <v>967.7999999999995</v>
      </c>
      <c r="T67" s="84">
        <f t="shared" ref="T67:T117" si="15">IF(M67&gt;=P67,(((M67-P67)*0.5)*N67)-U66,0)</f>
        <v>0</v>
      </c>
      <c r="U67" s="84">
        <f>IF(G67=G66,SUMIFS($T$2:T67,$K$2:K67,K66,$G$2:G67,G66),0)</f>
        <v>0</v>
      </c>
      <c r="V67" s="84">
        <f t="shared" si="10"/>
        <v>3217.7999999999993</v>
      </c>
      <c r="W67" s="84" t="str">
        <f>IF(CommissionDetail[[#This Row],[Tier 2 Bonus]]&gt;0,"Yes","No")</f>
        <v>Yes</v>
      </c>
      <c r="X67" s="84">
        <f>IF(CommissionDetail[[#This Row],[Payment Quarter]]="First Payment Pending",0,CommissionDetail[[#This Row],[Total Commission]])</f>
        <v>3217.7999999999993</v>
      </c>
    </row>
    <row r="68" spans="1:24" ht="15.75" customHeight="1" x14ac:dyDescent="0.2">
      <c r="A68" s="68">
        <v>10198</v>
      </c>
      <c r="B68" s="69">
        <v>44651</v>
      </c>
      <c r="C68" s="68" t="s">
        <v>9</v>
      </c>
      <c r="D68" s="68">
        <v>12</v>
      </c>
      <c r="E68" s="84">
        <v>17600</v>
      </c>
      <c r="F68" s="69">
        <v>44713</v>
      </c>
      <c r="G68" s="68" t="str">
        <f t="shared" si="11"/>
        <v>Q1</v>
      </c>
      <c r="H68" s="84">
        <f t="shared" si="12"/>
        <v>17600</v>
      </c>
      <c r="I68" s="68" t="str">
        <f t="shared" si="9"/>
        <v>Q2</v>
      </c>
      <c r="J68" s="69">
        <f>_xlfn.IFNA(VLOOKUP(I68,PaymentDates[],2,FALSE),"First Payment Pending")</f>
        <v>44742</v>
      </c>
      <c r="K68" s="68" t="str">
        <f>VLOOKUP(C68,EmployeeNames[],2,FALSE)</f>
        <v>Joe</v>
      </c>
      <c r="L68" s="68" t="str">
        <f>CONCATENATE('Deal Data'!$K68,'Deal Data'!$G68)</f>
        <v>JoeQ1</v>
      </c>
      <c r="M68" s="84">
        <f>IF(G68=G67,SUMIFS($H$2:H68,$K$2:K68,K67,$G$2:G68,G67),0)</f>
        <v>239106.66666666666</v>
      </c>
      <c r="N68" s="85">
        <f>VLOOKUP(L68,Base_Rate[[UniqueIdentifier]:[Rate]],2,FALSE)</f>
        <v>0.09</v>
      </c>
      <c r="O68" s="84">
        <f>VLOOKUP(L68,Table3[[UniqueIdentifier]:[Goal]],2,FALSE)</f>
        <v>200000</v>
      </c>
      <c r="P68" s="84">
        <f t="shared" si="13"/>
        <v>300000</v>
      </c>
      <c r="Q68" s="84">
        <f>'Deal Data'!$H68*VLOOKUP('Deal Data'!$L68,Base_Rate[[UniqueIdentifier]:[Rate]],2,FALSE)</f>
        <v>1584</v>
      </c>
      <c r="R68" s="84">
        <f t="shared" si="14"/>
        <v>792</v>
      </c>
      <c r="S68" s="84">
        <f>IF(G68=G67,SUMIFS($R$2:R68,$K$2:K68,K67,$G$2:G68,G67),0)</f>
        <v>1759.7999999999995</v>
      </c>
      <c r="T68" s="84">
        <f t="shared" si="15"/>
        <v>0</v>
      </c>
      <c r="U68" s="84">
        <f>IF(G68=G67,SUMIFS($T$2:T68,$K$2:K68,K67,$G$2:G68,G67),0)</f>
        <v>0</v>
      </c>
      <c r="V68" s="84">
        <f t="shared" si="10"/>
        <v>2376</v>
      </c>
      <c r="W68" s="84" t="str">
        <f>IF(CommissionDetail[[#This Row],[Tier 2 Bonus]]&gt;0,"Yes","No")</f>
        <v>Yes</v>
      </c>
      <c r="X68" s="84">
        <f>IF(CommissionDetail[[#This Row],[Payment Quarter]]="First Payment Pending",0,CommissionDetail[[#This Row],[Total Commission]])</f>
        <v>2376</v>
      </c>
    </row>
    <row r="69" spans="1:24" ht="15.75" customHeight="1" x14ac:dyDescent="0.2">
      <c r="A69" s="68">
        <v>10193</v>
      </c>
      <c r="B69" s="69">
        <v>44669</v>
      </c>
      <c r="C69" s="68" t="s">
        <v>9</v>
      </c>
      <c r="D69" s="68">
        <v>12</v>
      </c>
      <c r="E69" s="84">
        <v>4800</v>
      </c>
      <c r="F69" s="69">
        <v>44713</v>
      </c>
      <c r="G69" s="68" t="str">
        <f t="shared" si="11"/>
        <v>Q2</v>
      </c>
      <c r="H69" s="84">
        <f t="shared" si="12"/>
        <v>4800</v>
      </c>
      <c r="I69" s="68" t="str">
        <f t="shared" ref="I69:I100" si="16">IFERROR("Q"&amp;ROUNDUP(MONTH(F69)/3,0),"First Payment Pending")</f>
        <v>Q2</v>
      </c>
      <c r="J69" s="69">
        <f>_xlfn.IFNA(VLOOKUP(I69,PaymentDates[],2,FALSE),"First Payment Pending")</f>
        <v>44742</v>
      </c>
      <c r="K69" s="68" t="str">
        <f>VLOOKUP(C69,EmployeeNames[],2,FALSE)</f>
        <v>Joe</v>
      </c>
      <c r="L69" s="68" t="str">
        <f>CONCATENATE('Deal Data'!$K69,'Deal Data'!$G69)</f>
        <v>JoeQ2</v>
      </c>
      <c r="M69" s="84">
        <f>IF(G69=G68,SUMIFS($H$2:H69,$K$2:K69,K68,$G$2:G69,G68),0)</f>
        <v>0</v>
      </c>
      <c r="N69" s="85">
        <f>VLOOKUP(L69,Base_Rate[[UniqueIdentifier]:[Rate]],2,FALSE)</f>
        <v>7.0000000000000007E-2</v>
      </c>
      <c r="O69" s="84">
        <f>VLOOKUP(L69,Table3[[UniqueIdentifier]:[Goal]],2,FALSE)</f>
        <v>250000</v>
      </c>
      <c r="P69" s="84">
        <f t="shared" si="13"/>
        <v>375000</v>
      </c>
      <c r="Q69" s="84">
        <f>'Deal Data'!$H69*VLOOKUP('Deal Data'!$L69,Base_Rate[[UniqueIdentifier]:[Rate]],2,FALSE)</f>
        <v>336.00000000000006</v>
      </c>
      <c r="R69" s="84">
        <f t="shared" si="14"/>
        <v>0</v>
      </c>
      <c r="S69" s="84">
        <f>IF(G69=G68,SUMIFS($R$2:R69,$K$2:K69,K68,$G$2:G69,G68),0)</f>
        <v>0</v>
      </c>
      <c r="T69" s="84">
        <f t="shared" si="15"/>
        <v>0</v>
      </c>
      <c r="U69" s="84">
        <f>IF(G69=G68,SUMIFS($T$2:T69,$K$2:K69,K68,$G$2:G69,G68),0)</f>
        <v>0</v>
      </c>
      <c r="V69" s="84">
        <f t="shared" si="10"/>
        <v>336.00000000000006</v>
      </c>
      <c r="W69" s="84" t="str">
        <f>IF(CommissionDetail[[#This Row],[Tier 2 Bonus]]&gt;0,"Yes","No")</f>
        <v>No</v>
      </c>
      <c r="X69" s="84">
        <f>IF(CommissionDetail[[#This Row],[Payment Quarter]]="First Payment Pending",0,CommissionDetail[[#This Row],[Total Commission]])</f>
        <v>336.00000000000006</v>
      </c>
    </row>
    <row r="70" spans="1:24" ht="15.75" customHeight="1" x14ac:dyDescent="0.2">
      <c r="A70" s="68">
        <v>10013</v>
      </c>
      <c r="B70" s="69">
        <v>44674</v>
      </c>
      <c r="C70" s="68" t="s">
        <v>9</v>
      </c>
      <c r="D70" s="68">
        <v>12</v>
      </c>
      <c r="E70" s="84">
        <v>1575</v>
      </c>
      <c r="F70" s="69">
        <v>44712</v>
      </c>
      <c r="G70" s="68" t="str">
        <f t="shared" si="11"/>
        <v>Q2</v>
      </c>
      <c r="H70" s="84">
        <f t="shared" si="12"/>
        <v>1575</v>
      </c>
      <c r="I70" s="68" t="str">
        <f t="shared" si="16"/>
        <v>Q2</v>
      </c>
      <c r="J70" s="69">
        <f>_xlfn.IFNA(VLOOKUP(I70,PaymentDates[],2,FALSE),"First Payment Pending")</f>
        <v>44742</v>
      </c>
      <c r="K70" s="68" t="str">
        <f>VLOOKUP(C70,EmployeeNames[],2,FALSE)</f>
        <v>Joe</v>
      </c>
      <c r="L70" s="68" t="str">
        <f>CONCATENATE('Deal Data'!$K70,'Deal Data'!$G70)</f>
        <v>JoeQ2</v>
      </c>
      <c r="M70" s="84">
        <f>IF(G70=G69,SUMIFS($H$2:H70,$K$2:K70,K69,$G$2:G70,G69),0)</f>
        <v>6375</v>
      </c>
      <c r="N70" s="85">
        <f>VLOOKUP(L70,Base_Rate[[UniqueIdentifier]:[Rate]],2,FALSE)</f>
        <v>7.0000000000000007E-2</v>
      </c>
      <c r="O70" s="84">
        <f>VLOOKUP(L70,Table3[[UniqueIdentifier]:[Goal]],2,FALSE)</f>
        <v>250000</v>
      </c>
      <c r="P70" s="84">
        <f t="shared" si="13"/>
        <v>375000</v>
      </c>
      <c r="Q70" s="84">
        <f>'Deal Data'!$H70*VLOOKUP('Deal Data'!$L70,Base_Rate[[UniqueIdentifier]:[Rate]],2,FALSE)</f>
        <v>110.25000000000001</v>
      </c>
      <c r="R70" s="84">
        <f t="shared" si="14"/>
        <v>0</v>
      </c>
      <c r="S70" s="84">
        <f>IF(G70=G69,SUMIFS($R$2:R70,$K$2:K70,K69,$G$2:G70,G69),0)</f>
        <v>0</v>
      </c>
      <c r="T70" s="84">
        <f t="shared" si="15"/>
        <v>0</v>
      </c>
      <c r="U70" s="84">
        <f>IF(G70=G69,SUMIFS($T$2:T70,$K$2:K70,K69,$G$2:G70,G69),0)</f>
        <v>0</v>
      </c>
      <c r="V70" s="84">
        <f t="shared" si="10"/>
        <v>110.25000000000001</v>
      </c>
      <c r="W70" s="84" t="str">
        <f>IF(CommissionDetail[[#This Row],[Tier 2 Bonus]]&gt;0,"Yes","No")</f>
        <v>No</v>
      </c>
      <c r="X70" s="84">
        <f>IF(CommissionDetail[[#This Row],[Payment Quarter]]="First Payment Pending",0,CommissionDetail[[#This Row],[Total Commission]])</f>
        <v>110.25000000000001</v>
      </c>
    </row>
    <row r="71" spans="1:24" ht="15.75" customHeight="1" x14ac:dyDescent="0.2">
      <c r="A71" s="68">
        <v>10008</v>
      </c>
      <c r="B71" s="69">
        <v>44676</v>
      </c>
      <c r="C71" s="68" t="s">
        <v>9</v>
      </c>
      <c r="D71" s="68">
        <v>12</v>
      </c>
      <c r="E71" s="84">
        <v>32686.3</v>
      </c>
      <c r="F71" s="69">
        <v>44681</v>
      </c>
      <c r="G71" s="68" t="str">
        <f t="shared" si="11"/>
        <v>Q2</v>
      </c>
      <c r="H71" s="84">
        <f t="shared" si="12"/>
        <v>32686.3</v>
      </c>
      <c r="I71" s="68" t="str">
        <f t="shared" si="16"/>
        <v>Q2</v>
      </c>
      <c r="J71" s="69">
        <f>_xlfn.IFNA(VLOOKUP(I71,PaymentDates[],2,FALSE),"First Payment Pending")</f>
        <v>44742</v>
      </c>
      <c r="K71" s="68" t="str">
        <f>VLOOKUP(C71,EmployeeNames[],2,FALSE)</f>
        <v>Joe</v>
      </c>
      <c r="L71" s="68" t="str">
        <f>CONCATENATE('Deal Data'!$K71,'Deal Data'!$G71)</f>
        <v>JoeQ2</v>
      </c>
      <c r="M71" s="84">
        <f>IF(G71=G70,SUMIFS($H$2:H71,$K$2:K71,K70,$G$2:G71,G70),0)</f>
        <v>39061.300000000003</v>
      </c>
      <c r="N71" s="85">
        <f>VLOOKUP(L71,Base_Rate[[UniqueIdentifier]:[Rate]],2,FALSE)</f>
        <v>7.0000000000000007E-2</v>
      </c>
      <c r="O71" s="84">
        <f>VLOOKUP(L71,Table3[[UniqueIdentifier]:[Goal]],2,FALSE)</f>
        <v>250000</v>
      </c>
      <c r="P71" s="84">
        <f t="shared" si="13"/>
        <v>375000</v>
      </c>
      <c r="Q71" s="84">
        <f>'Deal Data'!$H71*VLOOKUP('Deal Data'!$L71,Base_Rate[[UniqueIdentifier]:[Rate]],2,FALSE)</f>
        <v>2288.0410000000002</v>
      </c>
      <c r="R71" s="84">
        <f t="shared" si="14"/>
        <v>0</v>
      </c>
      <c r="S71" s="84">
        <f>IF(G71=G70,SUMIFS($R$2:R71,$K$2:K71,K70,$G$2:G71,G70),0)</f>
        <v>0</v>
      </c>
      <c r="T71" s="84">
        <f t="shared" si="15"/>
        <v>0</v>
      </c>
      <c r="U71" s="84">
        <f>IF(G71=G70,SUMIFS($T$2:T71,$K$2:K71,K70,$G$2:G71,G70),0)</f>
        <v>0</v>
      </c>
      <c r="V71" s="84">
        <f t="shared" si="10"/>
        <v>2288.0410000000002</v>
      </c>
      <c r="W71" s="84" t="str">
        <f>IF(CommissionDetail[[#This Row],[Tier 2 Bonus]]&gt;0,"Yes","No")</f>
        <v>No</v>
      </c>
      <c r="X71" s="84">
        <f>IF(CommissionDetail[[#This Row],[Payment Quarter]]="First Payment Pending",0,CommissionDetail[[#This Row],[Total Commission]])</f>
        <v>2288.0410000000002</v>
      </c>
    </row>
    <row r="72" spans="1:24" ht="15.75" customHeight="1" x14ac:dyDescent="0.2">
      <c r="A72" s="68">
        <v>10003</v>
      </c>
      <c r="B72" s="69">
        <v>44681</v>
      </c>
      <c r="C72" s="68" t="s">
        <v>9</v>
      </c>
      <c r="D72" s="68">
        <v>12</v>
      </c>
      <c r="E72" s="84">
        <v>46667</v>
      </c>
      <c r="F72" s="69">
        <v>44732</v>
      </c>
      <c r="G72" s="68" t="str">
        <f t="shared" si="11"/>
        <v>Q2</v>
      </c>
      <c r="H72" s="84">
        <f t="shared" si="12"/>
        <v>46667</v>
      </c>
      <c r="I72" s="68" t="str">
        <f t="shared" si="16"/>
        <v>Q2</v>
      </c>
      <c r="J72" s="69">
        <f>_xlfn.IFNA(VLOOKUP(I72,PaymentDates[],2,FALSE),"First Payment Pending")</f>
        <v>44742</v>
      </c>
      <c r="K72" s="68" t="str">
        <f>VLOOKUP(C72,EmployeeNames[],2,FALSE)</f>
        <v>Joe</v>
      </c>
      <c r="L72" s="68" t="str">
        <f>CONCATENATE('Deal Data'!$K72,'Deal Data'!$G72)</f>
        <v>JoeQ2</v>
      </c>
      <c r="M72" s="84">
        <f>IF(G72=G71,SUMIFS($H$2:H72,$K$2:K72,K71,$G$2:G72,G71),0)</f>
        <v>85728.3</v>
      </c>
      <c r="N72" s="85">
        <f>VLOOKUP(L72,Base_Rate[[UniqueIdentifier]:[Rate]],2,FALSE)</f>
        <v>7.0000000000000007E-2</v>
      </c>
      <c r="O72" s="84">
        <f>VLOOKUP(L72,Table3[[UniqueIdentifier]:[Goal]],2,FALSE)</f>
        <v>250000</v>
      </c>
      <c r="P72" s="84">
        <f t="shared" si="13"/>
        <v>375000</v>
      </c>
      <c r="Q72" s="84">
        <f>'Deal Data'!$H72*VLOOKUP('Deal Data'!$L72,Base_Rate[[UniqueIdentifier]:[Rate]],2,FALSE)</f>
        <v>3266.6900000000005</v>
      </c>
      <c r="R72" s="84">
        <f t="shared" si="14"/>
        <v>0</v>
      </c>
      <c r="S72" s="84">
        <f>IF(G72=G71,SUMIFS($R$2:R72,$K$2:K72,K71,$G$2:G72,G71),0)</f>
        <v>0</v>
      </c>
      <c r="T72" s="84">
        <f t="shared" si="15"/>
        <v>0</v>
      </c>
      <c r="U72" s="84">
        <f>IF(G72=G71,SUMIFS($T$2:T72,$K$2:K72,K71,$G$2:G72,G71),0)</f>
        <v>0</v>
      </c>
      <c r="V72" s="84">
        <f t="shared" si="10"/>
        <v>3266.6900000000005</v>
      </c>
      <c r="W72" s="84" t="str">
        <f>IF(CommissionDetail[[#This Row],[Tier 2 Bonus]]&gt;0,"Yes","No")</f>
        <v>No</v>
      </c>
      <c r="X72" s="84">
        <f>IF(CommissionDetail[[#This Row],[Payment Quarter]]="First Payment Pending",0,CommissionDetail[[#This Row],[Total Commission]])</f>
        <v>3266.6900000000005</v>
      </c>
    </row>
    <row r="73" spans="1:24" ht="15.75" customHeight="1" x14ac:dyDescent="0.2">
      <c r="A73" s="68">
        <v>10303</v>
      </c>
      <c r="B73" s="69">
        <v>44681</v>
      </c>
      <c r="C73" s="68" t="s">
        <v>9</v>
      </c>
      <c r="D73" s="68">
        <v>12</v>
      </c>
      <c r="E73" s="84">
        <v>12000</v>
      </c>
      <c r="F73" s="69">
        <v>44684</v>
      </c>
      <c r="G73" s="68" t="str">
        <f t="shared" si="11"/>
        <v>Q2</v>
      </c>
      <c r="H73" s="84">
        <f t="shared" si="12"/>
        <v>12000</v>
      </c>
      <c r="I73" s="68" t="str">
        <f t="shared" si="16"/>
        <v>Q2</v>
      </c>
      <c r="J73" s="69">
        <f>_xlfn.IFNA(VLOOKUP(I73,PaymentDates[],2,FALSE),"First Payment Pending")</f>
        <v>44742</v>
      </c>
      <c r="K73" s="68" t="str">
        <f>VLOOKUP(C73,EmployeeNames[],2,FALSE)</f>
        <v>Joe</v>
      </c>
      <c r="L73" s="68" t="str">
        <f>CONCATENATE('Deal Data'!$K73,'Deal Data'!$G73)</f>
        <v>JoeQ2</v>
      </c>
      <c r="M73" s="84">
        <f>IF(G73=G72,SUMIFS($H$2:H73,$K$2:K73,K72,$G$2:G73,G72),0)</f>
        <v>97728.3</v>
      </c>
      <c r="N73" s="85">
        <f>VLOOKUP(L73,Base_Rate[[UniqueIdentifier]:[Rate]],2,FALSE)</f>
        <v>7.0000000000000007E-2</v>
      </c>
      <c r="O73" s="84">
        <f>VLOOKUP(L73,Table3[[UniqueIdentifier]:[Goal]],2,FALSE)</f>
        <v>250000</v>
      </c>
      <c r="P73" s="84">
        <f t="shared" si="13"/>
        <v>375000</v>
      </c>
      <c r="Q73" s="84">
        <f>'Deal Data'!$H73*VLOOKUP('Deal Data'!$L73,Base_Rate[[UniqueIdentifier]:[Rate]],2,FALSE)</f>
        <v>840.00000000000011</v>
      </c>
      <c r="R73" s="84">
        <f t="shared" si="14"/>
        <v>0</v>
      </c>
      <c r="S73" s="84">
        <f>IF(G73=G72,SUMIFS($R$2:R73,$K$2:K73,K72,$G$2:G73,G72),0)</f>
        <v>0</v>
      </c>
      <c r="T73" s="84">
        <f t="shared" si="15"/>
        <v>0</v>
      </c>
      <c r="U73" s="84">
        <f>IF(G73=G72,SUMIFS($T$2:T73,$K$2:K73,K72,$G$2:G73,G72),0)</f>
        <v>0</v>
      </c>
      <c r="V73" s="84">
        <f t="shared" si="10"/>
        <v>840.00000000000011</v>
      </c>
      <c r="W73" s="84" t="str">
        <f>IF(CommissionDetail[[#This Row],[Tier 2 Bonus]]&gt;0,"Yes","No")</f>
        <v>No</v>
      </c>
      <c r="X73" s="84">
        <f>IF(CommissionDetail[[#This Row],[Payment Quarter]]="First Payment Pending",0,CommissionDetail[[#This Row],[Total Commission]])</f>
        <v>840.00000000000011</v>
      </c>
    </row>
    <row r="74" spans="1:24" ht="15.75" customHeight="1" x14ac:dyDescent="0.2">
      <c r="A74" s="68">
        <v>10293</v>
      </c>
      <c r="B74" s="69">
        <v>44687</v>
      </c>
      <c r="C74" s="68" t="s">
        <v>9</v>
      </c>
      <c r="D74" s="68">
        <v>30</v>
      </c>
      <c r="E74" s="84">
        <v>15000</v>
      </c>
      <c r="F74" s="69">
        <v>44705</v>
      </c>
      <c r="G74" s="68" t="str">
        <f t="shared" si="11"/>
        <v>Q2</v>
      </c>
      <c r="H74" s="84">
        <f t="shared" si="12"/>
        <v>6000</v>
      </c>
      <c r="I74" s="68" t="str">
        <f t="shared" si="16"/>
        <v>Q2</v>
      </c>
      <c r="J74" s="69">
        <f>_xlfn.IFNA(VLOOKUP(I74,PaymentDates[],2,FALSE),"First Payment Pending")</f>
        <v>44742</v>
      </c>
      <c r="K74" s="68" t="str">
        <f>VLOOKUP(C74,EmployeeNames[],2,FALSE)</f>
        <v>Joe</v>
      </c>
      <c r="L74" s="68" t="str">
        <f>CONCATENATE('Deal Data'!$K74,'Deal Data'!$G74)</f>
        <v>JoeQ2</v>
      </c>
      <c r="M74" s="84">
        <f>IF(G74=G73,SUMIFS($H$2:H74,$K$2:K74,K73,$G$2:G74,G73),0)</f>
        <v>103728.3</v>
      </c>
      <c r="N74" s="85">
        <f>VLOOKUP(L74,Base_Rate[[UniqueIdentifier]:[Rate]],2,FALSE)</f>
        <v>7.0000000000000007E-2</v>
      </c>
      <c r="O74" s="84">
        <f>VLOOKUP(L74,Table3[[UniqueIdentifier]:[Goal]],2,FALSE)</f>
        <v>250000</v>
      </c>
      <c r="P74" s="84">
        <f t="shared" si="13"/>
        <v>375000</v>
      </c>
      <c r="Q74" s="84">
        <f>'Deal Data'!$H74*VLOOKUP('Deal Data'!$L74,Base_Rate[[UniqueIdentifier]:[Rate]],2,FALSE)</f>
        <v>420.00000000000006</v>
      </c>
      <c r="R74" s="84">
        <f t="shared" si="14"/>
        <v>0</v>
      </c>
      <c r="S74" s="84">
        <f>IF(G74=G73,SUMIFS($R$2:R74,$K$2:K74,K73,$G$2:G74,G73),0)</f>
        <v>0</v>
      </c>
      <c r="T74" s="84">
        <f t="shared" si="15"/>
        <v>0</v>
      </c>
      <c r="U74" s="84">
        <f>IF(G74=G73,SUMIFS($T$2:T74,$K$2:K74,K73,$G$2:G74,G73),0)</f>
        <v>0</v>
      </c>
      <c r="V74" s="84">
        <f t="shared" si="10"/>
        <v>420.00000000000006</v>
      </c>
      <c r="W74" s="84" t="str">
        <f>IF(CommissionDetail[[#This Row],[Tier 2 Bonus]]&gt;0,"Yes","No")</f>
        <v>No</v>
      </c>
      <c r="X74" s="84">
        <f>IF(CommissionDetail[[#This Row],[Payment Quarter]]="First Payment Pending",0,CommissionDetail[[#This Row],[Total Commission]])</f>
        <v>420.00000000000006</v>
      </c>
    </row>
    <row r="75" spans="1:24" ht="15.75" customHeight="1" x14ac:dyDescent="0.2">
      <c r="A75" s="68">
        <v>10298</v>
      </c>
      <c r="B75" s="69">
        <v>44690</v>
      </c>
      <c r="C75" s="68" t="s">
        <v>9</v>
      </c>
      <c r="D75" s="68">
        <v>12</v>
      </c>
      <c r="E75" s="84">
        <v>10812</v>
      </c>
      <c r="F75" s="69">
        <v>44706</v>
      </c>
      <c r="G75" s="68" t="str">
        <f t="shared" si="11"/>
        <v>Q2</v>
      </c>
      <c r="H75" s="84">
        <f t="shared" si="12"/>
        <v>10812</v>
      </c>
      <c r="I75" s="68" t="str">
        <f t="shared" si="16"/>
        <v>Q2</v>
      </c>
      <c r="J75" s="69">
        <f>_xlfn.IFNA(VLOOKUP(I75,PaymentDates[],2,FALSE),"First Payment Pending")</f>
        <v>44742</v>
      </c>
      <c r="K75" s="68" t="str">
        <f>VLOOKUP(C75,EmployeeNames[],2,FALSE)</f>
        <v>Joe</v>
      </c>
      <c r="L75" s="68" t="str">
        <f>CONCATENATE('Deal Data'!$K75,'Deal Data'!$G75)</f>
        <v>JoeQ2</v>
      </c>
      <c r="M75" s="84">
        <f>IF(G75=G74,SUMIFS($H$2:H75,$K$2:K75,K74,$G$2:G75,G74),0)</f>
        <v>114540.3</v>
      </c>
      <c r="N75" s="85">
        <f>VLOOKUP(L75,Base_Rate[[UniqueIdentifier]:[Rate]],2,FALSE)</f>
        <v>7.0000000000000007E-2</v>
      </c>
      <c r="O75" s="84">
        <f>VLOOKUP(L75,Table3[[UniqueIdentifier]:[Goal]],2,FALSE)</f>
        <v>250000</v>
      </c>
      <c r="P75" s="84">
        <f t="shared" si="13"/>
        <v>375000</v>
      </c>
      <c r="Q75" s="84">
        <f>'Deal Data'!$H75*VLOOKUP('Deal Data'!$L75,Base_Rate[[UniqueIdentifier]:[Rate]],2,FALSE)</f>
        <v>756.84</v>
      </c>
      <c r="R75" s="84">
        <f t="shared" si="14"/>
        <v>0</v>
      </c>
      <c r="S75" s="84">
        <f>IF(G75=G74,SUMIFS($R$2:R75,$K$2:K75,K74,$G$2:G75,G74),0)</f>
        <v>0</v>
      </c>
      <c r="T75" s="84">
        <f t="shared" si="15"/>
        <v>0</v>
      </c>
      <c r="U75" s="84">
        <f>IF(G75=G74,SUMIFS($T$2:T75,$K$2:K75,K74,$G$2:G75,G74),0)</f>
        <v>0</v>
      </c>
      <c r="V75" s="84">
        <f t="shared" si="10"/>
        <v>756.84</v>
      </c>
      <c r="W75" s="84" t="str">
        <f>IF(CommissionDetail[[#This Row],[Tier 2 Bonus]]&gt;0,"Yes","No")</f>
        <v>No</v>
      </c>
      <c r="X75" s="84">
        <f>IF(CommissionDetail[[#This Row],[Payment Quarter]]="First Payment Pending",0,CommissionDetail[[#This Row],[Total Commission]])</f>
        <v>756.84</v>
      </c>
    </row>
    <row r="76" spans="1:24" ht="15.75" customHeight="1" x14ac:dyDescent="0.2">
      <c r="A76" s="68">
        <v>10308</v>
      </c>
      <c r="B76" s="69">
        <v>44742</v>
      </c>
      <c r="C76" s="68" t="s">
        <v>9</v>
      </c>
      <c r="D76" s="68">
        <v>12</v>
      </c>
      <c r="E76" s="84">
        <v>75000</v>
      </c>
      <c r="F76" s="69" t="s">
        <v>10</v>
      </c>
      <c r="G76" s="68" t="str">
        <f t="shared" si="11"/>
        <v>Q2</v>
      </c>
      <c r="H76" s="84">
        <f t="shared" si="12"/>
        <v>75000</v>
      </c>
      <c r="I76" s="68" t="str">
        <f t="shared" si="16"/>
        <v>First Payment Pending</v>
      </c>
      <c r="J76" s="69" t="str">
        <f>_xlfn.IFNA(VLOOKUP(I76,PaymentDates[],2,FALSE),"First Payment Pending")</f>
        <v>First Payment Pending</v>
      </c>
      <c r="K76" s="68" t="str">
        <f>VLOOKUP(C76,EmployeeNames[],2,FALSE)</f>
        <v>Joe</v>
      </c>
      <c r="L76" s="68" t="str">
        <f>CONCATENATE('Deal Data'!$K76,'Deal Data'!$G76)</f>
        <v>JoeQ2</v>
      </c>
      <c r="M76" s="84">
        <f>IF(G76=G75,SUMIFS($H$2:H76,$K$2:K76,K75,$G$2:G76,G75),0)</f>
        <v>189540.3</v>
      </c>
      <c r="N76" s="85">
        <f>VLOOKUP(L76,Base_Rate[[UniqueIdentifier]:[Rate]],2,FALSE)</f>
        <v>7.0000000000000007E-2</v>
      </c>
      <c r="O76" s="84">
        <f>VLOOKUP(L76,Table3[[UniqueIdentifier]:[Goal]],2,FALSE)</f>
        <v>250000</v>
      </c>
      <c r="P76" s="84">
        <f t="shared" si="13"/>
        <v>375000</v>
      </c>
      <c r="Q76" s="84">
        <f>'Deal Data'!$H76*VLOOKUP('Deal Data'!$L76,Base_Rate[[UniqueIdentifier]:[Rate]],2,FALSE)</f>
        <v>5250.0000000000009</v>
      </c>
      <c r="R76" s="84">
        <f t="shared" si="14"/>
        <v>0</v>
      </c>
      <c r="S76" s="84">
        <f>IF(G76=G75,SUMIFS($R$2:R76,$K$2:K76,K75,$G$2:G76,G75),0)</f>
        <v>0</v>
      </c>
      <c r="T76" s="84">
        <f t="shared" si="15"/>
        <v>0</v>
      </c>
      <c r="U76" s="84">
        <f>IF(G76=G75,SUMIFS($T$2:T76,$K$2:K76,K75,$G$2:G76,G75),0)</f>
        <v>0</v>
      </c>
      <c r="V76" s="84">
        <f t="shared" si="10"/>
        <v>5250.0000000000009</v>
      </c>
      <c r="W76" s="84" t="str">
        <f>IF(CommissionDetail[[#This Row],[Tier 2 Bonus]]&gt;0,"Yes","No")</f>
        <v>No</v>
      </c>
      <c r="X76" s="84">
        <f>IF(CommissionDetail[[#This Row],[Payment Quarter]]="First Payment Pending",0,CommissionDetail[[#This Row],[Total Commission]])</f>
        <v>0</v>
      </c>
    </row>
    <row r="77" spans="1:24" ht="15.75" customHeight="1" x14ac:dyDescent="0.2">
      <c r="A77" s="68">
        <v>10313</v>
      </c>
      <c r="B77" s="69">
        <v>44742</v>
      </c>
      <c r="C77" s="68" t="s">
        <v>9</v>
      </c>
      <c r="D77" s="68">
        <v>12</v>
      </c>
      <c r="E77" s="84">
        <v>24000</v>
      </c>
      <c r="F77" s="69" t="s">
        <v>10</v>
      </c>
      <c r="G77" s="68" t="str">
        <f t="shared" si="11"/>
        <v>Q2</v>
      </c>
      <c r="H77" s="84">
        <f t="shared" si="12"/>
        <v>24000</v>
      </c>
      <c r="I77" s="68" t="str">
        <f t="shared" si="16"/>
        <v>First Payment Pending</v>
      </c>
      <c r="J77" s="69" t="str">
        <f>_xlfn.IFNA(VLOOKUP(I77,PaymentDates[],2,FALSE),"First Payment Pending")</f>
        <v>First Payment Pending</v>
      </c>
      <c r="K77" s="68" t="str">
        <f>VLOOKUP(C77,EmployeeNames[],2,FALSE)</f>
        <v>Joe</v>
      </c>
      <c r="L77" s="68" t="str">
        <f>CONCATENATE('Deal Data'!$K77,'Deal Data'!$G77)</f>
        <v>JoeQ2</v>
      </c>
      <c r="M77" s="84">
        <f>IF(G77=G76,SUMIFS($H$2:H77,$K$2:K77,K76,$G$2:G77,G76),0)</f>
        <v>213540.3</v>
      </c>
      <c r="N77" s="85">
        <f>VLOOKUP(L77,Base_Rate[[UniqueIdentifier]:[Rate]],2,FALSE)</f>
        <v>7.0000000000000007E-2</v>
      </c>
      <c r="O77" s="84">
        <f>VLOOKUP(L77,Table3[[UniqueIdentifier]:[Goal]],2,FALSE)</f>
        <v>250000</v>
      </c>
      <c r="P77" s="84">
        <f t="shared" si="13"/>
        <v>375000</v>
      </c>
      <c r="Q77" s="84">
        <f>'Deal Data'!$H77*VLOOKUP('Deal Data'!$L77,Base_Rate[[UniqueIdentifier]:[Rate]],2,FALSE)</f>
        <v>1680.0000000000002</v>
      </c>
      <c r="R77" s="84">
        <f t="shared" si="14"/>
        <v>0</v>
      </c>
      <c r="S77" s="84">
        <f>IF(G77=G76,SUMIFS($R$2:R77,$K$2:K77,K76,$G$2:G77,G76),0)</f>
        <v>0</v>
      </c>
      <c r="T77" s="84">
        <f t="shared" si="15"/>
        <v>0</v>
      </c>
      <c r="U77" s="84">
        <f>IF(G77=G76,SUMIFS($T$2:T77,$K$2:K77,K76,$G$2:G77,G76),0)</f>
        <v>0</v>
      </c>
      <c r="V77" s="84">
        <f t="shared" si="10"/>
        <v>1680.0000000000002</v>
      </c>
      <c r="W77" s="84" t="str">
        <f>IF(CommissionDetail[[#This Row],[Tier 2 Bonus]]&gt;0,"Yes","No")</f>
        <v>No</v>
      </c>
      <c r="X77" s="84">
        <f>IF(CommissionDetail[[#This Row],[Payment Quarter]]="First Payment Pending",0,CommissionDetail[[#This Row],[Total Commission]])</f>
        <v>0</v>
      </c>
    </row>
    <row r="78" spans="1:24" ht="15.75" customHeight="1" x14ac:dyDescent="0.2">
      <c r="A78" s="68">
        <v>10318</v>
      </c>
      <c r="B78" s="69">
        <v>44742</v>
      </c>
      <c r="C78" s="68" t="s">
        <v>9</v>
      </c>
      <c r="D78" s="68">
        <v>12</v>
      </c>
      <c r="E78" s="84">
        <v>64000</v>
      </c>
      <c r="F78" s="69" t="s">
        <v>10</v>
      </c>
      <c r="G78" s="68" t="str">
        <f t="shared" si="11"/>
        <v>Q2</v>
      </c>
      <c r="H78" s="84">
        <f t="shared" si="12"/>
        <v>64000</v>
      </c>
      <c r="I78" s="68" t="str">
        <f t="shared" si="16"/>
        <v>First Payment Pending</v>
      </c>
      <c r="J78" s="69" t="str">
        <f>_xlfn.IFNA(VLOOKUP(I78,PaymentDates[],2,FALSE),"First Payment Pending")</f>
        <v>First Payment Pending</v>
      </c>
      <c r="K78" s="68" t="str">
        <f>VLOOKUP(C78,EmployeeNames[],2,FALSE)</f>
        <v>Joe</v>
      </c>
      <c r="L78" s="68" t="str">
        <f>CONCATENATE('Deal Data'!$K78,'Deal Data'!$G78)</f>
        <v>JoeQ2</v>
      </c>
      <c r="M78" s="84">
        <f>IF(G78=G77,SUMIFS($H$2:H78,$K$2:K78,K77,$G$2:G78,G77),0)</f>
        <v>277540.3</v>
      </c>
      <c r="N78" s="85">
        <f>VLOOKUP(L78,Base_Rate[[UniqueIdentifier]:[Rate]],2,FALSE)</f>
        <v>7.0000000000000007E-2</v>
      </c>
      <c r="O78" s="84">
        <f>VLOOKUP(L78,Table3[[UniqueIdentifier]:[Goal]],2,FALSE)</f>
        <v>250000</v>
      </c>
      <c r="P78" s="84">
        <f t="shared" si="13"/>
        <v>375000</v>
      </c>
      <c r="Q78" s="84">
        <f>'Deal Data'!$H78*VLOOKUP('Deal Data'!$L78,Base_Rate[[UniqueIdentifier]:[Rate]],2,FALSE)</f>
        <v>4480</v>
      </c>
      <c r="R78" s="84">
        <f t="shared" si="14"/>
        <v>963.91049999999973</v>
      </c>
      <c r="S78" s="84">
        <f>IF(G78=G77,SUMIFS($R$2:R78,$K$2:K78,K77,$G$2:G78,G77),0)</f>
        <v>963.91049999999973</v>
      </c>
      <c r="T78" s="84">
        <f t="shared" si="15"/>
        <v>0</v>
      </c>
      <c r="U78" s="84">
        <f>IF(G78=G77,SUMIFS($T$2:T78,$K$2:K78,K77,$G$2:G78,G77),0)</f>
        <v>0</v>
      </c>
      <c r="V78" s="84">
        <f t="shared" si="10"/>
        <v>5443.9105</v>
      </c>
      <c r="W78" s="84" t="str">
        <f>IF(CommissionDetail[[#This Row],[Tier 2 Bonus]]&gt;0,"Yes","No")</f>
        <v>Yes</v>
      </c>
      <c r="X78" s="84">
        <f>IF(CommissionDetail[[#This Row],[Payment Quarter]]="First Payment Pending",0,CommissionDetail[[#This Row],[Total Commission]])</f>
        <v>0</v>
      </c>
    </row>
    <row r="79" spans="1:24" ht="15.75" customHeight="1" x14ac:dyDescent="0.2">
      <c r="A79" s="68">
        <v>10230</v>
      </c>
      <c r="B79" s="69">
        <v>44577</v>
      </c>
      <c r="C79" s="68" t="s">
        <v>8</v>
      </c>
      <c r="D79" s="68">
        <v>12</v>
      </c>
      <c r="E79" s="84">
        <v>5500</v>
      </c>
      <c r="F79" s="69">
        <v>44581</v>
      </c>
      <c r="G79" s="68" t="str">
        <f t="shared" si="11"/>
        <v>Q1</v>
      </c>
      <c r="H79" s="84">
        <f t="shared" si="12"/>
        <v>5500</v>
      </c>
      <c r="I79" s="68" t="str">
        <f t="shared" si="16"/>
        <v>Q1</v>
      </c>
      <c r="J79" s="69">
        <f>_xlfn.IFNA(VLOOKUP(I79,PaymentDates[],2,FALSE),"First Payment Pending")</f>
        <v>44651</v>
      </c>
      <c r="K79" s="68" t="str">
        <f>VLOOKUP(C79,EmployeeNames[],2,FALSE)</f>
        <v>Lin</v>
      </c>
      <c r="L79" s="68" t="str">
        <f>CONCATENATE('Deal Data'!$K79,'Deal Data'!$G79)</f>
        <v>LinQ1</v>
      </c>
      <c r="M79" s="84">
        <f>IF(G79=G78,SUMIFS($H$2:H79,$K$2:K79,K78,$G$2:G79,G78),0)</f>
        <v>0</v>
      </c>
      <c r="N79" s="85">
        <f>VLOOKUP(L79,Base_Rate[[UniqueIdentifier]:[Rate]],2,FALSE)</f>
        <v>0.09</v>
      </c>
      <c r="O79" s="84">
        <f>VLOOKUP(L79,Table3[[UniqueIdentifier]:[Goal]],2,FALSE)</f>
        <v>400000</v>
      </c>
      <c r="P79" s="84">
        <f t="shared" si="13"/>
        <v>600000</v>
      </c>
      <c r="Q79" s="84">
        <f>'Deal Data'!$H79*VLOOKUP('Deal Data'!$L79,Base_Rate[[UniqueIdentifier]:[Rate]],2,FALSE)</f>
        <v>495</v>
      </c>
      <c r="R79" s="84">
        <f t="shared" si="14"/>
        <v>0</v>
      </c>
      <c r="S79" s="84">
        <f>IF(G79=G78,SUMIFS($R$2:R79,$K$2:K79,K78,$G$2:G79,G78),0)</f>
        <v>0</v>
      </c>
      <c r="T79" s="84">
        <f t="shared" si="15"/>
        <v>0</v>
      </c>
      <c r="U79" s="84">
        <f>IF(G79=G78,SUMIFS($T$2:T79,$K$2:K79,K78,$G$2:G79,G78),0)</f>
        <v>0</v>
      </c>
      <c r="V79" s="84">
        <f t="shared" si="10"/>
        <v>495</v>
      </c>
      <c r="W79" s="84" t="str">
        <f>IF(CommissionDetail[[#This Row],[Tier 2 Bonus]]&gt;0,"Yes","No")</f>
        <v>No</v>
      </c>
      <c r="X79" s="84">
        <f>IF(CommissionDetail[[#This Row],[Payment Quarter]]="First Payment Pending",0,CommissionDetail[[#This Row],[Total Commission]])</f>
        <v>495</v>
      </c>
    </row>
    <row r="80" spans="1:24" ht="15.75" customHeight="1" x14ac:dyDescent="0.2">
      <c r="A80" s="68">
        <v>10110</v>
      </c>
      <c r="B80" s="69">
        <v>44583</v>
      </c>
      <c r="C80" s="68" t="s">
        <v>8</v>
      </c>
      <c r="D80" s="68">
        <v>12</v>
      </c>
      <c r="E80" s="84">
        <v>6000</v>
      </c>
      <c r="F80" s="69">
        <v>44649</v>
      </c>
      <c r="G80" s="68" t="str">
        <f t="shared" si="11"/>
        <v>Q1</v>
      </c>
      <c r="H80" s="84">
        <f t="shared" si="12"/>
        <v>6000</v>
      </c>
      <c r="I80" s="68" t="str">
        <f t="shared" si="16"/>
        <v>Q1</v>
      </c>
      <c r="J80" s="69">
        <f>_xlfn.IFNA(VLOOKUP(I80,PaymentDates[],2,FALSE),"First Payment Pending")</f>
        <v>44651</v>
      </c>
      <c r="K80" s="68" t="str">
        <f>VLOOKUP(C80,EmployeeNames[],2,FALSE)</f>
        <v>Lin</v>
      </c>
      <c r="L80" s="68" t="str">
        <f>CONCATENATE('Deal Data'!$K80,'Deal Data'!$G80)</f>
        <v>LinQ1</v>
      </c>
      <c r="M80" s="84">
        <f>IF(G80=G79,SUMIFS($H$2:H80,$K$2:K80,K79,$G$2:G80,G79),0)</f>
        <v>11500</v>
      </c>
      <c r="N80" s="85">
        <f>VLOOKUP(L80,Base_Rate[[UniqueIdentifier]:[Rate]],2,FALSE)</f>
        <v>0.09</v>
      </c>
      <c r="O80" s="84">
        <f>VLOOKUP(L80,Table3[[UniqueIdentifier]:[Goal]],2,FALSE)</f>
        <v>400000</v>
      </c>
      <c r="P80" s="84">
        <f t="shared" si="13"/>
        <v>600000</v>
      </c>
      <c r="Q80" s="84">
        <f>'Deal Data'!$H80*VLOOKUP('Deal Data'!$L80,Base_Rate[[UniqueIdentifier]:[Rate]],2,FALSE)</f>
        <v>540</v>
      </c>
      <c r="R80" s="84">
        <f t="shared" si="14"/>
        <v>0</v>
      </c>
      <c r="S80" s="84">
        <f>IF(G80=G79,SUMIFS($R$2:R80,$K$2:K80,K79,$G$2:G80,G79),0)</f>
        <v>0</v>
      </c>
      <c r="T80" s="84">
        <f t="shared" si="15"/>
        <v>0</v>
      </c>
      <c r="U80" s="84">
        <f>IF(G80=G79,SUMIFS($T$2:T80,$K$2:K80,K79,$G$2:G80,G79),0)</f>
        <v>0</v>
      </c>
      <c r="V80" s="84">
        <f t="shared" si="10"/>
        <v>540</v>
      </c>
      <c r="W80" s="84" t="str">
        <f>IF(CommissionDetail[[#This Row],[Tier 2 Bonus]]&gt;0,"Yes","No")</f>
        <v>No</v>
      </c>
      <c r="X80" s="84">
        <f>IF(CommissionDetail[[#This Row],[Payment Quarter]]="First Payment Pending",0,CommissionDetail[[#This Row],[Total Commission]])</f>
        <v>540</v>
      </c>
    </row>
    <row r="81" spans="1:24" ht="15.75" customHeight="1" x14ac:dyDescent="0.2">
      <c r="A81" s="68">
        <v>10265</v>
      </c>
      <c r="B81" s="69">
        <v>44595</v>
      </c>
      <c r="C81" s="68" t="s">
        <v>8</v>
      </c>
      <c r="D81" s="68">
        <v>12</v>
      </c>
      <c r="E81" s="84">
        <v>15000</v>
      </c>
      <c r="F81" s="69">
        <v>44641</v>
      </c>
      <c r="G81" s="68" t="str">
        <f t="shared" si="11"/>
        <v>Q1</v>
      </c>
      <c r="H81" s="84">
        <f t="shared" si="12"/>
        <v>15000</v>
      </c>
      <c r="I81" s="68" t="str">
        <f t="shared" si="16"/>
        <v>Q1</v>
      </c>
      <c r="J81" s="69">
        <f>_xlfn.IFNA(VLOOKUP(I81,PaymentDates[],2,FALSE),"First Payment Pending")</f>
        <v>44651</v>
      </c>
      <c r="K81" s="68" t="str">
        <f>VLOOKUP(C81,EmployeeNames[],2,FALSE)</f>
        <v>Lin</v>
      </c>
      <c r="L81" s="68" t="str">
        <f>CONCATENATE('Deal Data'!$K81,'Deal Data'!$G81)</f>
        <v>LinQ1</v>
      </c>
      <c r="M81" s="84">
        <f>IF(G81=G80,SUMIFS($H$2:H81,$K$2:K81,K80,$G$2:G81,G80),0)</f>
        <v>26500</v>
      </c>
      <c r="N81" s="85">
        <f>VLOOKUP(L81,Base_Rate[[UniqueIdentifier]:[Rate]],2,FALSE)</f>
        <v>0.09</v>
      </c>
      <c r="O81" s="84">
        <f>VLOOKUP(L81,Table3[[UniqueIdentifier]:[Goal]],2,FALSE)</f>
        <v>400000</v>
      </c>
      <c r="P81" s="84">
        <f t="shared" si="13"/>
        <v>600000</v>
      </c>
      <c r="Q81" s="84">
        <f>'Deal Data'!$H81*VLOOKUP('Deal Data'!$L81,Base_Rate[[UniqueIdentifier]:[Rate]],2,FALSE)</f>
        <v>1350</v>
      </c>
      <c r="R81" s="84">
        <f t="shared" si="14"/>
        <v>0</v>
      </c>
      <c r="S81" s="84">
        <f>IF(G81=G80,SUMIFS($R$2:R81,$K$2:K81,K80,$G$2:G81,G80),0)</f>
        <v>0</v>
      </c>
      <c r="T81" s="84">
        <f t="shared" si="15"/>
        <v>0</v>
      </c>
      <c r="U81" s="84">
        <f>IF(G81=G80,SUMIFS($T$2:T81,$K$2:K81,K80,$G$2:G81,G80),0)</f>
        <v>0</v>
      </c>
      <c r="V81" s="84">
        <f t="shared" si="10"/>
        <v>1350</v>
      </c>
      <c r="W81" s="84" t="str">
        <f>IF(CommissionDetail[[#This Row],[Tier 2 Bonus]]&gt;0,"Yes","No")</f>
        <v>No</v>
      </c>
      <c r="X81" s="84">
        <f>IF(CommissionDetail[[#This Row],[Payment Quarter]]="First Payment Pending",0,CommissionDetail[[#This Row],[Total Commission]])</f>
        <v>1350</v>
      </c>
    </row>
    <row r="82" spans="1:24" ht="15.75" customHeight="1" x14ac:dyDescent="0.2">
      <c r="A82" s="68">
        <v>10270</v>
      </c>
      <c r="B82" s="69">
        <v>44600</v>
      </c>
      <c r="C82" s="68" t="s">
        <v>8</v>
      </c>
      <c r="D82" s="68">
        <v>36</v>
      </c>
      <c r="E82" s="84">
        <v>29250</v>
      </c>
      <c r="F82" s="69">
        <v>44628</v>
      </c>
      <c r="G82" s="68" t="str">
        <f t="shared" si="11"/>
        <v>Q1</v>
      </c>
      <c r="H82" s="84">
        <f t="shared" si="12"/>
        <v>9750</v>
      </c>
      <c r="I82" s="68" t="str">
        <f t="shared" si="16"/>
        <v>Q1</v>
      </c>
      <c r="J82" s="69">
        <f>_xlfn.IFNA(VLOOKUP(I82,PaymentDates[],2,FALSE),"First Payment Pending")</f>
        <v>44651</v>
      </c>
      <c r="K82" s="68" t="str">
        <f>VLOOKUP(C82,EmployeeNames[],2,FALSE)</f>
        <v>Lin</v>
      </c>
      <c r="L82" s="68" t="str">
        <f>CONCATENATE('Deal Data'!$K82,'Deal Data'!$G82)</f>
        <v>LinQ1</v>
      </c>
      <c r="M82" s="84">
        <f>IF(G82=G81,SUMIFS($H$2:H82,$K$2:K82,K81,$G$2:G82,G81),0)</f>
        <v>36250</v>
      </c>
      <c r="N82" s="85">
        <f>VLOOKUP(L82,Base_Rate[[UniqueIdentifier]:[Rate]],2,FALSE)</f>
        <v>0.09</v>
      </c>
      <c r="O82" s="84">
        <f>VLOOKUP(L82,Table3[[UniqueIdentifier]:[Goal]],2,FALSE)</f>
        <v>400000</v>
      </c>
      <c r="P82" s="84">
        <f t="shared" si="13"/>
        <v>600000</v>
      </c>
      <c r="Q82" s="84">
        <f>'Deal Data'!$H82*VLOOKUP('Deal Data'!$L82,Base_Rate[[UniqueIdentifier]:[Rate]],2,FALSE)</f>
        <v>877.5</v>
      </c>
      <c r="R82" s="84">
        <f t="shared" si="14"/>
        <v>0</v>
      </c>
      <c r="S82" s="84">
        <f>IF(G82=G81,SUMIFS($R$2:R82,$K$2:K82,K81,$G$2:G82,G81),0)</f>
        <v>0</v>
      </c>
      <c r="T82" s="84">
        <f t="shared" si="15"/>
        <v>0</v>
      </c>
      <c r="U82" s="84">
        <f>IF(G82=G81,SUMIFS($T$2:T82,$K$2:K82,K81,$G$2:G82,G81),0)</f>
        <v>0</v>
      </c>
      <c r="V82" s="84">
        <f t="shared" si="10"/>
        <v>877.5</v>
      </c>
      <c r="W82" s="84" t="str">
        <f>IF(CommissionDetail[[#This Row],[Tier 2 Bonus]]&gt;0,"Yes","No")</f>
        <v>No</v>
      </c>
      <c r="X82" s="84">
        <f>IF(CommissionDetail[[#This Row],[Payment Quarter]]="First Payment Pending",0,CommissionDetail[[#This Row],[Total Commission]])</f>
        <v>877.5</v>
      </c>
    </row>
    <row r="83" spans="1:24" ht="15.75" customHeight="1" x14ac:dyDescent="0.2">
      <c r="A83" s="68">
        <v>10150</v>
      </c>
      <c r="B83" s="69">
        <v>44613</v>
      </c>
      <c r="C83" s="68" t="s">
        <v>8</v>
      </c>
      <c r="D83" s="68">
        <v>12</v>
      </c>
      <c r="E83" s="84">
        <v>31140</v>
      </c>
      <c r="F83" s="69">
        <v>44631</v>
      </c>
      <c r="G83" s="68" t="str">
        <f t="shared" si="11"/>
        <v>Q1</v>
      </c>
      <c r="H83" s="84">
        <f t="shared" si="12"/>
        <v>31140</v>
      </c>
      <c r="I83" s="68" t="str">
        <f t="shared" si="16"/>
        <v>Q1</v>
      </c>
      <c r="J83" s="69">
        <f>_xlfn.IFNA(VLOOKUP(I83,PaymentDates[],2,FALSE),"First Payment Pending")</f>
        <v>44651</v>
      </c>
      <c r="K83" s="68" t="str">
        <f>VLOOKUP(C83,EmployeeNames[],2,FALSE)</f>
        <v>Lin</v>
      </c>
      <c r="L83" s="68" t="str">
        <f>CONCATENATE('Deal Data'!$K83,'Deal Data'!$G83)</f>
        <v>LinQ1</v>
      </c>
      <c r="M83" s="84">
        <f>IF(G83=G82,SUMIFS($H$2:H83,$K$2:K83,K82,$G$2:G83,G82),0)</f>
        <v>67390</v>
      </c>
      <c r="N83" s="85">
        <f>VLOOKUP(L83,Base_Rate[[UniqueIdentifier]:[Rate]],2,FALSE)</f>
        <v>0.09</v>
      </c>
      <c r="O83" s="84">
        <f>VLOOKUP(L83,Table3[[UniqueIdentifier]:[Goal]],2,FALSE)</f>
        <v>400000</v>
      </c>
      <c r="P83" s="84">
        <f t="shared" si="13"/>
        <v>600000</v>
      </c>
      <c r="Q83" s="84">
        <f>'Deal Data'!$H83*VLOOKUP('Deal Data'!$L83,Base_Rate[[UniqueIdentifier]:[Rate]],2,FALSE)</f>
        <v>2802.6</v>
      </c>
      <c r="R83" s="84">
        <f t="shared" si="14"/>
        <v>0</v>
      </c>
      <c r="S83" s="84">
        <f>IF(G83=G82,SUMIFS($R$2:R83,$K$2:K83,K82,$G$2:G83,G82),0)</f>
        <v>0</v>
      </c>
      <c r="T83" s="84">
        <f t="shared" si="15"/>
        <v>0</v>
      </c>
      <c r="U83" s="84">
        <f>IF(G83=G82,SUMIFS($T$2:T83,$K$2:K83,K82,$G$2:G83,G82),0)</f>
        <v>0</v>
      </c>
      <c r="V83" s="84">
        <f t="shared" si="10"/>
        <v>2802.6</v>
      </c>
      <c r="W83" s="84" t="str">
        <f>IF(CommissionDetail[[#This Row],[Tier 2 Bonus]]&gt;0,"Yes","No")</f>
        <v>No</v>
      </c>
      <c r="X83" s="84">
        <f>IF(CommissionDetail[[#This Row],[Payment Quarter]]="First Payment Pending",0,CommissionDetail[[#This Row],[Total Commission]])</f>
        <v>2802.6</v>
      </c>
    </row>
    <row r="84" spans="1:24" ht="15.75" customHeight="1" x14ac:dyDescent="0.2">
      <c r="A84" s="68">
        <v>10260</v>
      </c>
      <c r="B84" s="69">
        <v>44616</v>
      </c>
      <c r="C84" s="68" t="s">
        <v>8</v>
      </c>
      <c r="D84" s="68">
        <v>12</v>
      </c>
      <c r="E84" s="84">
        <v>12500</v>
      </c>
      <c r="F84" s="69">
        <v>44661</v>
      </c>
      <c r="G84" s="68" t="str">
        <f t="shared" si="11"/>
        <v>Q1</v>
      </c>
      <c r="H84" s="84">
        <f t="shared" si="12"/>
        <v>12500</v>
      </c>
      <c r="I84" s="68" t="str">
        <f t="shared" si="16"/>
        <v>Q2</v>
      </c>
      <c r="J84" s="69">
        <f>_xlfn.IFNA(VLOOKUP(I84,PaymentDates[],2,FALSE),"First Payment Pending")</f>
        <v>44742</v>
      </c>
      <c r="K84" s="68" t="str">
        <f>VLOOKUP(C84,EmployeeNames[],2,FALSE)</f>
        <v>Lin</v>
      </c>
      <c r="L84" s="68" t="str">
        <f>CONCATENATE('Deal Data'!$K84,'Deal Data'!$G84)</f>
        <v>LinQ1</v>
      </c>
      <c r="M84" s="84">
        <f>IF(G84=G83,SUMIFS($H$2:H84,$K$2:K84,K83,$G$2:G84,G83),0)</f>
        <v>79890</v>
      </c>
      <c r="N84" s="85">
        <f>VLOOKUP(L84,Base_Rate[[UniqueIdentifier]:[Rate]],2,FALSE)</f>
        <v>0.09</v>
      </c>
      <c r="O84" s="84">
        <f>VLOOKUP(L84,Table3[[UniqueIdentifier]:[Goal]],2,FALSE)</f>
        <v>400000</v>
      </c>
      <c r="P84" s="84">
        <f t="shared" si="13"/>
        <v>600000</v>
      </c>
      <c r="Q84" s="84">
        <f>'Deal Data'!$H84*VLOOKUP('Deal Data'!$L84,Base_Rate[[UniqueIdentifier]:[Rate]],2,FALSE)</f>
        <v>1125</v>
      </c>
      <c r="R84" s="84">
        <f t="shared" si="14"/>
        <v>0</v>
      </c>
      <c r="S84" s="84">
        <f>IF(G84=G83,SUMIFS($R$2:R84,$K$2:K84,K83,$G$2:G84,G83),0)</f>
        <v>0</v>
      </c>
      <c r="T84" s="84">
        <f t="shared" si="15"/>
        <v>0</v>
      </c>
      <c r="U84" s="84">
        <f>IF(G84=G83,SUMIFS($T$2:T84,$K$2:K84,K83,$G$2:G84,G83),0)</f>
        <v>0</v>
      </c>
      <c r="V84" s="84">
        <f t="shared" si="10"/>
        <v>1125</v>
      </c>
      <c r="W84" s="84" t="str">
        <f>IF(CommissionDetail[[#This Row],[Tier 2 Bonus]]&gt;0,"Yes","No")</f>
        <v>No</v>
      </c>
      <c r="X84" s="84">
        <f>IF(CommissionDetail[[#This Row],[Payment Quarter]]="First Payment Pending",0,CommissionDetail[[#This Row],[Total Commission]])</f>
        <v>1125</v>
      </c>
    </row>
    <row r="85" spans="1:24" ht="15.75" customHeight="1" x14ac:dyDescent="0.2">
      <c r="A85" s="68">
        <v>10160</v>
      </c>
      <c r="B85" s="69">
        <v>44618</v>
      </c>
      <c r="C85" s="68" t="s">
        <v>8</v>
      </c>
      <c r="D85" s="68">
        <v>12</v>
      </c>
      <c r="E85" s="84">
        <v>26500</v>
      </c>
      <c r="F85" s="69">
        <v>44649</v>
      </c>
      <c r="G85" s="68" t="str">
        <f t="shared" si="11"/>
        <v>Q1</v>
      </c>
      <c r="H85" s="84">
        <f t="shared" si="12"/>
        <v>26500</v>
      </c>
      <c r="I85" s="68" t="str">
        <f t="shared" si="16"/>
        <v>Q1</v>
      </c>
      <c r="J85" s="69">
        <f>_xlfn.IFNA(VLOOKUP(I85,PaymentDates[],2,FALSE),"First Payment Pending")</f>
        <v>44651</v>
      </c>
      <c r="K85" s="68" t="str">
        <f>VLOOKUP(C85,EmployeeNames[],2,FALSE)</f>
        <v>Lin</v>
      </c>
      <c r="L85" s="68" t="str">
        <f>CONCATENATE('Deal Data'!$K85,'Deal Data'!$G85)</f>
        <v>LinQ1</v>
      </c>
      <c r="M85" s="84">
        <f>IF(G85=G84,SUMIFS($H$2:H85,$K$2:K85,K84,$G$2:G85,G84),0)</f>
        <v>106390</v>
      </c>
      <c r="N85" s="85">
        <f>VLOOKUP(L85,Base_Rate[[UniqueIdentifier]:[Rate]],2,FALSE)</f>
        <v>0.09</v>
      </c>
      <c r="O85" s="84">
        <f>VLOOKUP(L85,Table3[[UniqueIdentifier]:[Goal]],2,FALSE)</f>
        <v>400000</v>
      </c>
      <c r="P85" s="84">
        <f t="shared" si="13"/>
        <v>600000</v>
      </c>
      <c r="Q85" s="84">
        <f>'Deal Data'!$H85*VLOOKUP('Deal Data'!$L85,Base_Rate[[UniqueIdentifier]:[Rate]],2,FALSE)</f>
        <v>2385</v>
      </c>
      <c r="R85" s="84">
        <f t="shared" si="14"/>
        <v>0</v>
      </c>
      <c r="S85" s="84">
        <f>IF(G85=G84,SUMIFS($R$2:R85,$K$2:K85,K84,$G$2:G85,G84),0)</f>
        <v>0</v>
      </c>
      <c r="T85" s="84">
        <f t="shared" si="15"/>
        <v>0</v>
      </c>
      <c r="U85" s="84">
        <f>IF(G85=G84,SUMIFS($T$2:T85,$K$2:K85,K84,$G$2:G85,G84),0)</f>
        <v>0</v>
      </c>
      <c r="V85" s="84">
        <f t="shared" si="10"/>
        <v>2385</v>
      </c>
      <c r="W85" s="84" t="str">
        <f>IF(CommissionDetail[[#This Row],[Tier 2 Bonus]]&gt;0,"Yes","No")</f>
        <v>No</v>
      </c>
      <c r="X85" s="84">
        <f>IF(CommissionDetail[[#This Row],[Payment Quarter]]="First Payment Pending",0,CommissionDetail[[#This Row],[Total Commission]])</f>
        <v>2385</v>
      </c>
    </row>
    <row r="86" spans="1:24" ht="15.75" customHeight="1" x14ac:dyDescent="0.2">
      <c r="A86" s="68">
        <v>10165</v>
      </c>
      <c r="B86" s="69">
        <v>44618</v>
      </c>
      <c r="C86" s="68" t="s">
        <v>8</v>
      </c>
      <c r="D86" s="68">
        <v>12</v>
      </c>
      <c r="E86" s="84">
        <v>1500</v>
      </c>
      <c r="F86" s="69">
        <v>44647</v>
      </c>
      <c r="G86" s="68" t="str">
        <f t="shared" si="11"/>
        <v>Q1</v>
      </c>
      <c r="H86" s="84">
        <f t="shared" si="12"/>
        <v>1500</v>
      </c>
      <c r="I86" s="68" t="str">
        <f t="shared" si="16"/>
        <v>Q1</v>
      </c>
      <c r="J86" s="69">
        <f>_xlfn.IFNA(VLOOKUP(I86,PaymentDates[],2,FALSE),"First Payment Pending")</f>
        <v>44651</v>
      </c>
      <c r="K86" s="68" t="str">
        <f>VLOOKUP(C86,EmployeeNames[],2,FALSE)</f>
        <v>Lin</v>
      </c>
      <c r="L86" s="68" t="str">
        <f>CONCATENATE('Deal Data'!$K86,'Deal Data'!$G86)</f>
        <v>LinQ1</v>
      </c>
      <c r="M86" s="84">
        <f>IF(G86=G85,SUMIFS($H$2:H86,$K$2:K86,K85,$G$2:G86,G85),0)</f>
        <v>107890</v>
      </c>
      <c r="N86" s="85">
        <f>VLOOKUP(L86,Base_Rate[[UniqueIdentifier]:[Rate]],2,FALSE)</f>
        <v>0.09</v>
      </c>
      <c r="O86" s="84">
        <f>VLOOKUP(L86,Table3[[UniqueIdentifier]:[Goal]],2,FALSE)</f>
        <v>400000</v>
      </c>
      <c r="P86" s="84">
        <f t="shared" si="13"/>
        <v>600000</v>
      </c>
      <c r="Q86" s="84">
        <f>'Deal Data'!$H86*VLOOKUP('Deal Data'!$L86,Base_Rate[[UniqueIdentifier]:[Rate]],2,FALSE)</f>
        <v>135</v>
      </c>
      <c r="R86" s="84">
        <f t="shared" si="14"/>
        <v>0</v>
      </c>
      <c r="S86" s="84">
        <f>IF(G86=G85,SUMIFS($R$2:R86,$K$2:K86,K85,$G$2:G86,G85),0)</f>
        <v>0</v>
      </c>
      <c r="T86" s="84">
        <f t="shared" si="15"/>
        <v>0</v>
      </c>
      <c r="U86" s="84">
        <f>IF(G86=G85,SUMIFS($T$2:T86,$K$2:K86,K85,$G$2:G86,G85),0)</f>
        <v>0</v>
      </c>
      <c r="V86" s="84">
        <f t="shared" si="10"/>
        <v>135</v>
      </c>
      <c r="W86" s="84" t="str">
        <f>IF(CommissionDetail[[#This Row],[Tier 2 Bonus]]&gt;0,"Yes","No")</f>
        <v>No</v>
      </c>
      <c r="X86" s="84">
        <f>IF(CommissionDetail[[#This Row],[Payment Quarter]]="First Payment Pending",0,CommissionDetail[[#This Row],[Total Commission]])</f>
        <v>135</v>
      </c>
    </row>
    <row r="87" spans="1:24" ht="15.75" customHeight="1" x14ac:dyDescent="0.2">
      <c r="A87" s="68">
        <v>10145</v>
      </c>
      <c r="B87" s="69">
        <v>44619</v>
      </c>
      <c r="C87" s="68" t="s">
        <v>8</v>
      </c>
      <c r="D87" s="68">
        <v>20</v>
      </c>
      <c r="E87" s="84">
        <v>8750</v>
      </c>
      <c r="F87" s="69">
        <v>44692</v>
      </c>
      <c r="G87" s="68" t="str">
        <f t="shared" si="11"/>
        <v>Q1</v>
      </c>
      <c r="H87" s="84">
        <f t="shared" si="12"/>
        <v>5250</v>
      </c>
      <c r="I87" s="68" t="str">
        <f t="shared" si="16"/>
        <v>Q2</v>
      </c>
      <c r="J87" s="69">
        <f>_xlfn.IFNA(VLOOKUP(I87,PaymentDates[],2,FALSE),"First Payment Pending")</f>
        <v>44742</v>
      </c>
      <c r="K87" s="68" t="str">
        <f>VLOOKUP(C87,EmployeeNames[],2,FALSE)</f>
        <v>Lin</v>
      </c>
      <c r="L87" s="68" t="str">
        <f>CONCATENATE('Deal Data'!$K87,'Deal Data'!$G87)</f>
        <v>LinQ1</v>
      </c>
      <c r="M87" s="84">
        <f>IF(G87=G86,SUMIFS($H$2:H87,$K$2:K87,K86,$G$2:G87,G86),0)</f>
        <v>113140</v>
      </c>
      <c r="N87" s="85">
        <f>VLOOKUP(L87,Base_Rate[[UniqueIdentifier]:[Rate]],2,FALSE)</f>
        <v>0.09</v>
      </c>
      <c r="O87" s="84">
        <f>VLOOKUP(L87,Table3[[UniqueIdentifier]:[Goal]],2,FALSE)</f>
        <v>400000</v>
      </c>
      <c r="P87" s="84">
        <f t="shared" si="13"/>
        <v>600000</v>
      </c>
      <c r="Q87" s="84">
        <f>'Deal Data'!$H87*VLOOKUP('Deal Data'!$L87,Base_Rate[[UniqueIdentifier]:[Rate]],2,FALSE)</f>
        <v>472.5</v>
      </c>
      <c r="R87" s="84">
        <f t="shared" si="14"/>
        <v>0</v>
      </c>
      <c r="S87" s="84">
        <f>IF(G87=G86,SUMIFS($R$2:R87,$K$2:K87,K86,$G$2:G87,G86),0)</f>
        <v>0</v>
      </c>
      <c r="T87" s="84">
        <f t="shared" si="15"/>
        <v>0</v>
      </c>
      <c r="U87" s="84">
        <f>IF(G87=G86,SUMIFS($T$2:T87,$K$2:K87,K86,$G$2:G87,G86),0)</f>
        <v>0</v>
      </c>
      <c r="V87" s="84">
        <f t="shared" si="10"/>
        <v>472.5</v>
      </c>
      <c r="W87" s="84" t="str">
        <f>IF(CommissionDetail[[#This Row],[Tier 2 Bonus]]&gt;0,"Yes","No")</f>
        <v>No</v>
      </c>
      <c r="X87" s="84">
        <f>IF(CommissionDetail[[#This Row],[Payment Quarter]]="First Payment Pending",0,CommissionDetail[[#This Row],[Total Commission]])</f>
        <v>472.5</v>
      </c>
    </row>
    <row r="88" spans="1:24" ht="15.75" customHeight="1" x14ac:dyDescent="0.2">
      <c r="A88" s="68">
        <v>10155</v>
      </c>
      <c r="B88" s="69">
        <v>44622</v>
      </c>
      <c r="C88" s="68" t="s">
        <v>8</v>
      </c>
      <c r="D88" s="68">
        <v>12</v>
      </c>
      <c r="E88" s="84">
        <v>12000</v>
      </c>
      <c r="F88" s="69">
        <v>44645</v>
      </c>
      <c r="G88" s="68" t="str">
        <f t="shared" si="11"/>
        <v>Q1</v>
      </c>
      <c r="H88" s="84">
        <f t="shared" si="12"/>
        <v>12000</v>
      </c>
      <c r="I88" s="68" t="str">
        <f t="shared" si="16"/>
        <v>Q1</v>
      </c>
      <c r="J88" s="69">
        <f>_xlfn.IFNA(VLOOKUP(I88,PaymentDates[],2,FALSE),"First Payment Pending")</f>
        <v>44651</v>
      </c>
      <c r="K88" s="68" t="str">
        <f>VLOOKUP(C88,EmployeeNames[],2,FALSE)</f>
        <v>Lin</v>
      </c>
      <c r="L88" s="68" t="str">
        <f>CONCATENATE('Deal Data'!$K88,'Deal Data'!$G88)</f>
        <v>LinQ1</v>
      </c>
      <c r="M88" s="84">
        <f>IF(G88=G87,SUMIFS($H$2:H88,$K$2:K88,K87,$G$2:G88,G87),0)</f>
        <v>125140</v>
      </c>
      <c r="N88" s="85">
        <f>VLOOKUP(L88,Base_Rate[[UniqueIdentifier]:[Rate]],2,FALSE)</f>
        <v>0.09</v>
      </c>
      <c r="O88" s="84">
        <f>VLOOKUP(L88,Table3[[UniqueIdentifier]:[Goal]],2,FALSE)</f>
        <v>400000</v>
      </c>
      <c r="P88" s="84">
        <f t="shared" si="13"/>
        <v>600000</v>
      </c>
      <c r="Q88" s="84">
        <f>'Deal Data'!$H88*VLOOKUP('Deal Data'!$L88,Base_Rate[[UniqueIdentifier]:[Rate]],2,FALSE)</f>
        <v>1080</v>
      </c>
      <c r="R88" s="84">
        <f t="shared" si="14"/>
        <v>0</v>
      </c>
      <c r="S88" s="84">
        <f>IF(G88=G87,SUMIFS($R$2:R88,$K$2:K88,K87,$G$2:G88,G87),0)</f>
        <v>0</v>
      </c>
      <c r="T88" s="84">
        <f t="shared" si="15"/>
        <v>0</v>
      </c>
      <c r="U88" s="84">
        <f>IF(G88=G87,SUMIFS($T$2:T88,$K$2:K88,K87,$G$2:G88,G87),0)</f>
        <v>0</v>
      </c>
      <c r="V88" s="84">
        <f t="shared" si="10"/>
        <v>1080</v>
      </c>
      <c r="W88" s="84" t="str">
        <f>IF(CommissionDetail[[#This Row],[Tier 2 Bonus]]&gt;0,"Yes","No")</f>
        <v>No</v>
      </c>
      <c r="X88" s="84">
        <f>IF(CommissionDetail[[#This Row],[Payment Quarter]]="First Payment Pending",0,CommissionDetail[[#This Row],[Total Commission]])</f>
        <v>1080</v>
      </c>
    </row>
    <row r="89" spans="1:24" ht="15.75" customHeight="1" x14ac:dyDescent="0.2">
      <c r="A89" s="68">
        <v>10140</v>
      </c>
      <c r="B89" s="69">
        <v>44625</v>
      </c>
      <c r="C89" s="68" t="s">
        <v>8</v>
      </c>
      <c r="D89" s="68">
        <v>12</v>
      </c>
      <c r="E89" s="84">
        <v>5600</v>
      </c>
      <c r="F89" s="69">
        <v>44682</v>
      </c>
      <c r="G89" s="68" t="str">
        <f t="shared" si="11"/>
        <v>Q1</v>
      </c>
      <c r="H89" s="84">
        <f t="shared" si="12"/>
        <v>5600</v>
      </c>
      <c r="I89" s="68" t="str">
        <f t="shared" si="16"/>
        <v>Q2</v>
      </c>
      <c r="J89" s="69">
        <f>_xlfn.IFNA(VLOOKUP(I89,PaymentDates[],2,FALSE),"First Payment Pending")</f>
        <v>44742</v>
      </c>
      <c r="K89" s="68" t="str">
        <f>VLOOKUP(C89,EmployeeNames[],2,FALSE)</f>
        <v>Lin</v>
      </c>
      <c r="L89" s="68" t="str">
        <f>CONCATENATE('Deal Data'!$K89,'Deal Data'!$G89)</f>
        <v>LinQ1</v>
      </c>
      <c r="M89" s="84">
        <f>IF(G89=G88,SUMIFS($H$2:H89,$K$2:K89,K88,$G$2:G89,G88),0)</f>
        <v>130740</v>
      </c>
      <c r="N89" s="85">
        <f>VLOOKUP(L89,Base_Rate[[UniqueIdentifier]:[Rate]],2,FALSE)</f>
        <v>0.09</v>
      </c>
      <c r="O89" s="84">
        <f>VLOOKUP(L89,Table3[[UniqueIdentifier]:[Goal]],2,FALSE)</f>
        <v>400000</v>
      </c>
      <c r="P89" s="84">
        <f t="shared" si="13"/>
        <v>600000</v>
      </c>
      <c r="Q89" s="84">
        <f>'Deal Data'!$H89*VLOOKUP('Deal Data'!$L89,Base_Rate[[UniqueIdentifier]:[Rate]],2,FALSE)</f>
        <v>504</v>
      </c>
      <c r="R89" s="84">
        <f t="shared" si="14"/>
        <v>0</v>
      </c>
      <c r="S89" s="84">
        <f>IF(G89=G88,SUMIFS($R$2:R89,$K$2:K89,K88,$G$2:G89,G88),0)</f>
        <v>0</v>
      </c>
      <c r="T89" s="84">
        <f t="shared" si="15"/>
        <v>0</v>
      </c>
      <c r="U89" s="84">
        <f>IF(G89=G88,SUMIFS($T$2:T89,$K$2:K89,K88,$G$2:G89,G88),0)</f>
        <v>0</v>
      </c>
      <c r="V89" s="84">
        <f t="shared" si="10"/>
        <v>504</v>
      </c>
      <c r="W89" s="84" t="str">
        <f>IF(CommissionDetail[[#This Row],[Tier 2 Bonus]]&gt;0,"Yes","No")</f>
        <v>No</v>
      </c>
      <c r="X89" s="84">
        <f>IF(CommissionDetail[[#This Row],[Payment Quarter]]="First Payment Pending",0,CommissionDetail[[#This Row],[Total Commission]])</f>
        <v>504</v>
      </c>
    </row>
    <row r="90" spans="1:24" ht="15.75" customHeight="1" x14ac:dyDescent="0.2">
      <c r="A90" s="68">
        <v>10285</v>
      </c>
      <c r="B90" s="69">
        <v>44626</v>
      </c>
      <c r="C90" s="68" t="s">
        <v>8</v>
      </c>
      <c r="D90" s="68">
        <v>36</v>
      </c>
      <c r="E90" s="84">
        <v>15000</v>
      </c>
      <c r="F90" s="69">
        <v>44656</v>
      </c>
      <c r="G90" s="68" t="str">
        <f t="shared" si="11"/>
        <v>Q1</v>
      </c>
      <c r="H90" s="84">
        <f t="shared" si="12"/>
        <v>5000</v>
      </c>
      <c r="I90" s="68" t="str">
        <f t="shared" si="16"/>
        <v>Q2</v>
      </c>
      <c r="J90" s="69">
        <f>_xlfn.IFNA(VLOOKUP(I90,PaymentDates[],2,FALSE),"First Payment Pending")</f>
        <v>44742</v>
      </c>
      <c r="K90" s="68" t="str">
        <f>VLOOKUP(C90,EmployeeNames[],2,FALSE)</f>
        <v>Lin</v>
      </c>
      <c r="L90" s="68" t="str">
        <f>CONCATENATE('Deal Data'!$K90,'Deal Data'!$G90)</f>
        <v>LinQ1</v>
      </c>
      <c r="M90" s="84">
        <f>IF(G90=G89,SUMIFS($H$2:H90,$K$2:K90,K89,$G$2:G90,G89),0)</f>
        <v>135740</v>
      </c>
      <c r="N90" s="85">
        <f>VLOOKUP(L90,Base_Rate[[UniqueIdentifier]:[Rate]],2,FALSE)</f>
        <v>0.09</v>
      </c>
      <c r="O90" s="84">
        <f>VLOOKUP(L90,Table3[[UniqueIdentifier]:[Goal]],2,FALSE)</f>
        <v>400000</v>
      </c>
      <c r="P90" s="84">
        <f t="shared" si="13"/>
        <v>600000</v>
      </c>
      <c r="Q90" s="84">
        <f>'Deal Data'!$H90*VLOOKUP('Deal Data'!$L90,Base_Rate[[UniqueIdentifier]:[Rate]],2,FALSE)</f>
        <v>450</v>
      </c>
      <c r="R90" s="84">
        <f t="shared" si="14"/>
        <v>0</v>
      </c>
      <c r="S90" s="84">
        <f>IF(G90=G89,SUMIFS($R$2:R90,$K$2:K90,K89,$G$2:G90,G89),0)</f>
        <v>0</v>
      </c>
      <c r="T90" s="84">
        <f t="shared" si="15"/>
        <v>0</v>
      </c>
      <c r="U90" s="84">
        <f>IF(G90=G89,SUMIFS($T$2:T90,$K$2:K90,K89,$G$2:G90,G89),0)</f>
        <v>0</v>
      </c>
      <c r="V90" s="84">
        <f t="shared" si="10"/>
        <v>450</v>
      </c>
      <c r="W90" s="84" t="str">
        <f>IF(CommissionDetail[[#This Row],[Tier 2 Bonus]]&gt;0,"Yes","No")</f>
        <v>No</v>
      </c>
      <c r="X90" s="84">
        <f>IF(CommissionDetail[[#This Row],[Payment Quarter]]="First Payment Pending",0,CommissionDetail[[#This Row],[Total Commission]])</f>
        <v>450</v>
      </c>
    </row>
    <row r="91" spans="1:24" ht="15.75" customHeight="1" x14ac:dyDescent="0.2">
      <c r="A91" s="68">
        <v>10290</v>
      </c>
      <c r="B91" s="69">
        <v>44629</v>
      </c>
      <c r="C91" s="68" t="s">
        <v>8</v>
      </c>
      <c r="D91" s="68">
        <v>12</v>
      </c>
      <c r="E91" s="84">
        <v>64000</v>
      </c>
      <c r="F91" s="69">
        <v>44713</v>
      </c>
      <c r="G91" s="68" t="str">
        <f t="shared" si="11"/>
        <v>Q1</v>
      </c>
      <c r="H91" s="84">
        <f t="shared" si="12"/>
        <v>64000</v>
      </c>
      <c r="I91" s="68" t="str">
        <f t="shared" si="16"/>
        <v>Q2</v>
      </c>
      <c r="J91" s="69">
        <f>_xlfn.IFNA(VLOOKUP(I91,PaymentDates[],2,FALSE),"First Payment Pending")</f>
        <v>44742</v>
      </c>
      <c r="K91" s="68" t="str">
        <f>VLOOKUP(C91,EmployeeNames[],2,FALSE)</f>
        <v>Lin</v>
      </c>
      <c r="L91" s="68" t="str">
        <f>CONCATENATE('Deal Data'!$K91,'Deal Data'!$G91)</f>
        <v>LinQ1</v>
      </c>
      <c r="M91" s="84">
        <f>IF(G91=G90,SUMIFS($H$2:H91,$K$2:K91,K90,$G$2:G91,G90),0)</f>
        <v>199740</v>
      </c>
      <c r="N91" s="85">
        <f>VLOOKUP(L91,Base_Rate[[UniqueIdentifier]:[Rate]],2,FALSE)</f>
        <v>0.09</v>
      </c>
      <c r="O91" s="84">
        <f>VLOOKUP(L91,Table3[[UniqueIdentifier]:[Goal]],2,FALSE)</f>
        <v>400000</v>
      </c>
      <c r="P91" s="84">
        <f t="shared" si="13"/>
        <v>600000</v>
      </c>
      <c r="Q91" s="84">
        <f>'Deal Data'!$H91*VLOOKUP('Deal Data'!$L91,Base_Rate[[UniqueIdentifier]:[Rate]],2,FALSE)</f>
        <v>5760</v>
      </c>
      <c r="R91" s="84">
        <f t="shared" si="14"/>
        <v>0</v>
      </c>
      <c r="S91" s="84">
        <f>IF(G91=G90,SUMIFS($R$2:R91,$K$2:K91,K90,$G$2:G91,G90),0)</f>
        <v>0</v>
      </c>
      <c r="T91" s="84">
        <f t="shared" si="15"/>
        <v>0</v>
      </c>
      <c r="U91" s="84">
        <f>IF(G91=G90,SUMIFS($T$2:T91,$K$2:K91,K90,$G$2:G91,G90),0)</f>
        <v>0</v>
      </c>
      <c r="V91" s="84">
        <f t="shared" si="10"/>
        <v>5760</v>
      </c>
      <c r="W91" s="84" t="str">
        <f>IF(CommissionDetail[[#This Row],[Tier 2 Bonus]]&gt;0,"Yes","No")</f>
        <v>No</v>
      </c>
      <c r="X91" s="84">
        <f>IF(CommissionDetail[[#This Row],[Payment Quarter]]="First Payment Pending",0,CommissionDetail[[#This Row],[Total Commission]])</f>
        <v>5760</v>
      </c>
    </row>
    <row r="92" spans="1:24" ht="15.75" customHeight="1" x14ac:dyDescent="0.2">
      <c r="A92" s="68">
        <v>10280</v>
      </c>
      <c r="B92" s="69">
        <v>44633</v>
      </c>
      <c r="C92" s="68" t="s">
        <v>8</v>
      </c>
      <c r="D92" s="68">
        <v>36</v>
      </c>
      <c r="E92" s="84">
        <v>15000</v>
      </c>
      <c r="F92" s="69">
        <v>44634</v>
      </c>
      <c r="G92" s="68" t="str">
        <f t="shared" si="11"/>
        <v>Q1</v>
      </c>
      <c r="H92" s="84">
        <f t="shared" si="12"/>
        <v>5000</v>
      </c>
      <c r="I92" s="68" t="str">
        <f t="shared" si="16"/>
        <v>Q1</v>
      </c>
      <c r="J92" s="69">
        <f>_xlfn.IFNA(VLOOKUP(I92,PaymentDates[],2,FALSE),"First Payment Pending")</f>
        <v>44651</v>
      </c>
      <c r="K92" s="68" t="str">
        <f>VLOOKUP(C92,EmployeeNames[],2,FALSE)</f>
        <v>Lin</v>
      </c>
      <c r="L92" s="68" t="str">
        <f>CONCATENATE('Deal Data'!$K92,'Deal Data'!$G92)</f>
        <v>LinQ1</v>
      </c>
      <c r="M92" s="84">
        <f>IF(G92=G91,SUMIFS($H$2:H92,$K$2:K92,K91,$G$2:G92,G91),0)</f>
        <v>204740</v>
      </c>
      <c r="N92" s="85">
        <f>VLOOKUP(L92,Base_Rate[[UniqueIdentifier]:[Rate]],2,FALSE)</f>
        <v>0.09</v>
      </c>
      <c r="O92" s="84">
        <f>VLOOKUP(L92,Table3[[UniqueIdentifier]:[Goal]],2,FALSE)</f>
        <v>400000</v>
      </c>
      <c r="P92" s="84">
        <f t="shared" si="13"/>
        <v>600000</v>
      </c>
      <c r="Q92" s="84">
        <f>'Deal Data'!$H92*VLOOKUP('Deal Data'!$L92,Base_Rate[[UniqueIdentifier]:[Rate]],2,FALSE)</f>
        <v>450</v>
      </c>
      <c r="R92" s="84">
        <f t="shared" si="14"/>
        <v>0</v>
      </c>
      <c r="S92" s="84">
        <f>IF(G92=G91,SUMIFS($R$2:R92,$K$2:K92,K91,$G$2:G92,G91),0)</f>
        <v>0</v>
      </c>
      <c r="T92" s="84">
        <f t="shared" si="15"/>
        <v>0</v>
      </c>
      <c r="U92" s="84">
        <f>IF(G92=G91,SUMIFS($T$2:T92,$K$2:K92,K91,$G$2:G92,G91),0)</f>
        <v>0</v>
      </c>
      <c r="V92" s="84">
        <f t="shared" si="10"/>
        <v>450</v>
      </c>
      <c r="W92" s="84" t="str">
        <f>IF(CommissionDetail[[#This Row],[Tier 2 Bonus]]&gt;0,"Yes","No")</f>
        <v>No</v>
      </c>
      <c r="X92" s="84">
        <f>IF(CommissionDetail[[#This Row],[Payment Quarter]]="First Payment Pending",0,CommissionDetail[[#This Row],[Total Commission]])</f>
        <v>450</v>
      </c>
    </row>
    <row r="93" spans="1:24" ht="15.75" customHeight="1" x14ac:dyDescent="0.2">
      <c r="A93" s="68">
        <v>10215</v>
      </c>
      <c r="B93" s="69">
        <v>44636</v>
      </c>
      <c r="C93" s="68" t="s">
        <v>8</v>
      </c>
      <c r="D93" s="68">
        <v>12</v>
      </c>
      <c r="E93" s="84">
        <v>2000</v>
      </c>
      <c r="F93" s="69">
        <v>44695</v>
      </c>
      <c r="G93" s="68" t="str">
        <f t="shared" si="11"/>
        <v>Q1</v>
      </c>
      <c r="H93" s="84">
        <f t="shared" si="12"/>
        <v>2000</v>
      </c>
      <c r="I93" s="68" t="str">
        <f t="shared" si="16"/>
        <v>Q2</v>
      </c>
      <c r="J93" s="69">
        <f>_xlfn.IFNA(VLOOKUP(I93,PaymentDates[],2,FALSE),"First Payment Pending")</f>
        <v>44742</v>
      </c>
      <c r="K93" s="68" t="str">
        <f>VLOOKUP(C93,EmployeeNames[],2,FALSE)</f>
        <v>Lin</v>
      </c>
      <c r="L93" s="68" t="str">
        <f>CONCATENATE('Deal Data'!$K93,'Deal Data'!$G93)</f>
        <v>LinQ1</v>
      </c>
      <c r="M93" s="84">
        <f>IF(G93=G92,SUMIFS($H$2:H93,$K$2:K93,K92,$G$2:G93,G92),0)</f>
        <v>206740</v>
      </c>
      <c r="N93" s="85">
        <f>VLOOKUP(L93,Base_Rate[[UniqueIdentifier]:[Rate]],2,FALSE)</f>
        <v>0.09</v>
      </c>
      <c r="O93" s="84">
        <f>VLOOKUP(L93,Table3[[UniqueIdentifier]:[Goal]],2,FALSE)</f>
        <v>400000</v>
      </c>
      <c r="P93" s="84">
        <f t="shared" si="13"/>
        <v>600000</v>
      </c>
      <c r="Q93" s="84">
        <f>'Deal Data'!$H93*VLOOKUP('Deal Data'!$L93,Base_Rate[[UniqueIdentifier]:[Rate]],2,FALSE)</f>
        <v>180</v>
      </c>
      <c r="R93" s="84">
        <f t="shared" si="14"/>
        <v>0</v>
      </c>
      <c r="S93" s="84">
        <f>IF(G93=G92,SUMIFS($R$2:R93,$K$2:K93,K92,$G$2:G93,G92),0)</f>
        <v>0</v>
      </c>
      <c r="T93" s="84">
        <f t="shared" si="15"/>
        <v>0</v>
      </c>
      <c r="U93" s="84">
        <f>IF(G93=G92,SUMIFS($T$2:T93,$K$2:K93,K92,$G$2:G93,G92),0)</f>
        <v>0</v>
      </c>
      <c r="V93" s="84">
        <f t="shared" si="10"/>
        <v>180</v>
      </c>
      <c r="W93" s="84" t="str">
        <f>IF(CommissionDetail[[#This Row],[Tier 2 Bonus]]&gt;0,"Yes","No")</f>
        <v>No</v>
      </c>
      <c r="X93" s="84">
        <f>IF(CommissionDetail[[#This Row],[Payment Quarter]]="First Payment Pending",0,CommissionDetail[[#This Row],[Total Commission]])</f>
        <v>180</v>
      </c>
    </row>
    <row r="94" spans="1:24" ht="15.75" customHeight="1" x14ac:dyDescent="0.2">
      <c r="A94" s="68">
        <v>10045</v>
      </c>
      <c r="B94" s="69">
        <v>44641</v>
      </c>
      <c r="C94" s="68" t="s">
        <v>8</v>
      </c>
      <c r="D94" s="68">
        <v>30</v>
      </c>
      <c r="E94" s="84">
        <v>18000</v>
      </c>
      <c r="F94" s="69">
        <v>44670</v>
      </c>
      <c r="G94" s="68" t="str">
        <f t="shared" si="11"/>
        <v>Q1</v>
      </c>
      <c r="H94" s="84">
        <f t="shared" si="12"/>
        <v>7200</v>
      </c>
      <c r="I94" s="68" t="str">
        <f t="shared" si="16"/>
        <v>Q2</v>
      </c>
      <c r="J94" s="69">
        <f>_xlfn.IFNA(VLOOKUP(I94,PaymentDates[],2,FALSE),"First Payment Pending")</f>
        <v>44742</v>
      </c>
      <c r="K94" s="68" t="str">
        <f>VLOOKUP(C94,EmployeeNames[],2,FALSE)</f>
        <v>Lin</v>
      </c>
      <c r="L94" s="68" t="str">
        <f>CONCATENATE('Deal Data'!$K94,'Deal Data'!$G94)</f>
        <v>LinQ1</v>
      </c>
      <c r="M94" s="84">
        <f>IF(G94=G93,SUMIFS($H$2:H94,$K$2:K94,K93,$G$2:G94,G93),0)</f>
        <v>213940</v>
      </c>
      <c r="N94" s="85">
        <f>VLOOKUP(L94,Base_Rate[[UniqueIdentifier]:[Rate]],2,FALSE)</f>
        <v>0.09</v>
      </c>
      <c r="O94" s="84">
        <f>VLOOKUP(L94,Table3[[UniqueIdentifier]:[Goal]],2,FALSE)</f>
        <v>400000</v>
      </c>
      <c r="P94" s="84">
        <f t="shared" si="13"/>
        <v>600000</v>
      </c>
      <c r="Q94" s="84">
        <f>'Deal Data'!$H94*VLOOKUP('Deal Data'!$L94,Base_Rate[[UniqueIdentifier]:[Rate]],2,FALSE)</f>
        <v>648</v>
      </c>
      <c r="R94" s="84">
        <f t="shared" si="14"/>
        <v>0</v>
      </c>
      <c r="S94" s="84">
        <f>IF(G94=G93,SUMIFS($R$2:R94,$K$2:K94,K93,$G$2:G94,G93),0)</f>
        <v>0</v>
      </c>
      <c r="T94" s="84">
        <f t="shared" si="15"/>
        <v>0</v>
      </c>
      <c r="U94" s="84">
        <f>IF(G94=G93,SUMIFS($T$2:T94,$K$2:K94,K93,$G$2:G94,G93),0)</f>
        <v>0</v>
      </c>
      <c r="V94" s="84">
        <f t="shared" si="10"/>
        <v>648</v>
      </c>
      <c r="W94" s="84" t="str">
        <f>IF(CommissionDetail[[#This Row],[Tier 2 Bonus]]&gt;0,"Yes","No")</f>
        <v>No</v>
      </c>
      <c r="X94" s="84">
        <f>IF(CommissionDetail[[#This Row],[Payment Quarter]]="First Payment Pending",0,CommissionDetail[[#This Row],[Total Commission]])</f>
        <v>648</v>
      </c>
    </row>
    <row r="95" spans="1:24" ht="15.75" customHeight="1" x14ac:dyDescent="0.2">
      <c r="A95" s="68">
        <v>10025</v>
      </c>
      <c r="B95" s="69">
        <v>44642</v>
      </c>
      <c r="C95" s="68" t="s">
        <v>8</v>
      </c>
      <c r="D95" s="68">
        <v>12</v>
      </c>
      <c r="E95" s="84">
        <v>25000</v>
      </c>
      <c r="F95" s="69">
        <v>44710</v>
      </c>
      <c r="G95" s="68" t="str">
        <f t="shared" si="11"/>
        <v>Q1</v>
      </c>
      <c r="H95" s="84">
        <f t="shared" si="12"/>
        <v>25000</v>
      </c>
      <c r="I95" s="68" t="str">
        <f t="shared" si="16"/>
        <v>Q2</v>
      </c>
      <c r="J95" s="69">
        <f>_xlfn.IFNA(VLOOKUP(I95,PaymentDates[],2,FALSE),"First Payment Pending")</f>
        <v>44742</v>
      </c>
      <c r="K95" s="68" t="str">
        <f>VLOOKUP(C95,EmployeeNames[],2,FALSE)</f>
        <v>Lin</v>
      </c>
      <c r="L95" s="68" t="str">
        <f>CONCATENATE('Deal Data'!$K95,'Deal Data'!$G95)</f>
        <v>LinQ1</v>
      </c>
      <c r="M95" s="84">
        <f>IF(G95=G94,SUMIFS($H$2:H95,$K$2:K95,K94,$G$2:G95,G94),0)</f>
        <v>238940</v>
      </c>
      <c r="N95" s="85">
        <f>VLOOKUP(L95,Base_Rate[[UniqueIdentifier]:[Rate]],2,FALSE)</f>
        <v>0.09</v>
      </c>
      <c r="O95" s="84">
        <f>VLOOKUP(L95,Table3[[UniqueIdentifier]:[Goal]],2,FALSE)</f>
        <v>400000</v>
      </c>
      <c r="P95" s="84">
        <f t="shared" si="13"/>
        <v>600000</v>
      </c>
      <c r="Q95" s="84">
        <f>'Deal Data'!$H95*VLOOKUP('Deal Data'!$L95,Base_Rate[[UniqueIdentifier]:[Rate]],2,FALSE)</f>
        <v>2250</v>
      </c>
      <c r="R95" s="84">
        <f t="shared" si="14"/>
        <v>0</v>
      </c>
      <c r="S95" s="84">
        <f>IF(G95=G94,SUMIFS($R$2:R95,$K$2:K95,K94,$G$2:G95,G94),0)</f>
        <v>0</v>
      </c>
      <c r="T95" s="84">
        <f t="shared" si="15"/>
        <v>0</v>
      </c>
      <c r="U95" s="84">
        <f>IF(G95=G94,SUMIFS($T$2:T95,$K$2:K95,K94,$G$2:G95,G94),0)</f>
        <v>0</v>
      </c>
      <c r="V95" s="84">
        <f t="shared" si="10"/>
        <v>2250</v>
      </c>
      <c r="W95" s="84" t="str">
        <f>IF(CommissionDetail[[#This Row],[Tier 2 Bonus]]&gt;0,"Yes","No")</f>
        <v>No</v>
      </c>
      <c r="X95" s="84">
        <f>IF(CommissionDetail[[#This Row],[Payment Quarter]]="First Payment Pending",0,CommissionDetail[[#This Row],[Total Commission]])</f>
        <v>2250</v>
      </c>
    </row>
    <row r="96" spans="1:24" ht="15.75" customHeight="1" x14ac:dyDescent="0.2">
      <c r="A96" s="68">
        <v>10245</v>
      </c>
      <c r="B96" s="69">
        <v>44643</v>
      </c>
      <c r="C96" s="68" t="s">
        <v>8</v>
      </c>
      <c r="D96" s="68">
        <v>12</v>
      </c>
      <c r="E96" s="84">
        <v>3000</v>
      </c>
      <c r="F96" s="69">
        <v>44664</v>
      </c>
      <c r="G96" s="68" t="str">
        <f t="shared" si="11"/>
        <v>Q1</v>
      </c>
      <c r="H96" s="84">
        <f t="shared" si="12"/>
        <v>3000</v>
      </c>
      <c r="I96" s="68" t="str">
        <f t="shared" si="16"/>
        <v>Q2</v>
      </c>
      <c r="J96" s="69">
        <f>_xlfn.IFNA(VLOOKUP(I96,PaymentDates[],2,FALSE),"First Payment Pending")</f>
        <v>44742</v>
      </c>
      <c r="K96" s="68" t="str">
        <f>VLOOKUP(C96,EmployeeNames[],2,FALSE)</f>
        <v>Lin</v>
      </c>
      <c r="L96" s="68" t="str">
        <f>CONCATENATE('Deal Data'!$K96,'Deal Data'!$G96)</f>
        <v>LinQ1</v>
      </c>
      <c r="M96" s="84">
        <f>IF(G96=G95,SUMIFS($H$2:H96,$K$2:K96,K95,$G$2:G96,G95),0)</f>
        <v>241940</v>
      </c>
      <c r="N96" s="85">
        <f>VLOOKUP(L96,Base_Rate[[UniqueIdentifier]:[Rate]],2,FALSE)</f>
        <v>0.09</v>
      </c>
      <c r="O96" s="84">
        <f>VLOOKUP(L96,Table3[[UniqueIdentifier]:[Goal]],2,FALSE)</f>
        <v>400000</v>
      </c>
      <c r="P96" s="84">
        <f t="shared" si="13"/>
        <v>600000</v>
      </c>
      <c r="Q96" s="84">
        <f>'Deal Data'!$H96*VLOOKUP('Deal Data'!$L96,Base_Rate[[UniqueIdentifier]:[Rate]],2,FALSE)</f>
        <v>270</v>
      </c>
      <c r="R96" s="84">
        <f t="shared" si="14"/>
        <v>0</v>
      </c>
      <c r="S96" s="84">
        <f>IF(G96=G95,SUMIFS($R$2:R96,$K$2:K96,K95,$G$2:G96,G95),0)</f>
        <v>0</v>
      </c>
      <c r="T96" s="84">
        <f t="shared" si="15"/>
        <v>0</v>
      </c>
      <c r="U96" s="84">
        <f>IF(G96=G95,SUMIFS($T$2:T96,$K$2:K96,K95,$G$2:G96,G95),0)</f>
        <v>0</v>
      </c>
      <c r="V96" s="84">
        <f t="shared" si="10"/>
        <v>270</v>
      </c>
      <c r="W96" s="84" t="str">
        <f>IF(CommissionDetail[[#This Row],[Tier 2 Bonus]]&gt;0,"Yes","No")</f>
        <v>No</v>
      </c>
      <c r="X96" s="84">
        <f>IF(CommissionDetail[[#This Row],[Payment Quarter]]="First Payment Pending",0,CommissionDetail[[#This Row],[Total Commission]])</f>
        <v>270</v>
      </c>
    </row>
    <row r="97" spans="1:24" ht="15.75" customHeight="1" x14ac:dyDescent="0.2">
      <c r="A97" s="68">
        <v>10020</v>
      </c>
      <c r="B97" s="69">
        <v>44646</v>
      </c>
      <c r="C97" s="68" t="s">
        <v>8</v>
      </c>
      <c r="D97" s="68">
        <v>12</v>
      </c>
      <c r="E97" s="84">
        <v>12000</v>
      </c>
      <c r="F97" s="69">
        <v>44685</v>
      </c>
      <c r="G97" s="68" t="str">
        <f t="shared" si="11"/>
        <v>Q1</v>
      </c>
      <c r="H97" s="84">
        <f t="shared" si="12"/>
        <v>12000</v>
      </c>
      <c r="I97" s="68" t="str">
        <f t="shared" si="16"/>
        <v>Q2</v>
      </c>
      <c r="J97" s="69">
        <f>_xlfn.IFNA(VLOOKUP(I97,PaymentDates[],2,FALSE),"First Payment Pending")</f>
        <v>44742</v>
      </c>
      <c r="K97" s="68" t="str">
        <f>VLOOKUP(C97,EmployeeNames[],2,FALSE)</f>
        <v>Lin</v>
      </c>
      <c r="L97" s="68" t="str">
        <f>CONCATENATE('Deal Data'!$K97,'Deal Data'!$G97)</f>
        <v>LinQ1</v>
      </c>
      <c r="M97" s="84">
        <f>IF(G97=G96,SUMIFS($H$2:H97,$K$2:K97,K96,$G$2:G97,G96),0)</f>
        <v>253940</v>
      </c>
      <c r="N97" s="85">
        <f>VLOOKUP(L97,Base_Rate[[UniqueIdentifier]:[Rate]],2,FALSE)</f>
        <v>0.09</v>
      </c>
      <c r="O97" s="84">
        <f>VLOOKUP(L97,Table3[[UniqueIdentifier]:[Goal]],2,FALSE)</f>
        <v>400000</v>
      </c>
      <c r="P97" s="84">
        <f t="shared" si="13"/>
        <v>600000</v>
      </c>
      <c r="Q97" s="84">
        <f>'Deal Data'!$H97*VLOOKUP('Deal Data'!$L97,Base_Rate[[UniqueIdentifier]:[Rate]],2,FALSE)</f>
        <v>1080</v>
      </c>
      <c r="R97" s="84">
        <f t="shared" si="14"/>
        <v>0</v>
      </c>
      <c r="S97" s="84">
        <f>IF(G97=G96,SUMIFS($R$2:R97,$K$2:K97,K96,$G$2:G97,G96),0)</f>
        <v>0</v>
      </c>
      <c r="T97" s="84">
        <f t="shared" si="15"/>
        <v>0</v>
      </c>
      <c r="U97" s="84">
        <f>IF(G97=G96,SUMIFS($T$2:T97,$K$2:K97,K96,$G$2:G97,G96),0)</f>
        <v>0</v>
      </c>
      <c r="V97" s="84">
        <f t="shared" si="10"/>
        <v>1080</v>
      </c>
      <c r="W97" s="84" t="str">
        <f>IF(CommissionDetail[[#This Row],[Tier 2 Bonus]]&gt;0,"Yes","No")</f>
        <v>No</v>
      </c>
      <c r="X97" s="84">
        <f>IF(CommissionDetail[[#This Row],[Payment Quarter]]="First Payment Pending",0,CommissionDetail[[#This Row],[Total Commission]])</f>
        <v>1080</v>
      </c>
    </row>
    <row r="98" spans="1:24" ht="15.75" customHeight="1" x14ac:dyDescent="0.2">
      <c r="A98" s="68">
        <v>10035</v>
      </c>
      <c r="B98" s="69">
        <v>44646</v>
      </c>
      <c r="C98" s="68" t="s">
        <v>8</v>
      </c>
      <c r="D98" s="68">
        <v>30</v>
      </c>
      <c r="E98" s="84">
        <v>3000</v>
      </c>
      <c r="F98" s="69">
        <v>44658</v>
      </c>
      <c r="G98" s="68" t="str">
        <f t="shared" ref="G98:G117" si="17">"Q"&amp;ROUNDUP(MONTH(B98)/3,0)</f>
        <v>Q1</v>
      </c>
      <c r="H98" s="84">
        <f t="shared" ref="H98:H117" si="18">IF(D98&gt;12,((E98/D98)*12),E98)</f>
        <v>1200</v>
      </c>
      <c r="I98" s="68" t="str">
        <f t="shared" si="16"/>
        <v>Q2</v>
      </c>
      <c r="J98" s="69">
        <f>_xlfn.IFNA(VLOOKUP(I98,PaymentDates[],2,FALSE),"First Payment Pending")</f>
        <v>44742</v>
      </c>
      <c r="K98" s="68" t="str">
        <f>VLOOKUP(C98,EmployeeNames[],2,FALSE)</f>
        <v>Lin</v>
      </c>
      <c r="L98" s="68" t="str">
        <f>CONCATENATE('Deal Data'!$K98,'Deal Data'!$G98)</f>
        <v>LinQ1</v>
      </c>
      <c r="M98" s="84">
        <f>IF(G98=G97,SUMIFS($H$2:H98,$K$2:K98,K97,$G$2:G98,G97),0)</f>
        <v>255140</v>
      </c>
      <c r="N98" s="85">
        <f>VLOOKUP(L98,Base_Rate[[UniqueIdentifier]:[Rate]],2,FALSE)</f>
        <v>0.09</v>
      </c>
      <c r="O98" s="84">
        <f>VLOOKUP(L98,Table3[[UniqueIdentifier]:[Goal]],2,FALSE)</f>
        <v>400000</v>
      </c>
      <c r="P98" s="84">
        <f t="shared" si="13"/>
        <v>600000</v>
      </c>
      <c r="Q98" s="84">
        <f>'Deal Data'!$H98*VLOOKUP('Deal Data'!$L98,Base_Rate[[UniqueIdentifier]:[Rate]],2,FALSE)</f>
        <v>108</v>
      </c>
      <c r="R98" s="84">
        <f t="shared" si="14"/>
        <v>0</v>
      </c>
      <c r="S98" s="84">
        <f>IF(G98=G97,SUMIFS($R$2:R98,$K$2:K98,K97,$G$2:G98,G97),0)</f>
        <v>0</v>
      </c>
      <c r="T98" s="84">
        <f t="shared" si="15"/>
        <v>0</v>
      </c>
      <c r="U98" s="84">
        <f>IF(G98=G97,SUMIFS($T$2:T98,$K$2:K98,K97,$G$2:G98,G97),0)</f>
        <v>0</v>
      </c>
      <c r="V98" s="84">
        <f t="shared" si="10"/>
        <v>108</v>
      </c>
      <c r="W98" s="84" t="str">
        <f>IF(CommissionDetail[[#This Row],[Tier 2 Bonus]]&gt;0,"Yes","No")</f>
        <v>No</v>
      </c>
      <c r="X98" s="84">
        <f>IF(CommissionDetail[[#This Row],[Payment Quarter]]="First Payment Pending",0,CommissionDetail[[#This Row],[Total Commission]])</f>
        <v>108</v>
      </c>
    </row>
    <row r="99" spans="1:24" ht="15.75" customHeight="1" x14ac:dyDescent="0.2">
      <c r="A99" s="68">
        <v>10240</v>
      </c>
      <c r="B99" s="69">
        <v>44647</v>
      </c>
      <c r="C99" s="68" t="s">
        <v>8</v>
      </c>
      <c r="D99" s="68">
        <v>20</v>
      </c>
      <c r="E99" s="84">
        <v>8025</v>
      </c>
      <c r="F99" s="69">
        <v>44675</v>
      </c>
      <c r="G99" s="68" t="str">
        <f t="shared" si="17"/>
        <v>Q1</v>
      </c>
      <c r="H99" s="84">
        <f t="shared" si="18"/>
        <v>4815</v>
      </c>
      <c r="I99" s="68" t="str">
        <f t="shared" si="16"/>
        <v>Q2</v>
      </c>
      <c r="J99" s="69">
        <f>_xlfn.IFNA(VLOOKUP(I99,PaymentDates[],2,FALSE),"First Payment Pending")</f>
        <v>44742</v>
      </c>
      <c r="K99" s="68" t="str">
        <f>VLOOKUP(C99,EmployeeNames[],2,FALSE)</f>
        <v>Lin</v>
      </c>
      <c r="L99" s="68" t="str">
        <f>CONCATENATE('Deal Data'!$K99,'Deal Data'!$G99)</f>
        <v>LinQ1</v>
      </c>
      <c r="M99" s="84">
        <f>IF(G99=G98,SUMIFS($H$2:H99,$K$2:K99,K98,$G$2:G99,G98),0)</f>
        <v>259955</v>
      </c>
      <c r="N99" s="85">
        <f>VLOOKUP(L99,Base_Rate[[UniqueIdentifier]:[Rate]],2,FALSE)</f>
        <v>0.09</v>
      </c>
      <c r="O99" s="84">
        <f>VLOOKUP(L99,Table3[[UniqueIdentifier]:[Goal]],2,FALSE)</f>
        <v>400000</v>
      </c>
      <c r="P99" s="84">
        <f t="shared" si="13"/>
        <v>600000</v>
      </c>
      <c r="Q99" s="84">
        <f>'Deal Data'!$H99*VLOOKUP('Deal Data'!$L99,Base_Rate[[UniqueIdentifier]:[Rate]],2,FALSE)</f>
        <v>433.34999999999997</v>
      </c>
      <c r="R99" s="84">
        <f t="shared" si="14"/>
        <v>0</v>
      </c>
      <c r="S99" s="84">
        <f>IF(G99=G98,SUMIFS($R$2:R99,$K$2:K99,K98,$G$2:G99,G98),0)</f>
        <v>0</v>
      </c>
      <c r="T99" s="84">
        <f t="shared" si="15"/>
        <v>0</v>
      </c>
      <c r="U99" s="84">
        <f>IF(G99=G98,SUMIFS($T$2:T99,$K$2:K99,K98,$G$2:G99,G98),0)</f>
        <v>0</v>
      </c>
      <c r="V99" s="84">
        <f t="shared" si="10"/>
        <v>433.34999999999997</v>
      </c>
      <c r="W99" s="84" t="str">
        <f>IF(CommissionDetail[[#This Row],[Tier 2 Bonus]]&gt;0,"Yes","No")</f>
        <v>No</v>
      </c>
      <c r="X99" s="84">
        <f>IF(CommissionDetail[[#This Row],[Payment Quarter]]="First Payment Pending",0,CommissionDetail[[#This Row],[Total Commission]])</f>
        <v>433.34999999999997</v>
      </c>
    </row>
    <row r="100" spans="1:24" ht="15.75" customHeight="1" x14ac:dyDescent="0.2">
      <c r="A100" s="68">
        <v>10030</v>
      </c>
      <c r="B100" s="69">
        <v>44648</v>
      </c>
      <c r="C100" s="68" t="s">
        <v>8</v>
      </c>
      <c r="D100" s="68">
        <v>30</v>
      </c>
      <c r="E100" s="84">
        <v>27500</v>
      </c>
      <c r="F100" s="69">
        <v>44656</v>
      </c>
      <c r="G100" s="68" t="str">
        <f t="shared" si="17"/>
        <v>Q1</v>
      </c>
      <c r="H100" s="84">
        <f t="shared" si="18"/>
        <v>11000</v>
      </c>
      <c r="I100" s="68" t="str">
        <f t="shared" si="16"/>
        <v>Q2</v>
      </c>
      <c r="J100" s="69">
        <f>_xlfn.IFNA(VLOOKUP(I100,PaymentDates[],2,FALSE),"First Payment Pending")</f>
        <v>44742</v>
      </c>
      <c r="K100" s="68" t="str">
        <f>VLOOKUP(C100,EmployeeNames[],2,FALSE)</f>
        <v>Lin</v>
      </c>
      <c r="L100" s="68" t="str">
        <f>CONCATENATE('Deal Data'!$K100,'Deal Data'!$G100)</f>
        <v>LinQ1</v>
      </c>
      <c r="M100" s="84">
        <f>IF(G100=G99,SUMIFS($H$2:H100,$K$2:K100,K99,$G$2:G100,G99),0)</f>
        <v>270955</v>
      </c>
      <c r="N100" s="85">
        <f>VLOOKUP(L100,Base_Rate[[UniqueIdentifier]:[Rate]],2,FALSE)</f>
        <v>0.09</v>
      </c>
      <c r="O100" s="84">
        <f>VLOOKUP(L100,Table3[[UniqueIdentifier]:[Goal]],2,FALSE)</f>
        <v>400000</v>
      </c>
      <c r="P100" s="84">
        <f t="shared" si="13"/>
        <v>600000</v>
      </c>
      <c r="Q100" s="84">
        <f>'Deal Data'!$H100*VLOOKUP('Deal Data'!$L100,Base_Rate[[UniqueIdentifier]:[Rate]],2,FALSE)</f>
        <v>990</v>
      </c>
      <c r="R100" s="84">
        <f t="shared" si="14"/>
        <v>0</v>
      </c>
      <c r="S100" s="84">
        <f>IF(G100=G99,SUMIFS($R$2:R100,$K$2:K100,K99,$G$2:G100,G99),0)</f>
        <v>0</v>
      </c>
      <c r="T100" s="84">
        <f t="shared" si="15"/>
        <v>0</v>
      </c>
      <c r="U100" s="84">
        <f>IF(G100=G99,SUMIFS($T$2:T100,$K$2:K100,K99,$G$2:G100,G99),0)</f>
        <v>0</v>
      </c>
      <c r="V100" s="84">
        <f t="shared" si="10"/>
        <v>990</v>
      </c>
      <c r="W100" s="84" t="str">
        <f>IF(CommissionDetail[[#This Row],[Tier 2 Bonus]]&gt;0,"Yes","No")</f>
        <v>No</v>
      </c>
      <c r="X100" s="84">
        <f>IF(CommissionDetail[[#This Row],[Payment Quarter]]="First Payment Pending",0,CommissionDetail[[#This Row],[Total Commission]])</f>
        <v>990</v>
      </c>
    </row>
    <row r="101" spans="1:24" ht="15.75" customHeight="1" x14ac:dyDescent="0.2">
      <c r="A101" s="68">
        <v>10210</v>
      </c>
      <c r="B101" s="69">
        <v>44648</v>
      </c>
      <c r="C101" s="68" t="s">
        <v>8</v>
      </c>
      <c r="D101" s="68">
        <v>12</v>
      </c>
      <c r="E101" s="84">
        <v>18000</v>
      </c>
      <c r="F101" s="69">
        <v>44653</v>
      </c>
      <c r="G101" s="68" t="str">
        <f t="shared" si="17"/>
        <v>Q1</v>
      </c>
      <c r="H101" s="84">
        <f t="shared" si="18"/>
        <v>18000</v>
      </c>
      <c r="I101" s="68" t="str">
        <f t="shared" ref="I101:I117" si="19">IFERROR("Q"&amp;ROUNDUP(MONTH(F101)/3,0),"First Payment Pending")</f>
        <v>Q2</v>
      </c>
      <c r="J101" s="69">
        <f>_xlfn.IFNA(VLOOKUP(I101,PaymentDates[],2,FALSE),"First Payment Pending")</f>
        <v>44742</v>
      </c>
      <c r="K101" s="68" t="str">
        <f>VLOOKUP(C101,EmployeeNames[],2,FALSE)</f>
        <v>Lin</v>
      </c>
      <c r="L101" s="68" t="str">
        <f>CONCATENATE('Deal Data'!$K101,'Deal Data'!$G101)</f>
        <v>LinQ1</v>
      </c>
      <c r="M101" s="84">
        <f>IF(G101=G100,SUMIFS($H$2:H101,$K$2:K101,K100,$G$2:G101,G100),0)</f>
        <v>288955</v>
      </c>
      <c r="N101" s="85">
        <f>VLOOKUP(L101,Base_Rate[[UniqueIdentifier]:[Rate]],2,FALSE)</f>
        <v>0.09</v>
      </c>
      <c r="O101" s="84">
        <f>VLOOKUP(L101,Table3[[UniqueIdentifier]:[Goal]],2,FALSE)</f>
        <v>400000</v>
      </c>
      <c r="P101" s="84">
        <f t="shared" si="13"/>
        <v>600000</v>
      </c>
      <c r="Q101" s="84">
        <f>'Deal Data'!$H101*VLOOKUP('Deal Data'!$L101,Base_Rate[[UniqueIdentifier]:[Rate]],2,FALSE)</f>
        <v>1620</v>
      </c>
      <c r="R101" s="84">
        <f t="shared" si="14"/>
        <v>0</v>
      </c>
      <c r="S101" s="84">
        <f>IF(G101=G100,SUMIFS($R$2:R101,$K$2:K101,K100,$G$2:G101,G100),0)</f>
        <v>0</v>
      </c>
      <c r="T101" s="84">
        <f t="shared" si="15"/>
        <v>0</v>
      </c>
      <c r="U101" s="84">
        <f>IF(G101=G100,SUMIFS($T$2:T101,$K$2:K101,K100,$G$2:G101,G100),0)</f>
        <v>0</v>
      </c>
      <c r="V101" s="84">
        <f t="shared" si="10"/>
        <v>1620</v>
      </c>
      <c r="W101" s="84" t="str">
        <f>IF(CommissionDetail[[#This Row],[Tier 2 Bonus]]&gt;0,"Yes","No")</f>
        <v>No</v>
      </c>
      <c r="X101" s="84">
        <f>IF(CommissionDetail[[#This Row],[Payment Quarter]]="First Payment Pending",0,CommissionDetail[[#This Row],[Total Commission]])</f>
        <v>1620</v>
      </c>
    </row>
    <row r="102" spans="1:24" ht="15.75" customHeight="1" x14ac:dyDescent="0.2">
      <c r="A102" s="68">
        <v>10205</v>
      </c>
      <c r="B102" s="69">
        <v>44649</v>
      </c>
      <c r="C102" s="68" t="s">
        <v>8</v>
      </c>
      <c r="D102" s="68">
        <v>12</v>
      </c>
      <c r="E102" s="84">
        <v>2400</v>
      </c>
      <c r="F102" s="69">
        <v>44653</v>
      </c>
      <c r="G102" s="68" t="str">
        <f t="shared" si="17"/>
        <v>Q1</v>
      </c>
      <c r="H102" s="84">
        <f t="shared" si="18"/>
        <v>2400</v>
      </c>
      <c r="I102" s="68" t="str">
        <f t="shared" si="19"/>
        <v>Q2</v>
      </c>
      <c r="J102" s="69">
        <f>_xlfn.IFNA(VLOOKUP(I102,PaymentDates[],2,FALSE),"First Payment Pending")</f>
        <v>44742</v>
      </c>
      <c r="K102" s="68" t="str">
        <f>VLOOKUP(C102,EmployeeNames[],2,FALSE)</f>
        <v>Lin</v>
      </c>
      <c r="L102" s="68" t="str">
        <f>CONCATENATE('Deal Data'!$K102,'Deal Data'!$G102)</f>
        <v>LinQ1</v>
      </c>
      <c r="M102" s="84">
        <f>IF(G102=G101,SUMIFS($H$2:H102,$K$2:K102,K101,$G$2:G102,G101),0)</f>
        <v>291355</v>
      </c>
      <c r="N102" s="85">
        <f>VLOOKUP(L102,Base_Rate[[UniqueIdentifier]:[Rate]],2,FALSE)</f>
        <v>0.09</v>
      </c>
      <c r="O102" s="84">
        <f>VLOOKUP(L102,Table3[[UniqueIdentifier]:[Goal]],2,FALSE)</f>
        <v>400000</v>
      </c>
      <c r="P102" s="84">
        <f t="shared" si="13"/>
        <v>600000</v>
      </c>
      <c r="Q102" s="84">
        <f>'Deal Data'!$H102*VLOOKUP('Deal Data'!$L102,Base_Rate[[UniqueIdentifier]:[Rate]],2,FALSE)</f>
        <v>216</v>
      </c>
      <c r="R102" s="84">
        <f t="shared" si="14"/>
        <v>0</v>
      </c>
      <c r="S102" s="84">
        <f>IF(G102=G101,SUMIFS($R$2:R102,$K$2:K102,K101,$G$2:G102,G101),0)</f>
        <v>0</v>
      </c>
      <c r="T102" s="84">
        <f t="shared" si="15"/>
        <v>0</v>
      </c>
      <c r="U102" s="84">
        <f>IF(G102=G101,SUMIFS($T$2:T102,$K$2:K102,K101,$G$2:G102,G101),0)</f>
        <v>0</v>
      </c>
      <c r="V102" s="84">
        <f t="shared" si="10"/>
        <v>216</v>
      </c>
      <c r="W102" s="84" t="str">
        <f>IF(CommissionDetail[[#This Row],[Tier 2 Bonus]]&gt;0,"Yes","No")</f>
        <v>No</v>
      </c>
      <c r="X102" s="84">
        <f>IF(CommissionDetail[[#This Row],[Payment Quarter]]="First Payment Pending",0,CommissionDetail[[#This Row],[Total Commission]])</f>
        <v>216</v>
      </c>
    </row>
    <row r="103" spans="1:24" ht="15.75" customHeight="1" x14ac:dyDescent="0.2">
      <c r="A103" s="68">
        <v>10225</v>
      </c>
      <c r="B103" s="69">
        <v>44649</v>
      </c>
      <c r="C103" s="68" t="s">
        <v>8</v>
      </c>
      <c r="D103" s="68">
        <v>12</v>
      </c>
      <c r="E103" s="84">
        <v>8500</v>
      </c>
      <c r="F103" s="69">
        <v>44718</v>
      </c>
      <c r="G103" s="68" t="str">
        <f t="shared" si="17"/>
        <v>Q1</v>
      </c>
      <c r="H103" s="84">
        <f t="shared" si="18"/>
        <v>8500</v>
      </c>
      <c r="I103" s="68" t="str">
        <f t="shared" si="19"/>
        <v>Q2</v>
      </c>
      <c r="J103" s="69">
        <f>_xlfn.IFNA(VLOOKUP(I103,PaymentDates[],2,FALSE),"First Payment Pending")</f>
        <v>44742</v>
      </c>
      <c r="K103" s="68" t="str">
        <f>VLOOKUP(C103,EmployeeNames[],2,FALSE)</f>
        <v>Lin</v>
      </c>
      <c r="L103" s="68" t="str">
        <f>CONCATENATE('Deal Data'!$K103,'Deal Data'!$G103)</f>
        <v>LinQ1</v>
      </c>
      <c r="M103" s="84">
        <f>IF(G103=G102,SUMIFS($H$2:H103,$K$2:K103,K102,$G$2:G103,G102),0)</f>
        <v>299855</v>
      </c>
      <c r="N103" s="85">
        <f>VLOOKUP(L103,Base_Rate[[UniqueIdentifier]:[Rate]],2,FALSE)</f>
        <v>0.09</v>
      </c>
      <c r="O103" s="84">
        <f>VLOOKUP(L103,Table3[[UniqueIdentifier]:[Goal]],2,FALSE)</f>
        <v>400000</v>
      </c>
      <c r="P103" s="84">
        <f t="shared" si="13"/>
        <v>600000</v>
      </c>
      <c r="Q103" s="84">
        <f>'Deal Data'!$H103*VLOOKUP('Deal Data'!$L103,Base_Rate[[UniqueIdentifier]:[Rate]],2,FALSE)</f>
        <v>765</v>
      </c>
      <c r="R103" s="84">
        <f t="shared" si="14"/>
        <v>0</v>
      </c>
      <c r="S103" s="84">
        <f>IF(G103=G102,SUMIFS($R$2:R103,$K$2:K103,K102,$G$2:G103,G102),0)</f>
        <v>0</v>
      </c>
      <c r="T103" s="84">
        <f t="shared" si="15"/>
        <v>0</v>
      </c>
      <c r="U103" s="84">
        <f>IF(G103=G102,SUMIFS($T$2:T103,$K$2:K103,K102,$G$2:G103,G102),0)</f>
        <v>0</v>
      </c>
      <c r="V103" s="84">
        <f t="shared" si="10"/>
        <v>765</v>
      </c>
      <c r="W103" s="84" t="str">
        <f>IF(CommissionDetail[[#This Row],[Tier 2 Bonus]]&gt;0,"Yes","No")</f>
        <v>No</v>
      </c>
      <c r="X103" s="84">
        <f>IF(CommissionDetail[[#This Row],[Payment Quarter]]="First Payment Pending",0,CommissionDetail[[#This Row],[Total Commission]])</f>
        <v>765</v>
      </c>
    </row>
    <row r="104" spans="1:24" ht="15.75" customHeight="1" x14ac:dyDescent="0.2">
      <c r="A104" s="68">
        <v>10185</v>
      </c>
      <c r="B104" s="69">
        <v>44651</v>
      </c>
      <c r="C104" s="68" t="s">
        <v>8</v>
      </c>
      <c r="D104" s="68">
        <v>12</v>
      </c>
      <c r="E104" s="84">
        <v>15000</v>
      </c>
      <c r="F104" s="69">
        <v>44657</v>
      </c>
      <c r="G104" s="68" t="str">
        <f t="shared" si="17"/>
        <v>Q1</v>
      </c>
      <c r="H104" s="84">
        <f t="shared" si="18"/>
        <v>15000</v>
      </c>
      <c r="I104" s="68" t="str">
        <f t="shared" si="19"/>
        <v>Q2</v>
      </c>
      <c r="J104" s="69">
        <f>_xlfn.IFNA(VLOOKUP(I104,PaymentDates[],2,FALSE),"First Payment Pending")</f>
        <v>44742</v>
      </c>
      <c r="K104" s="68" t="str">
        <f>VLOOKUP(C104,EmployeeNames[],2,FALSE)</f>
        <v>Lin</v>
      </c>
      <c r="L104" s="68" t="str">
        <f>CONCATENATE('Deal Data'!$K104,'Deal Data'!$G104)</f>
        <v>LinQ1</v>
      </c>
      <c r="M104" s="84">
        <f>IF(G104=G103,SUMIFS($H$2:H104,$K$2:K104,K103,$G$2:G104,G103),0)</f>
        <v>314855</v>
      </c>
      <c r="N104" s="85">
        <f>VLOOKUP(L104,Base_Rate[[UniqueIdentifier]:[Rate]],2,FALSE)</f>
        <v>0.09</v>
      </c>
      <c r="O104" s="84">
        <f>VLOOKUP(L104,Table3[[UniqueIdentifier]:[Goal]],2,FALSE)</f>
        <v>400000</v>
      </c>
      <c r="P104" s="84">
        <f t="shared" si="13"/>
        <v>600000</v>
      </c>
      <c r="Q104" s="84">
        <f>'Deal Data'!$H104*VLOOKUP('Deal Data'!$L104,Base_Rate[[UniqueIdentifier]:[Rate]],2,FALSE)</f>
        <v>1350</v>
      </c>
      <c r="R104" s="84">
        <f t="shared" si="14"/>
        <v>0</v>
      </c>
      <c r="S104" s="84">
        <f>IF(G104=G103,SUMIFS($R$2:R104,$K$2:K104,K103,$G$2:G104,G103),0)</f>
        <v>0</v>
      </c>
      <c r="T104" s="84">
        <f t="shared" si="15"/>
        <v>0</v>
      </c>
      <c r="U104" s="84">
        <f>IF(G104=G103,SUMIFS($T$2:T104,$K$2:K104,K103,$G$2:G104,G103),0)</f>
        <v>0</v>
      </c>
      <c r="V104" s="84">
        <f t="shared" si="10"/>
        <v>1350</v>
      </c>
      <c r="W104" s="84" t="str">
        <f>IF(CommissionDetail[[#This Row],[Tier 2 Bonus]]&gt;0,"Yes","No")</f>
        <v>No</v>
      </c>
      <c r="X104" s="84">
        <f>IF(CommissionDetail[[#This Row],[Payment Quarter]]="First Payment Pending",0,CommissionDetail[[#This Row],[Total Commission]])</f>
        <v>1350</v>
      </c>
    </row>
    <row r="105" spans="1:24" ht="15.75" customHeight="1" x14ac:dyDescent="0.2">
      <c r="A105" s="68">
        <v>10190</v>
      </c>
      <c r="B105" s="69">
        <v>44651</v>
      </c>
      <c r="C105" s="68" t="s">
        <v>8</v>
      </c>
      <c r="D105" s="68">
        <v>12</v>
      </c>
      <c r="E105" s="84">
        <v>5000</v>
      </c>
      <c r="F105" s="69">
        <v>44672</v>
      </c>
      <c r="G105" s="68" t="str">
        <f t="shared" si="17"/>
        <v>Q1</v>
      </c>
      <c r="H105" s="84">
        <f t="shared" si="18"/>
        <v>5000</v>
      </c>
      <c r="I105" s="68" t="str">
        <f t="shared" si="19"/>
        <v>Q2</v>
      </c>
      <c r="J105" s="69">
        <f>_xlfn.IFNA(VLOOKUP(I105,PaymentDates[],2,FALSE),"First Payment Pending")</f>
        <v>44742</v>
      </c>
      <c r="K105" s="68" t="str">
        <f>VLOOKUP(C105,EmployeeNames[],2,FALSE)</f>
        <v>Lin</v>
      </c>
      <c r="L105" s="68" t="str">
        <f>CONCATENATE('Deal Data'!$K105,'Deal Data'!$G105)</f>
        <v>LinQ1</v>
      </c>
      <c r="M105" s="84">
        <f>IF(G105=G104,SUMIFS($H$2:H105,$K$2:K105,K104,$G$2:G105,G104),0)</f>
        <v>319855</v>
      </c>
      <c r="N105" s="85">
        <f>VLOOKUP(L105,Base_Rate[[UniqueIdentifier]:[Rate]],2,FALSE)</f>
        <v>0.09</v>
      </c>
      <c r="O105" s="84">
        <f>VLOOKUP(L105,Table3[[UniqueIdentifier]:[Goal]],2,FALSE)</f>
        <v>400000</v>
      </c>
      <c r="P105" s="84">
        <f t="shared" si="13"/>
        <v>600000</v>
      </c>
      <c r="Q105" s="84">
        <f>'Deal Data'!$H105*VLOOKUP('Deal Data'!$L105,Base_Rate[[UniqueIdentifier]:[Rate]],2,FALSE)</f>
        <v>450</v>
      </c>
      <c r="R105" s="84">
        <f t="shared" si="14"/>
        <v>0</v>
      </c>
      <c r="S105" s="84">
        <f>IF(G105=G104,SUMIFS($R$2:R105,$K$2:K105,K104,$G$2:G105,G104),0)</f>
        <v>0</v>
      </c>
      <c r="T105" s="84">
        <f t="shared" si="15"/>
        <v>0</v>
      </c>
      <c r="U105" s="84">
        <f>IF(G105=G104,SUMIFS($T$2:T105,$K$2:K105,K104,$G$2:G105,G104),0)</f>
        <v>0</v>
      </c>
      <c r="V105" s="84">
        <f t="shared" si="10"/>
        <v>450</v>
      </c>
      <c r="W105" s="84" t="str">
        <f>IF(CommissionDetail[[#This Row],[Tier 2 Bonus]]&gt;0,"Yes","No")</f>
        <v>No</v>
      </c>
      <c r="X105" s="84">
        <f>IF(CommissionDetail[[#This Row],[Payment Quarter]]="First Payment Pending",0,CommissionDetail[[#This Row],[Total Commission]])</f>
        <v>450</v>
      </c>
    </row>
    <row r="106" spans="1:24" ht="15.75" customHeight="1" x14ac:dyDescent="0.2">
      <c r="A106" s="68">
        <v>10195</v>
      </c>
      <c r="B106" s="69">
        <v>44651</v>
      </c>
      <c r="C106" s="68" t="s">
        <v>8</v>
      </c>
      <c r="D106" s="68">
        <v>12</v>
      </c>
      <c r="E106" s="84">
        <v>57500</v>
      </c>
      <c r="F106" s="69">
        <v>44661</v>
      </c>
      <c r="G106" s="68" t="str">
        <f t="shared" si="17"/>
        <v>Q1</v>
      </c>
      <c r="H106" s="84">
        <f t="shared" si="18"/>
        <v>57500</v>
      </c>
      <c r="I106" s="68" t="str">
        <f t="shared" si="19"/>
        <v>Q2</v>
      </c>
      <c r="J106" s="69">
        <f>_xlfn.IFNA(VLOOKUP(I106,PaymentDates[],2,FALSE),"First Payment Pending")</f>
        <v>44742</v>
      </c>
      <c r="K106" s="68" t="str">
        <f>VLOOKUP(C106,EmployeeNames[],2,FALSE)</f>
        <v>Lin</v>
      </c>
      <c r="L106" s="68" t="str">
        <f>CONCATENATE('Deal Data'!$K106,'Deal Data'!$G106)</f>
        <v>LinQ1</v>
      </c>
      <c r="M106" s="84">
        <f>IF(G106=G105,SUMIFS($H$2:H106,$K$2:K106,K105,$G$2:G106,G105),0)</f>
        <v>377355</v>
      </c>
      <c r="N106" s="85">
        <f>VLOOKUP(L106,Base_Rate[[UniqueIdentifier]:[Rate]],2,FALSE)</f>
        <v>0.09</v>
      </c>
      <c r="O106" s="84">
        <f>VLOOKUP(L106,Table3[[UniqueIdentifier]:[Goal]],2,FALSE)</f>
        <v>400000</v>
      </c>
      <c r="P106" s="84">
        <f t="shared" si="13"/>
        <v>600000</v>
      </c>
      <c r="Q106" s="84">
        <f>'Deal Data'!$H106*VLOOKUP('Deal Data'!$L106,Base_Rate[[UniqueIdentifier]:[Rate]],2,FALSE)</f>
        <v>5175</v>
      </c>
      <c r="R106" s="84">
        <f t="shared" si="14"/>
        <v>0</v>
      </c>
      <c r="S106" s="84">
        <f>IF(G106=G105,SUMIFS($R$2:R106,$K$2:K106,K105,$G$2:G106,G105),0)</f>
        <v>0</v>
      </c>
      <c r="T106" s="84">
        <f t="shared" si="15"/>
        <v>0</v>
      </c>
      <c r="U106" s="84">
        <f>IF(G106=G105,SUMIFS($T$2:T106,$K$2:K106,K105,$G$2:G106,G105),0)</f>
        <v>0</v>
      </c>
      <c r="V106" s="84">
        <f t="shared" si="10"/>
        <v>5175</v>
      </c>
      <c r="W106" s="84" t="str">
        <f>IF(CommissionDetail[[#This Row],[Tier 2 Bonus]]&gt;0,"Yes","No")</f>
        <v>No</v>
      </c>
      <c r="X106" s="84">
        <f>IF(CommissionDetail[[#This Row],[Payment Quarter]]="First Payment Pending",0,CommissionDetail[[#This Row],[Total Commission]])</f>
        <v>5175</v>
      </c>
    </row>
    <row r="107" spans="1:24" ht="15.75" customHeight="1" x14ac:dyDescent="0.2">
      <c r="A107" s="68">
        <v>10180</v>
      </c>
      <c r="B107" s="69">
        <v>44668</v>
      </c>
      <c r="C107" s="68" t="s">
        <v>8</v>
      </c>
      <c r="D107" s="68">
        <v>12</v>
      </c>
      <c r="E107" s="84">
        <v>26052</v>
      </c>
      <c r="F107" s="69">
        <v>44705</v>
      </c>
      <c r="G107" s="68" t="str">
        <f t="shared" si="17"/>
        <v>Q2</v>
      </c>
      <c r="H107" s="84">
        <f t="shared" si="18"/>
        <v>26052</v>
      </c>
      <c r="I107" s="68" t="str">
        <f t="shared" si="19"/>
        <v>Q2</v>
      </c>
      <c r="J107" s="69">
        <f>_xlfn.IFNA(VLOOKUP(I107,PaymentDates[],2,FALSE),"First Payment Pending")</f>
        <v>44742</v>
      </c>
      <c r="K107" s="68" t="str">
        <f>VLOOKUP(C107,EmployeeNames[],2,FALSE)</f>
        <v>Lin</v>
      </c>
      <c r="L107" s="68" t="str">
        <f>CONCATENATE('Deal Data'!$K107,'Deal Data'!$G107)</f>
        <v>LinQ2</v>
      </c>
      <c r="M107" s="84">
        <f>IF(G107=G106,SUMIFS($H$2:H107,$K$2:K107,K106,$G$2:G107,G106),0)</f>
        <v>0</v>
      </c>
      <c r="N107" s="85">
        <f>VLOOKUP(L107,Base_Rate[[UniqueIdentifier]:[Rate]],2,FALSE)</f>
        <v>0.08</v>
      </c>
      <c r="O107" s="84">
        <f>VLOOKUP(L107,Table3[[UniqueIdentifier]:[Goal]],2,FALSE)</f>
        <v>450000</v>
      </c>
      <c r="P107" s="84">
        <f t="shared" si="13"/>
        <v>675000</v>
      </c>
      <c r="Q107" s="84">
        <f>'Deal Data'!$H107*VLOOKUP('Deal Data'!$L107,Base_Rate[[UniqueIdentifier]:[Rate]],2,FALSE)</f>
        <v>2084.16</v>
      </c>
      <c r="R107" s="84">
        <f t="shared" si="14"/>
        <v>0</v>
      </c>
      <c r="S107" s="84">
        <f>IF(G107=G106,SUMIFS($R$2:R107,$K$2:K107,K106,$G$2:G107,G106),0)</f>
        <v>0</v>
      </c>
      <c r="T107" s="84">
        <f t="shared" si="15"/>
        <v>0</v>
      </c>
      <c r="U107" s="84">
        <f>IF(G107=G106,SUMIFS($T$2:T107,$K$2:K107,K106,$G$2:G107,G106),0)</f>
        <v>0</v>
      </c>
      <c r="V107" s="84">
        <f t="shared" si="10"/>
        <v>2084.16</v>
      </c>
      <c r="W107" s="84" t="str">
        <f>IF(CommissionDetail[[#This Row],[Tier 2 Bonus]]&gt;0,"Yes","No")</f>
        <v>No</v>
      </c>
      <c r="X107" s="84">
        <f>IF(CommissionDetail[[#This Row],[Payment Quarter]]="First Payment Pending",0,CommissionDetail[[#This Row],[Total Commission]])</f>
        <v>2084.16</v>
      </c>
    </row>
    <row r="108" spans="1:24" ht="15.75" customHeight="1" x14ac:dyDescent="0.2">
      <c r="A108" s="68">
        <v>10295</v>
      </c>
      <c r="B108" s="69">
        <v>44679</v>
      </c>
      <c r="C108" s="68" t="s">
        <v>8</v>
      </c>
      <c r="D108" s="68">
        <v>12</v>
      </c>
      <c r="E108" s="84">
        <v>15400</v>
      </c>
      <c r="F108" s="69">
        <v>44715</v>
      </c>
      <c r="G108" s="68" t="str">
        <f t="shared" si="17"/>
        <v>Q2</v>
      </c>
      <c r="H108" s="84">
        <f t="shared" si="18"/>
        <v>15400</v>
      </c>
      <c r="I108" s="68" t="str">
        <f t="shared" si="19"/>
        <v>Q2</v>
      </c>
      <c r="J108" s="69">
        <f>_xlfn.IFNA(VLOOKUP(I108,PaymentDates[],2,FALSE),"First Payment Pending")</f>
        <v>44742</v>
      </c>
      <c r="K108" s="68" t="str">
        <f>VLOOKUP(C108,EmployeeNames[],2,FALSE)</f>
        <v>Lin</v>
      </c>
      <c r="L108" s="68" t="str">
        <f>CONCATENATE('Deal Data'!$K108,'Deal Data'!$G108)</f>
        <v>LinQ2</v>
      </c>
      <c r="M108" s="84">
        <f>IF(G108=G107,SUMIFS($H$2:H108,$K$2:K108,K107,$G$2:G108,G107),0)</f>
        <v>41452</v>
      </c>
      <c r="N108" s="85">
        <f>VLOOKUP(L108,Base_Rate[[UniqueIdentifier]:[Rate]],2,FALSE)</f>
        <v>0.08</v>
      </c>
      <c r="O108" s="84">
        <f>VLOOKUP(L108,Table3[[UniqueIdentifier]:[Goal]],2,FALSE)</f>
        <v>450000</v>
      </c>
      <c r="P108" s="84">
        <f t="shared" si="13"/>
        <v>675000</v>
      </c>
      <c r="Q108" s="84">
        <f>'Deal Data'!$H108*VLOOKUP('Deal Data'!$L108,Base_Rate[[UniqueIdentifier]:[Rate]],2,FALSE)</f>
        <v>1232</v>
      </c>
      <c r="R108" s="84">
        <f t="shared" si="14"/>
        <v>0</v>
      </c>
      <c r="S108" s="84">
        <f>IF(G108=G107,SUMIFS($R$2:R108,$K$2:K108,K107,$G$2:G108,G107),0)</f>
        <v>0</v>
      </c>
      <c r="T108" s="84">
        <f t="shared" si="15"/>
        <v>0</v>
      </c>
      <c r="U108" s="84">
        <f>IF(G108=G107,SUMIFS($T$2:T108,$K$2:K108,K107,$G$2:G108,G107),0)</f>
        <v>0</v>
      </c>
      <c r="V108" s="84">
        <f t="shared" si="10"/>
        <v>1232</v>
      </c>
      <c r="W108" s="84" t="str">
        <f>IF(CommissionDetail[[#This Row],[Tier 2 Bonus]]&gt;0,"Yes","No")</f>
        <v>No</v>
      </c>
      <c r="X108" s="84">
        <f>IF(CommissionDetail[[#This Row],[Payment Quarter]]="First Payment Pending",0,CommissionDetail[[#This Row],[Total Commission]])</f>
        <v>1232</v>
      </c>
    </row>
    <row r="109" spans="1:24" ht="15.75" customHeight="1" x14ac:dyDescent="0.2">
      <c r="A109" s="68">
        <v>10010</v>
      </c>
      <c r="B109" s="69">
        <v>44681</v>
      </c>
      <c r="C109" s="68" t="s">
        <v>8</v>
      </c>
      <c r="D109" s="68">
        <v>36</v>
      </c>
      <c r="E109" s="84">
        <v>28500</v>
      </c>
      <c r="F109" s="69">
        <v>44723</v>
      </c>
      <c r="G109" s="68" t="str">
        <f t="shared" si="17"/>
        <v>Q2</v>
      </c>
      <c r="H109" s="84">
        <f t="shared" si="18"/>
        <v>9500</v>
      </c>
      <c r="I109" s="68" t="str">
        <f t="shared" si="19"/>
        <v>Q2</v>
      </c>
      <c r="J109" s="69">
        <f>_xlfn.IFNA(VLOOKUP(I109,PaymentDates[],2,FALSE),"First Payment Pending")</f>
        <v>44742</v>
      </c>
      <c r="K109" s="68" t="str">
        <f>VLOOKUP(C109,EmployeeNames[],2,FALSE)</f>
        <v>Lin</v>
      </c>
      <c r="L109" s="68" t="str">
        <f>CONCATENATE('Deal Data'!$K109,'Deal Data'!$G109)</f>
        <v>LinQ2</v>
      </c>
      <c r="M109" s="84">
        <f>IF(G109=G108,SUMIFS($H$2:H109,$K$2:K109,K108,$G$2:G109,G108),0)</f>
        <v>50952</v>
      </c>
      <c r="N109" s="85">
        <f>VLOOKUP(L109,Base_Rate[[UniqueIdentifier]:[Rate]],2,FALSE)</f>
        <v>0.08</v>
      </c>
      <c r="O109" s="84">
        <f>VLOOKUP(L109,Table3[[UniqueIdentifier]:[Goal]],2,FALSE)</f>
        <v>450000</v>
      </c>
      <c r="P109" s="84">
        <f t="shared" si="13"/>
        <v>675000</v>
      </c>
      <c r="Q109" s="84">
        <f>'Deal Data'!$H109*VLOOKUP('Deal Data'!$L109,Base_Rate[[UniqueIdentifier]:[Rate]],2,FALSE)</f>
        <v>760</v>
      </c>
      <c r="R109" s="84">
        <f t="shared" si="14"/>
        <v>0</v>
      </c>
      <c r="S109" s="84">
        <f>IF(G109=G108,SUMIFS($R$2:R109,$K$2:K109,K108,$G$2:G109,G108),0)</f>
        <v>0</v>
      </c>
      <c r="T109" s="84">
        <f t="shared" si="15"/>
        <v>0</v>
      </c>
      <c r="U109" s="84">
        <f>IF(G109=G108,SUMIFS($T$2:T109,$K$2:K109,K108,$G$2:G109,G108),0)</f>
        <v>0</v>
      </c>
      <c r="V109" s="84">
        <f t="shared" si="10"/>
        <v>760</v>
      </c>
      <c r="W109" s="84" t="str">
        <f>IF(CommissionDetail[[#This Row],[Tier 2 Bonus]]&gt;0,"Yes","No")</f>
        <v>No</v>
      </c>
      <c r="X109" s="84">
        <f>IF(CommissionDetail[[#This Row],[Payment Quarter]]="First Payment Pending",0,CommissionDetail[[#This Row],[Total Commission]])</f>
        <v>760</v>
      </c>
    </row>
    <row r="110" spans="1:24" ht="15.75" customHeight="1" x14ac:dyDescent="0.2">
      <c r="A110" s="68">
        <v>10015</v>
      </c>
      <c r="B110" s="69">
        <v>44681</v>
      </c>
      <c r="C110" s="68" t="s">
        <v>8</v>
      </c>
      <c r="D110" s="68">
        <v>12</v>
      </c>
      <c r="E110" s="84">
        <v>72000</v>
      </c>
      <c r="F110" s="69">
        <v>44701</v>
      </c>
      <c r="G110" s="68" t="str">
        <f t="shared" si="17"/>
        <v>Q2</v>
      </c>
      <c r="H110" s="84">
        <f t="shared" si="18"/>
        <v>72000</v>
      </c>
      <c r="I110" s="68" t="str">
        <f t="shared" si="19"/>
        <v>Q2</v>
      </c>
      <c r="J110" s="69">
        <f>_xlfn.IFNA(VLOOKUP(I110,PaymentDates[],2,FALSE),"First Payment Pending")</f>
        <v>44742</v>
      </c>
      <c r="K110" s="68" t="str">
        <f>VLOOKUP(C110,EmployeeNames[],2,FALSE)</f>
        <v>Lin</v>
      </c>
      <c r="L110" s="68" t="str">
        <f>CONCATENATE('Deal Data'!$K110,'Deal Data'!$G110)</f>
        <v>LinQ2</v>
      </c>
      <c r="M110" s="84">
        <f>IF(G110=G109,SUMIFS($H$2:H110,$K$2:K110,K109,$G$2:G110,G109),0)</f>
        <v>122952</v>
      </c>
      <c r="N110" s="85">
        <f>VLOOKUP(L110,Base_Rate[[UniqueIdentifier]:[Rate]],2,FALSE)</f>
        <v>0.08</v>
      </c>
      <c r="O110" s="84">
        <f>VLOOKUP(L110,Table3[[UniqueIdentifier]:[Goal]],2,FALSE)</f>
        <v>450000</v>
      </c>
      <c r="P110" s="84">
        <f t="shared" si="13"/>
        <v>675000</v>
      </c>
      <c r="Q110" s="84">
        <f>'Deal Data'!$H110*VLOOKUP('Deal Data'!$L110,Base_Rate[[UniqueIdentifier]:[Rate]],2,FALSE)</f>
        <v>5760</v>
      </c>
      <c r="R110" s="84">
        <f t="shared" si="14"/>
        <v>0</v>
      </c>
      <c r="S110" s="84">
        <f>IF(G110=G109,SUMIFS($R$2:R110,$K$2:K110,K109,$G$2:G110,G109),0)</f>
        <v>0</v>
      </c>
      <c r="T110" s="84">
        <f t="shared" si="15"/>
        <v>0</v>
      </c>
      <c r="U110" s="84">
        <f>IF(G110=G109,SUMIFS($T$2:T110,$K$2:K110,K109,$G$2:G110,G109),0)</f>
        <v>0</v>
      </c>
      <c r="V110" s="84">
        <f t="shared" si="10"/>
        <v>5760</v>
      </c>
      <c r="W110" s="84" t="str">
        <f>IF(CommissionDetail[[#This Row],[Tier 2 Bonus]]&gt;0,"Yes","No")</f>
        <v>No</v>
      </c>
      <c r="X110" s="84">
        <f>IF(CommissionDetail[[#This Row],[Payment Quarter]]="First Payment Pending",0,CommissionDetail[[#This Row],[Total Commission]])</f>
        <v>5760</v>
      </c>
    </row>
    <row r="111" spans="1:24" ht="15.75" customHeight="1" x14ac:dyDescent="0.2">
      <c r="A111" s="68">
        <v>10005</v>
      </c>
      <c r="B111" s="69">
        <v>44684</v>
      </c>
      <c r="C111" s="68" t="s">
        <v>8</v>
      </c>
      <c r="D111" s="68">
        <v>12</v>
      </c>
      <c r="E111" s="84">
        <v>24000</v>
      </c>
      <c r="F111" s="69">
        <v>44692</v>
      </c>
      <c r="G111" s="68" t="str">
        <f t="shared" si="17"/>
        <v>Q2</v>
      </c>
      <c r="H111" s="84">
        <f t="shared" si="18"/>
        <v>24000</v>
      </c>
      <c r="I111" s="68" t="str">
        <f t="shared" si="19"/>
        <v>Q2</v>
      </c>
      <c r="J111" s="69">
        <f>_xlfn.IFNA(VLOOKUP(I111,PaymentDates[],2,FALSE),"First Payment Pending")</f>
        <v>44742</v>
      </c>
      <c r="K111" s="68" t="str">
        <f>VLOOKUP(C111,EmployeeNames[],2,FALSE)</f>
        <v>Lin</v>
      </c>
      <c r="L111" s="68" t="str">
        <f>CONCATENATE('Deal Data'!$K111,'Deal Data'!$G111)</f>
        <v>LinQ2</v>
      </c>
      <c r="M111" s="84">
        <f>IF(G111=G110,SUMIFS($H$2:H111,$K$2:K111,K110,$G$2:G111,G110),0)</f>
        <v>146952</v>
      </c>
      <c r="N111" s="85">
        <f>VLOOKUP(L111,Base_Rate[[UniqueIdentifier]:[Rate]],2,FALSE)</f>
        <v>0.08</v>
      </c>
      <c r="O111" s="84">
        <f>VLOOKUP(L111,Table3[[UniqueIdentifier]:[Goal]],2,FALSE)</f>
        <v>450000</v>
      </c>
      <c r="P111" s="84">
        <f t="shared" si="13"/>
        <v>675000</v>
      </c>
      <c r="Q111" s="84">
        <f>'Deal Data'!$H111*VLOOKUP('Deal Data'!$L111,Base_Rate[[UniqueIdentifier]:[Rate]],2,FALSE)</f>
        <v>1920</v>
      </c>
      <c r="R111" s="84">
        <f t="shared" si="14"/>
        <v>0</v>
      </c>
      <c r="S111" s="84">
        <f>IF(G111=G110,SUMIFS($R$2:R111,$K$2:K111,K110,$G$2:G111,G110),0)</f>
        <v>0</v>
      </c>
      <c r="T111" s="84">
        <f t="shared" si="15"/>
        <v>0</v>
      </c>
      <c r="U111" s="84">
        <f>IF(G111=G110,SUMIFS($T$2:T111,$K$2:K111,K110,$G$2:G111,G110),0)</f>
        <v>0</v>
      </c>
      <c r="V111" s="84">
        <f t="shared" si="10"/>
        <v>1920</v>
      </c>
      <c r="W111" s="84" t="str">
        <f>IF(CommissionDetail[[#This Row],[Tier 2 Bonus]]&gt;0,"Yes","No")</f>
        <v>No</v>
      </c>
      <c r="X111" s="84">
        <f>IF(CommissionDetail[[#This Row],[Payment Quarter]]="First Payment Pending",0,CommissionDetail[[#This Row],[Total Commission]])</f>
        <v>1920</v>
      </c>
    </row>
    <row r="112" spans="1:24" ht="15.75" customHeight="1" x14ac:dyDescent="0.2">
      <c r="A112" s="68">
        <v>10300</v>
      </c>
      <c r="B112" s="69">
        <v>44684</v>
      </c>
      <c r="C112" s="68" t="s">
        <v>8</v>
      </c>
      <c r="D112" s="68">
        <v>30</v>
      </c>
      <c r="E112" s="84">
        <v>15000</v>
      </c>
      <c r="F112" s="69">
        <v>44688</v>
      </c>
      <c r="G112" s="68" t="str">
        <f t="shared" si="17"/>
        <v>Q2</v>
      </c>
      <c r="H112" s="84">
        <f t="shared" si="18"/>
        <v>6000</v>
      </c>
      <c r="I112" s="68" t="str">
        <f t="shared" si="19"/>
        <v>Q2</v>
      </c>
      <c r="J112" s="69">
        <f>_xlfn.IFNA(VLOOKUP(I112,PaymentDates[],2,FALSE),"First Payment Pending")</f>
        <v>44742</v>
      </c>
      <c r="K112" s="68" t="str">
        <f>VLOOKUP(C112,EmployeeNames[],2,FALSE)</f>
        <v>Lin</v>
      </c>
      <c r="L112" s="68" t="str">
        <f>CONCATENATE('Deal Data'!$K112,'Deal Data'!$G112)</f>
        <v>LinQ2</v>
      </c>
      <c r="M112" s="84">
        <f>IF(G112=G111,SUMIFS($H$2:H112,$K$2:K112,K111,$G$2:G112,G111),0)</f>
        <v>152952</v>
      </c>
      <c r="N112" s="85">
        <f>VLOOKUP(L112,Base_Rate[[UniqueIdentifier]:[Rate]],2,FALSE)</f>
        <v>0.08</v>
      </c>
      <c r="O112" s="84">
        <f>VLOOKUP(L112,Table3[[UniqueIdentifier]:[Goal]],2,FALSE)</f>
        <v>450000</v>
      </c>
      <c r="P112" s="84">
        <f t="shared" si="13"/>
        <v>675000</v>
      </c>
      <c r="Q112" s="84">
        <f>'Deal Data'!$H112*VLOOKUP('Deal Data'!$L112,Base_Rate[[UniqueIdentifier]:[Rate]],2,FALSE)</f>
        <v>480</v>
      </c>
      <c r="R112" s="84">
        <f t="shared" si="14"/>
        <v>0</v>
      </c>
      <c r="S112" s="84">
        <f>IF(G112=G111,SUMIFS($R$2:R112,$K$2:K112,K111,$G$2:G112,G111),0)</f>
        <v>0</v>
      </c>
      <c r="T112" s="84">
        <f t="shared" si="15"/>
        <v>0</v>
      </c>
      <c r="U112" s="84">
        <f>IF(G112=G111,SUMIFS($T$2:T112,$K$2:K112,K111,$G$2:G112,G111),0)</f>
        <v>0</v>
      </c>
      <c r="V112" s="84">
        <f t="shared" si="10"/>
        <v>480</v>
      </c>
      <c r="W112" s="84" t="str">
        <f>IF(CommissionDetail[[#This Row],[Tier 2 Bonus]]&gt;0,"Yes","No")</f>
        <v>No</v>
      </c>
      <c r="X112" s="84">
        <f>IF(CommissionDetail[[#This Row],[Payment Quarter]]="First Payment Pending",0,CommissionDetail[[#This Row],[Total Commission]])</f>
        <v>480</v>
      </c>
    </row>
    <row r="113" spans="1:24" ht="15.75" customHeight="1" x14ac:dyDescent="0.2">
      <c r="A113" s="68">
        <v>10235</v>
      </c>
      <c r="B113" s="69">
        <v>44707</v>
      </c>
      <c r="C113" s="68" t="s">
        <v>8</v>
      </c>
      <c r="D113" s="68">
        <v>20</v>
      </c>
      <c r="E113" s="84">
        <v>7200</v>
      </c>
      <c r="F113" s="69">
        <v>44704</v>
      </c>
      <c r="G113" s="68" t="str">
        <f t="shared" si="17"/>
        <v>Q2</v>
      </c>
      <c r="H113" s="84">
        <f t="shared" si="18"/>
        <v>4320</v>
      </c>
      <c r="I113" s="68" t="str">
        <f t="shared" si="19"/>
        <v>Q2</v>
      </c>
      <c r="J113" s="69">
        <f>_xlfn.IFNA(VLOOKUP(I113,PaymentDates[],2,FALSE),"First Payment Pending")</f>
        <v>44742</v>
      </c>
      <c r="K113" s="68" t="str">
        <f>VLOOKUP(C113,EmployeeNames[],2,FALSE)</f>
        <v>Lin</v>
      </c>
      <c r="L113" s="68" t="str">
        <f>CONCATENATE('Deal Data'!$K113,'Deal Data'!$G113)</f>
        <v>LinQ2</v>
      </c>
      <c r="M113" s="84">
        <f>IF(G113=G112,SUMIFS($H$2:H113,$K$2:K113,K112,$G$2:G113,G112),0)</f>
        <v>157272</v>
      </c>
      <c r="N113" s="85">
        <f>VLOOKUP(L113,Base_Rate[[UniqueIdentifier]:[Rate]],2,FALSE)</f>
        <v>0.08</v>
      </c>
      <c r="O113" s="84">
        <f>VLOOKUP(L113,Table3[[UniqueIdentifier]:[Goal]],2,FALSE)</f>
        <v>450000</v>
      </c>
      <c r="P113" s="84">
        <f t="shared" si="13"/>
        <v>675000</v>
      </c>
      <c r="Q113" s="84">
        <f>'Deal Data'!$H113*VLOOKUP('Deal Data'!$L113,Base_Rate[[UniqueIdentifier]:[Rate]],2,FALSE)</f>
        <v>345.6</v>
      </c>
      <c r="R113" s="84">
        <f t="shared" si="14"/>
        <v>0</v>
      </c>
      <c r="S113" s="84">
        <f>IF(G113=G112,SUMIFS($R$2:R113,$K$2:K113,K112,$G$2:G113,G112),0)</f>
        <v>0</v>
      </c>
      <c r="T113" s="84">
        <f t="shared" si="15"/>
        <v>0</v>
      </c>
      <c r="U113" s="84">
        <f>IF(G113=G112,SUMIFS($T$2:T113,$K$2:K113,K112,$G$2:G113,G112),0)</f>
        <v>0</v>
      </c>
      <c r="V113" s="84">
        <f t="shared" si="10"/>
        <v>345.6</v>
      </c>
      <c r="W113" s="84" t="str">
        <f>IF(CommissionDetail[[#This Row],[Tier 2 Bonus]]&gt;0,"Yes","No")</f>
        <v>No</v>
      </c>
      <c r="X113" s="84">
        <f>IF(CommissionDetail[[#This Row],[Payment Quarter]]="First Payment Pending",0,CommissionDetail[[#This Row],[Total Commission]])</f>
        <v>345.6</v>
      </c>
    </row>
    <row r="114" spans="1:24" ht="15.75" customHeight="1" x14ac:dyDescent="0.2">
      <c r="A114" s="68">
        <v>10200</v>
      </c>
      <c r="B114" s="69">
        <v>44714</v>
      </c>
      <c r="C114" s="68" t="s">
        <v>8</v>
      </c>
      <c r="D114" s="68">
        <v>12</v>
      </c>
      <c r="E114" s="84">
        <v>200000</v>
      </c>
      <c r="F114" s="69">
        <v>44734</v>
      </c>
      <c r="G114" s="68" t="str">
        <f t="shared" si="17"/>
        <v>Q2</v>
      </c>
      <c r="H114" s="84">
        <f t="shared" si="18"/>
        <v>200000</v>
      </c>
      <c r="I114" s="68" t="str">
        <f t="shared" si="19"/>
        <v>Q2</v>
      </c>
      <c r="J114" s="69">
        <f>_xlfn.IFNA(VLOOKUP(I114,PaymentDates[],2,FALSE),"First Payment Pending")</f>
        <v>44742</v>
      </c>
      <c r="K114" s="68" t="str">
        <f>VLOOKUP(C114,EmployeeNames[],2,FALSE)</f>
        <v>Lin</v>
      </c>
      <c r="L114" s="68" t="str">
        <f>CONCATENATE('Deal Data'!$K114,'Deal Data'!$G114)</f>
        <v>LinQ2</v>
      </c>
      <c r="M114" s="84">
        <f>IF(G114=G113,SUMIFS($H$2:H114,$K$2:K114,K113,$G$2:G114,G113),0)</f>
        <v>357272</v>
      </c>
      <c r="N114" s="85">
        <f>VLOOKUP(L114,Base_Rate[[UniqueIdentifier]:[Rate]],2,FALSE)</f>
        <v>0.08</v>
      </c>
      <c r="O114" s="84">
        <f>VLOOKUP(L114,Table3[[UniqueIdentifier]:[Goal]],2,FALSE)</f>
        <v>450000</v>
      </c>
      <c r="P114" s="84">
        <f t="shared" si="13"/>
        <v>675000</v>
      </c>
      <c r="Q114" s="84">
        <f>'Deal Data'!$H114*VLOOKUP('Deal Data'!$L114,Base_Rate[[UniqueIdentifier]:[Rate]],2,FALSE)</f>
        <v>16000</v>
      </c>
      <c r="R114" s="84">
        <f t="shared" si="14"/>
        <v>0</v>
      </c>
      <c r="S114" s="84">
        <f>IF(G114=G113,SUMIFS($R$2:R114,$K$2:K114,K113,$G$2:G114,G113),0)</f>
        <v>0</v>
      </c>
      <c r="T114" s="84">
        <f t="shared" si="15"/>
        <v>0</v>
      </c>
      <c r="U114" s="84">
        <f>IF(G114=G113,SUMIFS($T$2:T114,$K$2:K114,K113,$G$2:G114,G113),0)</f>
        <v>0</v>
      </c>
      <c r="V114" s="84">
        <f t="shared" si="10"/>
        <v>16000</v>
      </c>
      <c r="W114" s="84" t="str">
        <f>IF(CommissionDetail[[#This Row],[Tier 2 Bonus]]&gt;0,"Yes","No")</f>
        <v>No</v>
      </c>
      <c r="X114" s="84">
        <f>IF(CommissionDetail[[#This Row],[Payment Quarter]]="First Payment Pending",0,CommissionDetail[[#This Row],[Total Commission]])</f>
        <v>16000</v>
      </c>
    </row>
    <row r="115" spans="1:24" ht="15.75" customHeight="1" x14ac:dyDescent="0.2">
      <c r="A115" s="68">
        <v>10310</v>
      </c>
      <c r="B115" s="69">
        <v>44740</v>
      </c>
      <c r="C115" s="68" t="s">
        <v>8</v>
      </c>
      <c r="D115" s="68">
        <v>12</v>
      </c>
      <c r="E115" s="84">
        <v>90000</v>
      </c>
      <c r="F115" s="69" t="s">
        <v>10</v>
      </c>
      <c r="G115" s="68" t="str">
        <f t="shared" si="17"/>
        <v>Q2</v>
      </c>
      <c r="H115" s="84">
        <f t="shared" si="18"/>
        <v>90000</v>
      </c>
      <c r="I115" s="68" t="str">
        <f t="shared" si="19"/>
        <v>First Payment Pending</v>
      </c>
      <c r="J115" s="69" t="str">
        <f>_xlfn.IFNA(VLOOKUP(I115,PaymentDates[],2,FALSE),"First Payment Pending")</f>
        <v>First Payment Pending</v>
      </c>
      <c r="K115" s="68" t="str">
        <f>VLOOKUP(C115,EmployeeNames[],2,FALSE)</f>
        <v>Lin</v>
      </c>
      <c r="L115" s="68" t="str">
        <f>CONCATENATE('Deal Data'!$K115,'Deal Data'!$G115)</f>
        <v>LinQ2</v>
      </c>
      <c r="M115" s="84">
        <f>IF(G115=G114,SUMIFS($H$2:H115,$K$2:K115,K114,$G$2:G115,G114),0)</f>
        <v>447272</v>
      </c>
      <c r="N115" s="85">
        <f>VLOOKUP(L115,Base_Rate[[UniqueIdentifier]:[Rate]],2,FALSE)</f>
        <v>0.08</v>
      </c>
      <c r="O115" s="84">
        <f>VLOOKUP(L115,Table3[[UniqueIdentifier]:[Goal]],2,FALSE)</f>
        <v>450000</v>
      </c>
      <c r="P115" s="84">
        <f t="shared" si="13"/>
        <v>675000</v>
      </c>
      <c r="Q115" s="84">
        <f>'Deal Data'!$H115*VLOOKUP('Deal Data'!$L115,Base_Rate[[UniqueIdentifier]:[Rate]],2,FALSE)</f>
        <v>7200</v>
      </c>
      <c r="R115" s="84">
        <f t="shared" si="14"/>
        <v>0</v>
      </c>
      <c r="S115" s="84">
        <f>IF(G115=G114,SUMIFS($R$2:R115,$K$2:K115,K114,$G$2:G115,G114),0)</f>
        <v>0</v>
      </c>
      <c r="T115" s="84">
        <f t="shared" si="15"/>
        <v>0</v>
      </c>
      <c r="U115" s="84">
        <f>IF(G115=G114,SUMIFS($T$2:T115,$K$2:K115,K114,$G$2:G115,G114),0)</f>
        <v>0</v>
      </c>
      <c r="V115" s="84">
        <f t="shared" si="10"/>
        <v>7200</v>
      </c>
      <c r="W115" s="84" t="str">
        <f>IF(CommissionDetail[[#This Row],[Tier 2 Bonus]]&gt;0,"Yes","No")</f>
        <v>No</v>
      </c>
      <c r="X115" s="84">
        <f>IF(CommissionDetail[[#This Row],[Payment Quarter]]="First Payment Pending",0,CommissionDetail[[#This Row],[Total Commission]])</f>
        <v>0</v>
      </c>
    </row>
    <row r="116" spans="1:24" ht="15.75" customHeight="1" x14ac:dyDescent="0.2">
      <c r="A116" s="68">
        <v>10305</v>
      </c>
      <c r="B116" s="69">
        <v>44742</v>
      </c>
      <c r="C116" s="68" t="s">
        <v>8</v>
      </c>
      <c r="D116" s="68">
        <v>12</v>
      </c>
      <c r="E116" s="84">
        <v>15600</v>
      </c>
      <c r="F116" s="69" t="s">
        <v>10</v>
      </c>
      <c r="G116" s="68" t="str">
        <f t="shared" si="17"/>
        <v>Q2</v>
      </c>
      <c r="H116" s="84">
        <f t="shared" si="18"/>
        <v>15600</v>
      </c>
      <c r="I116" s="68" t="str">
        <f t="shared" si="19"/>
        <v>First Payment Pending</v>
      </c>
      <c r="J116" s="69" t="str">
        <f>_xlfn.IFNA(VLOOKUP(I116,PaymentDates[],2,FALSE),"First Payment Pending")</f>
        <v>First Payment Pending</v>
      </c>
      <c r="K116" s="68" t="str">
        <f>VLOOKUP(C116,EmployeeNames[],2,FALSE)</f>
        <v>Lin</v>
      </c>
      <c r="L116" s="68" t="str">
        <f>CONCATENATE('Deal Data'!$K116,'Deal Data'!$G116)</f>
        <v>LinQ2</v>
      </c>
      <c r="M116" s="84">
        <f>IF(G116=G115,SUMIFS($H$2:H116,$K$2:K116,K115,$G$2:G116,G115),0)</f>
        <v>462872</v>
      </c>
      <c r="N116" s="85">
        <f>VLOOKUP(L116,Base_Rate[[UniqueIdentifier]:[Rate]],2,FALSE)</f>
        <v>0.08</v>
      </c>
      <c r="O116" s="84">
        <f>VLOOKUP(L116,Table3[[UniqueIdentifier]:[Goal]],2,FALSE)</f>
        <v>450000</v>
      </c>
      <c r="P116" s="84">
        <f t="shared" si="13"/>
        <v>675000</v>
      </c>
      <c r="Q116" s="84">
        <f>'Deal Data'!$H116*VLOOKUP('Deal Data'!$L116,Base_Rate[[UniqueIdentifier]:[Rate]],2,FALSE)</f>
        <v>1248</v>
      </c>
      <c r="R116" s="84">
        <f t="shared" si="14"/>
        <v>514.88</v>
      </c>
      <c r="S116" s="84">
        <f>IF(G116=G115,SUMIFS($R$2:R116,$K$2:K116,K115,$G$2:G116,G115),0)</f>
        <v>514.88</v>
      </c>
      <c r="T116" s="84">
        <f t="shared" si="15"/>
        <v>0</v>
      </c>
      <c r="U116" s="84">
        <f>IF(G116=G115,SUMIFS($T$2:T116,$K$2:K116,K115,$G$2:G116,G115),0)</f>
        <v>0</v>
      </c>
      <c r="V116" s="84">
        <f t="shared" si="10"/>
        <v>1762.88</v>
      </c>
      <c r="W116" s="84" t="str">
        <f>IF(CommissionDetail[[#This Row],[Tier 2 Bonus]]&gt;0,"Yes","No")</f>
        <v>Yes</v>
      </c>
      <c r="X116" s="84">
        <f>IF(CommissionDetail[[#This Row],[Payment Quarter]]="First Payment Pending",0,CommissionDetail[[#This Row],[Total Commission]])</f>
        <v>0</v>
      </c>
    </row>
    <row r="117" spans="1:24" ht="15.75" customHeight="1" x14ac:dyDescent="0.2">
      <c r="A117" s="68">
        <v>10315</v>
      </c>
      <c r="B117" s="69">
        <v>44742</v>
      </c>
      <c r="C117" s="68" t="s">
        <v>8</v>
      </c>
      <c r="D117" s="68">
        <v>12</v>
      </c>
      <c r="E117" s="84">
        <v>34000</v>
      </c>
      <c r="F117" s="69" t="s">
        <v>10</v>
      </c>
      <c r="G117" s="68" t="str">
        <f t="shared" si="17"/>
        <v>Q2</v>
      </c>
      <c r="H117" s="84">
        <f t="shared" si="18"/>
        <v>34000</v>
      </c>
      <c r="I117" s="68" t="str">
        <f t="shared" si="19"/>
        <v>First Payment Pending</v>
      </c>
      <c r="J117" s="69" t="str">
        <f>_xlfn.IFNA(VLOOKUP(I117,PaymentDates[],2,FALSE),"First Payment Pending")</f>
        <v>First Payment Pending</v>
      </c>
      <c r="K117" s="68" t="str">
        <f>VLOOKUP(C117,EmployeeNames[],2,FALSE)</f>
        <v>Lin</v>
      </c>
      <c r="L117" s="68" t="str">
        <f>CONCATENATE('Deal Data'!$K117,'Deal Data'!$G117)</f>
        <v>LinQ2</v>
      </c>
      <c r="M117" s="84">
        <f>IF(G117=G116,SUMIFS($H$2:H117,$K$2:K117,K116,$G$2:G117,G116),0)</f>
        <v>496872</v>
      </c>
      <c r="N117" s="85">
        <f>VLOOKUP(L117,Base_Rate[[UniqueIdentifier]:[Rate]],2,FALSE)</f>
        <v>0.08</v>
      </c>
      <c r="O117" s="84">
        <f>VLOOKUP(L117,Table3[[UniqueIdentifier]:[Goal]],2,FALSE)</f>
        <v>450000</v>
      </c>
      <c r="P117" s="84">
        <f t="shared" si="13"/>
        <v>675000</v>
      </c>
      <c r="Q117" s="84">
        <f>'Deal Data'!$H117*VLOOKUP('Deal Data'!$L117,Base_Rate[[UniqueIdentifier]:[Rate]],2,FALSE)</f>
        <v>2720</v>
      </c>
      <c r="R117" s="84">
        <f t="shared" si="14"/>
        <v>1360</v>
      </c>
      <c r="S117" s="84">
        <f>IF(G117=G116,SUMIFS($R$2:R117,$K$2:K117,K116,$G$2:G117,G116),0)</f>
        <v>1874.88</v>
      </c>
      <c r="T117" s="84">
        <f t="shared" si="15"/>
        <v>0</v>
      </c>
      <c r="U117" s="84">
        <f>IF(G117=G116,SUMIFS($T$2:T117,$K$2:K117,K116,$G$2:G117,G116),0)</f>
        <v>0</v>
      </c>
      <c r="V117" s="84">
        <f t="shared" si="10"/>
        <v>4080</v>
      </c>
      <c r="W117" s="84" t="str">
        <f>IF(CommissionDetail[[#This Row],[Tier 2 Bonus]]&gt;0,"Yes","No")</f>
        <v>Yes</v>
      </c>
      <c r="X117" s="84">
        <f>IF(CommissionDetail[[#This Row],[Payment Quarter]]="First Payment Pending",0,CommissionDetail[[#This Row],[Total Commission]])</f>
        <v>0</v>
      </c>
    </row>
    <row r="118" spans="1:24" ht="15.75" customHeight="1" x14ac:dyDescent="0.2"/>
    <row r="119" spans="1:24" ht="15.75" customHeight="1" x14ac:dyDescent="0.2"/>
    <row r="120" spans="1:24" ht="15.75" customHeight="1" x14ac:dyDescent="0.2"/>
    <row r="121" spans="1:24" ht="15.75" customHeight="1" x14ac:dyDescent="0.2"/>
    <row r="122" spans="1:24" ht="15.75" customHeight="1" x14ac:dyDescent="0.2"/>
    <row r="123" spans="1:24" ht="15.75" customHeight="1" x14ac:dyDescent="0.2"/>
    <row r="124" spans="1:24" ht="15.75" customHeight="1" x14ac:dyDescent="0.2"/>
    <row r="125" spans="1:24" ht="15.75" customHeight="1" x14ac:dyDescent="0.2"/>
    <row r="126" spans="1:24" ht="15.75" customHeight="1" x14ac:dyDescent="0.2"/>
    <row r="127" spans="1:24" ht="15.75" customHeight="1" x14ac:dyDescent="0.2"/>
    <row r="128" spans="1:24"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sheetData>
  <conditionalFormatting sqref="A2:A1048576 B1:L1">
    <cfRule type="duplicateValues" dxfId="0" priority="2"/>
  </conditionalFormatting>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9888F-9CDA-4BC1-BDCC-FF1E230B2850}">
  <sheetPr codeName="Sheet2"/>
  <dimension ref="A2:F75"/>
  <sheetViews>
    <sheetView workbookViewId="0">
      <selection activeCell="A3" sqref="A3:B7"/>
    </sheetView>
  </sheetViews>
  <sheetFormatPr defaultRowHeight="12.75" x14ac:dyDescent="0.2"/>
  <cols>
    <col min="1" max="1" width="18.28515625" customWidth="1"/>
    <col min="2" max="2" width="12.42578125" customWidth="1"/>
    <col min="3" max="3" width="10.28515625" bestFit="1" customWidth="1"/>
    <col min="4" max="4" width="11.28515625" bestFit="1" customWidth="1"/>
    <col min="5" max="5" width="10.28515625" bestFit="1" customWidth="1"/>
  </cols>
  <sheetData>
    <row r="2" spans="1:6" ht="13.5" thickBot="1" x14ac:dyDescent="0.25">
      <c r="A2" s="5" t="s">
        <v>18</v>
      </c>
    </row>
    <row r="3" spans="1:6" ht="13.5" thickBot="1" x14ac:dyDescent="0.25">
      <c r="A3" s="20" t="s">
        <v>13</v>
      </c>
      <c r="B3" s="22" t="s">
        <v>34</v>
      </c>
    </row>
    <row r="4" spans="1:6" x14ac:dyDescent="0.2">
      <c r="A4" s="17" t="s">
        <v>6</v>
      </c>
      <c r="B4" s="7" t="s">
        <v>14</v>
      </c>
    </row>
    <row r="5" spans="1:6" x14ac:dyDescent="0.2">
      <c r="A5" s="12" t="s">
        <v>7</v>
      </c>
      <c r="B5" s="8" t="s">
        <v>15</v>
      </c>
    </row>
    <row r="6" spans="1:6" x14ac:dyDescent="0.2">
      <c r="A6" s="12" t="s">
        <v>9</v>
      </c>
      <c r="B6" s="8" t="s">
        <v>16</v>
      </c>
    </row>
    <row r="7" spans="1:6" ht="13.5" thickBot="1" x14ac:dyDescent="0.25">
      <c r="A7" s="14" t="s">
        <v>8</v>
      </c>
      <c r="B7" s="9" t="s">
        <v>17</v>
      </c>
    </row>
    <row r="11" spans="1:6" ht="13.5" thickBot="1" x14ac:dyDescent="0.25">
      <c r="A11" s="5" t="s">
        <v>38</v>
      </c>
    </row>
    <row r="12" spans="1:6" ht="13.5" thickBot="1" x14ac:dyDescent="0.25">
      <c r="A12" s="20" t="s">
        <v>19</v>
      </c>
      <c r="B12" s="21" t="s">
        <v>20</v>
      </c>
      <c r="C12" s="21" t="s">
        <v>21</v>
      </c>
      <c r="D12" s="21" t="s">
        <v>22</v>
      </c>
      <c r="E12" s="22" t="s">
        <v>23</v>
      </c>
      <c r="F12" s="49" t="s">
        <v>43</v>
      </c>
    </row>
    <row r="13" spans="1:6" x14ac:dyDescent="0.2">
      <c r="A13" s="17" t="s">
        <v>14</v>
      </c>
      <c r="B13" s="18">
        <v>200000</v>
      </c>
      <c r="C13" s="18">
        <v>250000</v>
      </c>
      <c r="D13" s="18">
        <v>250000</v>
      </c>
      <c r="E13" s="19">
        <v>300000</v>
      </c>
      <c r="F13" s="6" t="s">
        <v>42</v>
      </c>
    </row>
    <row r="14" spans="1:6" x14ac:dyDescent="0.2">
      <c r="A14" s="12" t="s">
        <v>15</v>
      </c>
      <c r="B14" s="10">
        <v>100000</v>
      </c>
      <c r="C14" s="10">
        <v>200000</v>
      </c>
      <c r="D14" s="10">
        <v>250000</v>
      </c>
      <c r="E14" s="13">
        <v>300000</v>
      </c>
    </row>
    <row r="15" spans="1:6" x14ac:dyDescent="0.2">
      <c r="A15" s="12" t="s">
        <v>16</v>
      </c>
      <c r="B15" s="10">
        <v>200000</v>
      </c>
      <c r="C15" s="10">
        <v>250000</v>
      </c>
      <c r="D15" s="10">
        <v>250000</v>
      </c>
      <c r="E15" s="13">
        <v>300000</v>
      </c>
    </row>
    <row r="16" spans="1:6" ht="13.5" thickBot="1" x14ac:dyDescent="0.25">
      <c r="A16" s="14" t="s">
        <v>17</v>
      </c>
      <c r="B16" s="15">
        <v>400000</v>
      </c>
      <c r="C16" s="15">
        <v>450000</v>
      </c>
      <c r="D16" s="15">
        <v>450000</v>
      </c>
      <c r="E16" s="16">
        <v>500000</v>
      </c>
    </row>
    <row r="20" spans="1:6" ht="13.5" thickBot="1" x14ac:dyDescent="0.25">
      <c r="A20" s="5" t="s">
        <v>39</v>
      </c>
    </row>
    <row r="21" spans="1:6" ht="13.5" thickBot="1" x14ac:dyDescent="0.25">
      <c r="A21" s="20" t="s">
        <v>19</v>
      </c>
      <c r="B21" s="21" t="s">
        <v>20</v>
      </c>
      <c r="C21" s="21" t="s">
        <v>21</v>
      </c>
      <c r="D21" s="21" t="s">
        <v>22</v>
      </c>
      <c r="E21" s="22" t="s">
        <v>23</v>
      </c>
      <c r="F21" s="49" t="s">
        <v>43</v>
      </c>
    </row>
    <row r="22" spans="1:6" x14ac:dyDescent="0.2">
      <c r="A22" s="11" t="s">
        <v>14</v>
      </c>
      <c r="B22" s="39">
        <f>B13*1.5</f>
        <v>300000</v>
      </c>
      <c r="C22" s="39">
        <f t="shared" ref="C22:E22" si="0">C13*1.5</f>
        <v>375000</v>
      </c>
      <c r="D22" s="39">
        <f t="shared" si="0"/>
        <v>375000</v>
      </c>
      <c r="E22" s="40">
        <f t="shared" si="0"/>
        <v>450000</v>
      </c>
      <c r="F22" s="6" t="s">
        <v>41</v>
      </c>
    </row>
    <row r="23" spans="1:6" x14ac:dyDescent="0.2">
      <c r="A23" s="12" t="s">
        <v>15</v>
      </c>
      <c r="B23" s="18">
        <f t="shared" ref="B23:E23" si="1">B14*1.5</f>
        <v>150000</v>
      </c>
      <c r="C23" s="18">
        <f t="shared" si="1"/>
        <v>300000</v>
      </c>
      <c r="D23" s="18">
        <f t="shared" si="1"/>
        <v>375000</v>
      </c>
      <c r="E23" s="19">
        <f t="shared" si="1"/>
        <v>450000</v>
      </c>
      <c r="F23" s="6" t="s">
        <v>41</v>
      </c>
    </row>
    <row r="24" spans="1:6" x14ac:dyDescent="0.2">
      <c r="A24" s="12" t="s">
        <v>16</v>
      </c>
      <c r="B24" s="18">
        <f t="shared" ref="B24:E24" si="2">B15*1.5</f>
        <v>300000</v>
      </c>
      <c r="C24" s="18">
        <f t="shared" si="2"/>
        <v>375000</v>
      </c>
      <c r="D24" s="18">
        <f t="shared" si="2"/>
        <v>375000</v>
      </c>
      <c r="E24" s="19">
        <f t="shared" si="2"/>
        <v>450000</v>
      </c>
      <c r="F24" s="6" t="s">
        <v>41</v>
      </c>
    </row>
    <row r="25" spans="1:6" ht="13.5" thickBot="1" x14ac:dyDescent="0.25">
      <c r="A25" s="14" t="s">
        <v>17</v>
      </c>
      <c r="B25" s="41">
        <f t="shared" ref="B25:E25" si="3">B16*1.5</f>
        <v>600000</v>
      </c>
      <c r="C25" s="41">
        <f t="shared" si="3"/>
        <v>675000</v>
      </c>
      <c r="D25" s="41">
        <f t="shared" si="3"/>
        <v>675000</v>
      </c>
      <c r="E25" s="42">
        <f t="shared" si="3"/>
        <v>750000</v>
      </c>
      <c r="F25" s="6" t="s">
        <v>41</v>
      </c>
    </row>
    <row r="29" spans="1:6" ht="13.5" thickBot="1" x14ac:dyDescent="0.25">
      <c r="A29" s="5" t="s">
        <v>40</v>
      </c>
    </row>
    <row r="30" spans="1:6" ht="13.5" thickBot="1" x14ac:dyDescent="0.25">
      <c r="A30" s="20" t="s">
        <v>19</v>
      </c>
      <c r="B30" s="21" t="s">
        <v>20</v>
      </c>
      <c r="C30" s="21" t="s">
        <v>21</v>
      </c>
      <c r="D30" s="21" t="s">
        <v>22</v>
      </c>
      <c r="E30" s="22" t="s">
        <v>23</v>
      </c>
      <c r="F30" s="49" t="s">
        <v>44</v>
      </c>
    </row>
    <row r="31" spans="1:6" x14ac:dyDescent="0.2">
      <c r="A31" s="43" t="s">
        <v>14</v>
      </c>
      <c r="B31" s="46">
        <f>B22+1</f>
        <v>300001</v>
      </c>
      <c r="C31" s="39">
        <f t="shared" ref="C31:E31" si="4">C22+1</f>
        <v>375001</v>
      </c>
      <c r="D31" s="39">
        <f t="shared" si="4"/>
        <v>375001</v>
      </c>
      <c r="E31" s="40">
        <f t="shared" si="4"/>
        <v>450001</v>
      </c>
      <c r="F31" s="6" t="s">
        <v>45</v>
      </c>
    </row>
    <row r="32" spans="1:6" x14ac:dyDescent="0.2">
      <c r="A32" s="44" t="s">
        <v>15</v>
      </c>
      <c r="B32" s="47">
        <f t="shared" ref="B32:E32" si="5">B23+1</f>
        <v>150001</v>
      </c>
      <c r="C32" s="18">
        <f t="shared" si="5"/>
        <v>300001</v>
      </c>
      <c r="D32" s="18">
        <f t="shared" si="5"/>
        <v>375001</v>
      </c>
      <c r="E32" s="19">
        <f t="shared" si="5"/>
        <v>450001</v>
      </c>
      <c r="F32" s="6" t="s">
        <v>45</v>
      </c>
    </row>
    <row r="33" spans="1:6" x14ac:dyDescent="0.2">
      <c r="A33" s="44" t="s">
        <v>16</v>
      </c>
      <c r="B33" s="47">
        <f t="shared" ref="B33:E33" si="6">B24+1</f>
        <v>300001</v>
      </c>
      <c r="C33" s="18">
        <f t="shared" si="6"/>
        <v>375001</v>
      </c>
      <c r="D33" s="18">
        <f t="shared" si="6"/>
        <v>375001</v>
      </c>
      <c r="E33" s="19">
        <f t="shared" si="6"/>
        <v>450001</v>
      </c>
      <c r="F33" s="6" t="s">
        <v>45</v>
      </c>
    </row>
    <row r="34" spans="1:6" ht="13.5" thickBot="1" x14ac:dyDescent="0.25">
      <c r="A34" s="45" t="s">
        <v>17</v>
      </c>
      <c r="B34" s="48">
        <f t="shared" ref="B34:E34" si="7">B25+1</f>
        <v>600001</v>
      </c>
      <c r="C34" s="41">
        <f t="shared" si="7"/>
        <v>675001</v>
      </c>
      <c r="D34" s="41">
        <f t="shared" si="7"/>
        <v>675001</v>
      </c>
      <c r="E34" s="42">
        <f t="shared" si="7"/>
        <v>750001</v>
      </c>
      <c r="F34" s="6" t="s">
        <v>45</v>
      </c>
    </row>
    <row r="37" spans="1:6" ht="13.5" thickBot="1" x14ac:dyDescent="0.25">
      <c r="A37" s="5" t="s">
        <v>24</v>
      </c>
    </row>
    <row r="38" spans="1:6" ht="13.5" thickBot="1" x14ac:dyDescent="0.25">
      <c r="A38" s="23" t="s">
        <v>19</v>
      </c>
      <c r="B38" s="24" t="s">
        <v>20</v>
      </c>
      <c r="C38" s="24" t="s">
        <v>21</v>
      </c>
      <c r="D38" s="24" t="s">
        <v>22</v>
      </c>
      <c r="E38" s="25" t="s">
        <v>23</v>
      </c>
    </row>
    <row r="39" spans="1:6" x14ac:dyDescent="0.2">
      <c r="A39" s="11" t="s">
        <v>14</v>
      </c>
      <c r="B39" s="51">
        <v>0.1</v>
      </c>
      <c r="C39" s="51">
        <v>0.08</v>
      </c>
      <c r="D39" s="51">
        <v>0.08</v>
      </c>
      <c r="E39" s="53">
        <v>7.0000000000000007E-2</v>
      </c>
    </row>
    <row r="40" spans="1:6" x14ac:dyDescent="0.2">
      <c r="A40" s="12" t="s">
        <v>15</v>
      </c>
      <c r="B40" s="50">
        <v>0.12</v>
      </c>
      <c r="C40" s="50">
        <v>0.11</v>
      </c>
      <c r="D40" s="50">
        <v>0.09</v>
      </c>
      <c r="E40" s="54">
        <v>7.0000000000000007E-2</v>
      </c>
    </row>
    <row r="41" spans="1:6" x14ac:dyDescent="0.2">
      <c r="A41" s="12" t="s">
        <v>16</v>
      </c>
      <c r="B41" s="50">
        <v>0.09</v>
      </c>
      <c r="C41" s="50">
        <v>7.0000000000000007E-2</v>
      </c>
      <c r="D41" s="50">
        <v>7.0000000000000007E-2</v>
      </c>
      <c r="E41" s="54">
        <v>0.06</v>
      </c>
    </row>
    <row r="42" spans="1:6" ht="13.5" thickBot="1" x14ac:dyDescent="0.25">
      <c r="A42" s="14" t="s">
        <v>17</v>
      </c>
      <c r="B42" s="52">
        <v>0.09</v>
      </c>
      <c r="C42" s="52">
        <v>0.08</v>
      </c>
      <c r="D42" s="52">
        <v>0.08</v>
      </c>
      <c r="E42" s="55">
        <v>7.0000000000000007E-2</v>
      </c>
    </row>
    <row r="45" spans="1:6" ht="13.5" thickBot="1" x14ac:dyDescent="0.25">
      <c r="A45" s="5" t="s">
        <v>47</v>
      </c>
    </row>
    <row r="46" spans="1:6" ht="13.5" thickBot="1" x14ac:dyDescent="0.25">
      <c r="A46" s="23" t="s">
        <v>19</v>
      </c>
      <c r="B46" s="24" t="s">
        <v>20</v>
      </c>
      <c r="C46" s="24" t="s">
        <v>21</v>
      </c>
      <c r="D46" s="24" t="s">
        <v>22</v>
      </c>
      <c r="E46" s="25" t="s">
        <v>23</v>
      </c>
    </row>
    <row r="47" spans="1:6" x14ac:dyDescent="0.2">
      <c r="A47" s="11" t="s">
        <v>14</v>
      </c>
      <c r="B47" s="51">
        <f>B39*$B$64</f>
        <v>0.15000000000000002</v>
      </c>
      <c r="C47" s="51">
        <f t="shared" ref="C47:E47" si="8">C39*$B$64</f>
        <v>0.12</v>
      </c>
      <c r="D47" s="51">
        <f t="shared" si="8"/>
        <v>0.12</v>
      </c>
      <c r="E47" s="53">
        <f t="shared" si="8"/>
        <v>0.10500000000000001</v>
      </c>
    </row>
    <row r="48" spans="1:6" x14ac:dyDescent="0.2">
      <c r="A48" s="12" t="s">
        <v>15</v>
      </c>
      <c r="B48" s="50">
        <f t="shared" ref="B48:E48" si="9">B40*$B$64</f>
        <v>0.18</v>
      </c>
      <c r="C48" s="50">
        <f t="shared" si="9"/>
        <v>0.16500000000000001</v>
      </c>
      <c r="D48" s="50">
        <f t="shared" si="9"/>
        <v>0.13500000000000001</v>
      </c>
      <c r="E48" s="54">
        <f t="shared" si="9"/>
        <v>0.10500000000000001</v>
      </c>
    </row>
    <row r="49" spans="1:5" x14ac:dyDescent="0.2">
      <c r="A49" s="12" t="s">
        <v>16</v>
      </c>
      <c r="B49" s="50">
        <f t="shared" ref="B49:E49" si="10">B41*$B$64</f>
        <v>0.13500000000000001</v>
      </c>
      <c r="C49" s="50">
        <f t="shared" si="10"/>
        <v>0.10500000000000001</v>
      </c>
      <c r="D49" s="50">
        <f t="shared" si="10"/>
        <v>0.10500000000000001</v>
      </c>
      <c r="E49" s="54">
        <f t="shared" si="10"/>
        <v>0.09</v>
      </c>
    </row>
    <row r="50" spans="1:5" ht="13.5" thickBot="1" x14ac:dyDescent="0.25">
      <c r="A50" s="14" t="s">
        <v>17</v>
      </c>
      <c r="B50" s="52">
        <f t="shared" ref="B50:E50" si="11">B42*$B$64</f>
        <v>0.13500000000000001</v>
      </c>
      <c r="C50" s="52">
        <f t="shared" si="11"/>
        <v>0.12</v>
      </c>
      <c r="D50" s="52">
        <f t="shared" si="11"/>
        <v>0.12</v>
      </c>
      <c r="E50" s="55">
        <f t="shared" si="11"/>
        <v>0.10500000000000001</v>
      </c>
    </row>
    <row r="53" spans="1:5" ht="13.5" thickBot="1" x14ac:dyDescent="0.25">
      <c r="A53" s="5" t="s">
        <v>48</v>
      </c>
    </row>
    <row r="54" spans="1:5" ht="13.5" thickBot="1" x14ac:dyDescent="0.25">
      <c r="A54" s="23" t="s">
        <v>19</v>
      </c>
      <c r="B54" s="24" t="s">
        <v>20</v>
      </c>
      <c r="C54" s="24" t="s">
        <v>21</v>
      </c>
      <c r="D54" s="24" t="s">
        <v>22</v>
      </c>
      <c r="E54" s="25" t="s">
        <v>23</v>
      </c>
    </row>
    <row r="55" spans="1:5" ht="13.5" thickBot="1" x14ac:dyDescent="0.25">
      <c r="A55" s="11" t="s">
        <v>14</v>
      </c>
      <c r="B55" s="26">
        <f>B39*$B$65</f>
        <v>0.2</v>
      </c>
      <c r="C55" s="26">
        <f t="shared" ref="C55:E55" si="12">C39*$B$65</f>
        <v>0.16</v>
      </c>
      <c r="D55" s="26">
        <f t="shared" si="12"/>
        <v>0.16</v>
      </c>
      <c r="E55" s="26">
        <f t="shared" si="12"/>
        <v>0.14000000000000001</v>
      </c>
    </row>
    <row r="56" spans="1:5" ht="13.5" thickBot="1" x14ac:dyDescent="0.25">
      <c r="A56" s="12" t="s">
        <v>15</v>
      </c>
      <c r="B56" s="26">
        <f t="shared" ref="B56:E56" si="13">B40*$B$65</f>
        <v>0.24</v>
      </c>
      <c r="C56" s="26">
        <f t="shared" si="13"/>
        <v>0.22</v>
      </c>
      <c r="D56" s="26">
        <f t="shared" si="13"/>
        <v>0.18</v>
      </c>
      <c r="E56" s="26">
        <f t="shared" si="13"/>
        <v>0.14000000000000001</v>
      </c>
    </row>
    <row r="57" spans="1:5" ht="13.5" thickBot="1" x14ac:dyDescent="0.25">
      <c r="A57" s="12" t="s">
        <v>16</v>
      </c>
      <c r="B57" s="26">
        <f t="shared" ref="B57:E57" si="14">B41*$B$65</f>
        <v>0.18</v>
      </c>
      <c r="C57" s="26">
        <f t="shared" si="14"/>
        <v>0.14000000000000001</v>
      </c>
      <c r="D57" s="26">
        <f t="shared" si="14"/>
        <v>0.14000000000000001</v>
      </c>
      <c r="E57" s="26">
        <f t="shared" si="14"/>
        <v>0.12</v>
      </c>
    </row>
    <row r="58" spans="1:5" ht="13.5" thickBot="1" x14ac:dyDescent="0.25">
      <c r="A58" s="14" t="s">
        <v>17</v>
      </c>
      <c r="B58" s="26">
        <f t="shared" ref="B58:E58" si="15">B42*$B$65</f>
        <v>0.18</v>
      </c>
      <c r="C58" s="26">
        <f t="shared" si="15"/>
        <v>0.16</v>
      </c>
      <c r="D58" s="26">
        <f t="shared" si="15"/>
        <v>0.16</v>
      </c>
      <c r="E58" s="26">
        <f t="shared" si="15"/>
        <v>0.14000000000000001</v>
      </c>
    </row>
    <row r="61" spans="1:5" ht="13.5" thickBot="1" x14ac:dyDescent="0.25">
      <c r="A61" s="5" t="s">
        <v>25</v>
      </c>
    </row>
    <row r="62" spans="1:5" ht="26.25" thickBot="1" x14ac:dyDescent="0.25">
      <c r="A62" s="30" t="s">
        <v>27</v>
      </c>
      <c r="B62" s="31" t="s">
        <v>26</v>
      </c>
    </row>
    <row r="63" spans="1:5" x14ac:dyDescent="0.2">
      <c r="A63" s="29" t="s">
        <v>28</v>
      </c>
      <c r="B63" s="4">
        <v>1</v>
      </c>
    </row>
    <row r="64" spans="1:5" x14ac:dyDescent="0.2">
      <c r="A64" s="27" t="s">
        <v>29</v>
      </c>
      <c r="B64" s="2">
        <v>1.5</v>
      </c>
    </row>
    <row r="65" spans="1:2" ht="13.5" thickBot="1" x14ac:dyDescent="0.25">
      <c r="A65" s="28" t="s">
        <v>30</v>
      </c>
      <c r="B65" s="3">
        <v>2</v>
      </c>
    </row>
    <row r="70" spans="1:2" ht="13.5" thickBot="1" x14ac:dyDescent="0.25">
      <c r="A70" s="5" t="s">
        <v>31</v>
      </c>
    </row>
    <row r="71" spans="1:2" ht="26.25" thickBot="1" x14ac:dyDescent="0.25">
      <c r="A71" s="30" t="s">
        <v>32</v>
      </c>
      <c r="B71" s="35" t="s">
        <v>31</v>
      </c>
    </row>
    <row r="72" spans="1:2" x14ac:dyDescent="0.2">
      <c r="A72" s="29" t="s">
        <v>20</v>
      </c>
      <c r="B72" s="34">
        <v>44651</v>
      </c>
    </row>
    <row r="73" spans="1:2" x14ac:dyDescent="0.2">
      <c r="A73" s="27" t="s">
        <v>21</v>
      </c>
      <c r="B73" s="32">
        <v>44742</v>
      </c>
    </row>
    <row r="74" spans="1:2" x14ac:dyDescent="0.2">
      <c r="A74" s="27" t="s">
        <v>22</v>
      </c>
      <c r="B74" s="32">
        <v>44834</v>
      </c>
    </row>
    <row r="75" spans="1:2" ht="13.5" thickBot="1" x14ac:dyDescent="0.25">
      <c r="A75" s="28" t="s">
        <v>23</v>
      </c>
      <c r="B75" s="33">
        <v>44926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B3DA-FD20-47C2-BE25-F25F3F64B8A0}">
  <dimension ref="A1:B5"/>
  <sheetViews>
    <sheetView workbookViewId="0">
      <selection sqref="A1:B5"/>
    </sheetView>
  </sheetViews>
  <sheetFormatPr defaultRowHeight="12.75" x14ac:dyDescent="0.2"/>
  <sheetData>
    <row r="1" spans="1:2" ht="13.5" thickBot="1" x14ac:dyDescent="0.25">
      <c r="A1" s="80" t="s">
        <v>13</v>
      </c>
      <c r="B1" s="81" t="s">
        <v>34</v>
      </c>
    </row>
    <row r="2" spans="1:2" x14ac:dyDescent="0.2">
      <c r="A2" s="65" t="s">
        <v>6</v>
      </c>
      <c r="B2" s="78" t="s">
        <v>14</v>
      </c>
    </row>
    <row r="3" spans="1:2" x14ac:dyDescent="0.2">
      <c r="A3" s="59" t="s">
        <v>7</v>
      </c>
      <c r="B3" s="79" t="s">
        <v>15</v>
      </c>
    </row>
    <row r="4" spans="1:2" x14ac:dyDescent="0.2">
      <c r="A4" s="59" t="s">
        <v>9</v>
      </c>
      <c r="B4" s="79" t="s">
        <v>16</v>
      </c>
    </row>
    <row r="5" spans="1:2" x14ac:dyDescent="0.2">
      <c r="A5" s="82" t="s">
        <v>8</v>
      </c>
      <c r="B5" s="83"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CF8F9-8341-48B5-95F0-12B4697168FC}">
  <dimension ref="A1:B5"/>
  <sheetViews>
    <sheetView workbookViewId="0">
      <selection activeCell="A4" sqref="A4"/>
    </sheetView>
  </sheetViews>
  <sheetFormatPr defaultRowHeight="12.75" x14ac:dyDescent="0.2"/>
  <cols>
    <col min="1" max="1" width="13" bestFit="1" customWidth="1"/>
    <col min="2" max="2" width="15.85546875" customWidth="1"/>
  </cols>
  <sheetData>
    <row r="1" spans="1:2" ht="51.75" thickBot="1" x14ac:dyDescent="0.25">
      <c r="A1" s="74" t="s">
        <v>32</v>
      </c>
      <c r="B1" s="75" t="s">
        <v>31</v>
      </c>
    </row>
    <row r="2" spans="1:2" x14ac:dyDescent="0.2">
      <c r="A2" s="70" t="s">
        <v>20</v>
      </c>
      <c r="B2" s="72">
        <v>44651</v>
      </c>
    </row>
    <row r="3" spans="1:2" x14ac:dyDescent="0.2">
      <c r="A3" s="71" t="s">
        <v>21</v>
      </c>
      <c r="B3" s="73">
        <v>44742</v>
      </c>
    </row>
    <row r="4" spans="1:2" x14ac:dyDescent="0.2">
      <c r="A4" s="71" t="s">
        <v>22</v>
      </c>
      <c r="B4" s="73">
        <v>44834</v>
      </c>
    </row>
    <row r="5" spans="1:2" x14ac:dyDescent="0.2">
      <c r="A5" s="76" t="s">
        <v>23</v>
      </c>
      <c r="B5" s="77">
        <v>44926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7EFA-9DC3-4CE7-A522-4F302B03CCD5}">
  <dimension ref="A1:G17"/>
  <sheetViews>
    <sheetView workbookViewId="0">
      <selection activeCell="J19" sqref="J19"/>
    </sheetView>
  </sheetViews>
  <sheetFormatPr defaultRowHeight="12.75" x14ac:dyDescent="0.2"/>
  <cols>
    <col min="2" max="2" width="10" customWidth="1"/>
    <col min="3" max="3" width="17.7109375" customWidth="1"/>
  </cols>
  <sheetData>
    <row r="1" spans="1:7" x14ac:dyDescent="0.2">
      <c r="A1" s="63" t="s">
        <v>34</v>
      </c>
      <c r="B1" s="61" t="s">
        <v>19</v>
      </c>
      <c r="C1" s="60" t="s">
        <v>51</v>
      </c>
      <c r="D1" s="60" t="s">
        <v>52</v>
      </c>
      <c r="E1" s="61"/>
      <c r="F1" s="61"/>
      <c r="G1" s="61"/>
    </row>
    <row r="2" spans="1:7" x14ac:dyDescent="0.2">
      <c r="A2" s="61" t="s">
        <v>14</v>
      </c>
      <c r="B2" s="60" t="s">
        <v>20</v>
      </c>
      <c r="C2" s="60" t="str">
        <f>CONCATENATE(A2,B2)</f>
        <v>BobQ1</v>
      </c>
      <c r="D2" s="66">
        <v>200000</v>
      </c>
      <c r="E2" s="66"/>
      <c r="F2" s="66"/>
      <c r="G2" s="66"/>
    </row>
    <row r="3" spans="1:7" x14ac:dyDescent="0.2">
      <c r="A3" s="61" t="s">
        <v>15</v>
      </c>
      <c r="B3" s="60" t="s">
        <v>20</v>
      </c>
      <c r="C3" s="60" t="str">
        <f t="shared" ref="C3:C17" si="0">CONCATENATE(A3,B3)</f>
        <v>JaneQ1</v>
      </c>
      <c r="D3" s="66">
        <v>100000</v>
      </c>
      <c r="E3" s="66"/>
      <c r="F3" s="66"/>
      <c r="G3" s="66"/>
    </row>
    <row r="4" spans="1:7" x14ac:dyDescent="0.2">
      <c r="A4" s="61" t="s">
        <v>16</v>
      </c>
      <c r="B4" s="60" t="s">
        <v>20</v>
      </c>
      <c r="C4" s="60" t="str">
        <f t="shared" si="0"/>
        <v>JoeQ1</v>
      </c>
      <c r="D4" s="66">
        <v>200000</v>
      </c>
      <c r="E4" s="66"/>
      <c r="F4" s="66"/>
      <c r="G4" s="66"/>
    </row>
    <row r="5" spans="1:7" x14ac:dyDescent="0.2">
      <c r="A5" s="61" t="s">
        <v>17</v>
      </c>
      <c r="B5" s="60" t="s">
        <v>20</v>
      </c>
      <c r="C5" s="60" t="str">
        <f t="shared" si="0"/>
        <v>LinQ1</v>
      </c>
      <c r="D5" s="66">
        <v>400000</v>
      </c>
      <c r="E5" s="66"/>
      <c r="F5" s="66"/>
      <c r="G5" s="66"/>
    </row>
    <row r="6" spans="1:7" x14ac:dyDescent="0.2">
      <c r="A6" s="61" t="s">
        <v>14</v>
      </c>
      <c r="B6" s="61" t="s">
        <v>21</v>
      </c>
      <c r="C6" s="60" t="str">
        <f t="shared" si="0"/>
        <v>BobQ2</v>
      </c>
      <c r="D6" s="66">
        <v>250000</v>
      </c>
    </row>
    <row r="7" spans="1:7" x14ac:dyDescent="0.2">
      <c r="A7" s="61" t="s">
        <v>15</v>
      </c>
      <c r="B7" s="61" t="s">
        <v>21</v>
      </c>
      <c r="C7" s="60" t="str">
        <f t="shared" si="0"/>
        <v>JaneQ2</v>
      </c>
      <c r="D7" s="66">
        <v>200000</v>
      </c>
    </row>
    <row r="8" spans="1:7" x14ac:dyDescent="0.2">
      <c r="A8" s="61" t="s">
        <v>16</v>
      </c>
      <c r="B8" s="61" t="s">
        <v>21</v>
      </c>
      <c r="C8" s="60" t="str">
        <f t="shared" si="0"/>
        <v>JoeQ2</v>
      </c>
      <c r="D8" s="66">
        <v>250000</v>
      </c>
    </row>
    <row r="9" spans="1:7" x14ac:dyDescent="0.2">
      <c r="A9" s="61" t="s">
        <v>17</v>
      </c>
      <c r="B9" s="61" t="s">
        <v>21</v>
      </c>
      <c r="C9" s="60" t="str">
        <f t="shared" si="0"/>
        <v>LinQ2</v>
      </c>
      <c r="D9" s="66">
        <v>450000</v>
      </c>
    </row>
    <row r="10" spans="1:7" x14ac:dyDescent="0.2">
      <c r="A10" s="61" t="s">
        <v>14</v>
      </c>
      <c r="B10" s="61" t="s">
        <v>22</v>
      </c>
      <c r="C10" s="60" t="str">
        <f t="shared" si="0"/>
        <v>BobQ3</v>
      </c>
      <c r="D10" s="66">
        <v>250000</v>
      </c>
    </row>
    <row r="11" spans="1:7" x14ac:dyDescent="0.2">
      <c r="A11" s="61" t="s">
        <v>15</v>
      </c>
      <c r="B11" s="61" t="s">
        <v>22</v>
      </c>
      <c r="C11" s="60" t="str">
        <f t="shared" si="0"/>
        <v>JaneQ3</v>
      </c>
      <c r="D11" s="66">
        <v>250000</v>
      </c>
    </row>
    <row r="12" spans="1:7" x14ac:dyDescent="0.2">
      <c r="A12" s="61" t="s">
        <v>16</v>
      </c>
      <c r="B12" s="61" t="s">
        <v>22</v>
      </c>
      <c r="C12" s="60" t="str">
        <f t="shared" si="0"/>
        <v>JoeQ3</v>
      </c>
      <c r="D12" s="66">
        <v>250000</v>
      </c>
    </row>
    <row r="13" spans="1:7" x14ac:dyDescent="0.2">
      <c r="A13" s="61" t="s">
        <v>17</v>
      </c>
      <c r="B13" s="61" t="s">
        <v>22</v>
      </c>
      <c r="C13" s="60" t="str">
        <f t="shared" si="0"/>
        <v>LinQ3</v>
      </c>
      <c r="D13" s="66">
        <v>450000</v>
      </c>
    </row>
    <row r="14" spans="1:7" x14ac:dyDescent="0.2">
      <c r="A14" s="61" t="s">
        <v>14</v>
      </c>
      <c r="B14" s="61" t="s">
        <v>23</v>
      </c>
      <c r="C14" s="60" t="str">
        <f t="shared" si="0"/>
        <v>BobQ4</v>
      </c>
      <c r="D14" s="66">
        <v>300000</v>
      </c>
    </row>
    <row r="15" spans="1:7" x14ac:dyDescent="0.2">
      <c r="A15" s="61" t="s">
        <v>15</v>
      </c>
      <c r="B15" s="61" t="s">
        <v>23</v>
      </c>
      <c r="C15" s="60" t="str">
        <f t="shared" si="0"/>
        <v>JaneQ4</v>
      </c>
      <c r="D15" s="66">
        <v>300000</v>
      </c>
    </row>
    <row r="16" spans="1:7" x14ac:dyDescent="0.2">
      <c r="A16" s="61" t="s">
        <v>16</v>
      </c>
      <c r="B16" s="61" t="s">
        <v>23</v>
      </c>
      <c r="C16" s="60" t="str">
        <f t="shared" si="0"/>
        <v>JoeQ4</v>
      </c>
      <c r="D16" s="66">
        <v>300000</v>
      </c>
    </row>
    <row r="17" spans="1:4" x14ac:dyDescent="0.2">
      <c r="A17" s="61" t="s">
        <v>17</v>
      </c>
      <c r="B17" s="61" t="s">
        <v>23</v>
      </c>
      <c r="C17" s="60" t="str">
        <f t="shared" si="0"/>
        <v>LinQ4</v>
      </c>
      <c r="D17" s="66">
        <v>500000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C198-732B-4B37-96FA-2C109ACEDDBE}">
  <dimension ref="A1:F17"/>
  <sheetViews>
    <sheetView workbookViewId="0">
      <selection activeCell="C2" sqref="C2"/>
    </sheetView>
  </sheetViews>
  <sheetFormatPr defaultRowHeight="12.75" x14ac:dyDescent="0.2"/>
  <cols>
    <col min="1" max="1" width="9.140625" style="58"/>
    <col min="2" max="2" width="10" style="58" customWidth="1"/>
    <col min="3" max="3" width="17.7109375" style="58" customWidth="1"/>
    <col min="4" max="6" width="9.140625" style="58"/>
  </cols>
  <sheetData>
    <row r="1" spans="1:5" x14ac:dyDescent="0.2">
      <c r="A1" s="60" t="s">
        <v>34</v>
      </c>
      <c r="B1" s="60" t="s">
        <v>19</v>
      </c>
      <c r="C1" s="60" t="s">
        <v>51</v>
      </c>
      <c r="D1" s="60" t="s">
        <v>50</v>
      </c>
      <c r="E1" s="61"/>
    </row>
    <row r="2" spans="1:5" x14ac:dyDescent="0.2">
      <c r="A2" s="61" t="s">
        <v>14</v>
      </c>
      <c r="B2" s="60" t="s">
        <v>20</v>
      </c>
      <c r="C2" s="60" t="str">
        <f>CONCATENATE(A2,B2)</f>
        <v>BobQ1</v>
      </c>
      <c r="D2" s="62">
        <v>0.1</v>
      </c>
      <c r="E2" s="62"/>
    </row>
    <row r="3" spans="1:5" x14ac:dyDescent="0.2">
      <c r="A3" s="61" t="s">
        <v>15</v>
      </c>
      <c r="B3" s="60" t="s">
        <v>20</v>
      </c>
      <c r="C3" s="60" t="str">
        <f t="shared" ref="C3:C17" si="0">CONCATENATE(A3,B3)</f>
        <v>JaneQ1</v>
      </c>
      <c r="D3" s="62">
        <v>0.12</v>
      </c>
      <c r="E3" s="62"/>
    </row>
    <row r="4" spans="1:5" x14ac:dyDescent="0.2">
      <c r="A4" s="61" t="s">
        <v>16</v>
      </c>
      <c r="B4" s="60" t="s">
        <v>20</v>
      </c>
      <c r="C4" s="60" t="str">
        <f t="shared" si="0"/>
        <v>JoeQ1</v>
      </c>
      <c r="D4" s="62">
        <v>0.09</v>
      </c>
      <c r="E4" s="62"/>
    </row>
    <row r="5" spans="1:5" x14ac:dyDescent="0.2">
      <c r="A5" s="61" t="s">
        <v>17</v>
      </c>
      <c r="B5" s="60" t="s">
        <v>20</v>
      </c>
      <c r="C5" s="60" t="str">
        <f t="shared" si="0"/>
        <v>LinQ1</v>
      </c>
      <c r="D5" s="62">
        <v>0.09</v>
      </c>
      <c r="E5" s="62"/>
    </row>
    <row r="6" spans="1:5" x14ac:dyDescent="0.2">
      <c r="A6" s="61" t="s">
        <v>14</v>
      </c>
      <c r="B6" s="64" t="s">
        <v>21</v>
      </c>
      <c r="C6" s="60" t="str">
        <f t="shared" si="0"/>
        <v>BobQ2</v>
      </c>
      <c r="D6" s="62">
        <v>0.08</v>
      </c>
    </row>
    <row r="7" spans="1:5" x14ac:dyDescent="0.2">
      <c r="A7" s="61" t="s">
        <v>15</v>
      </c>
      <c r="B7" s="64" t="s">
        <v>21</v>
      </c>
      <c r="C7" s="60" t="str">
        <f t="shared" si="0"/>
        <v>JaneQ2</v>
      </c>
      <c r="D7" s="62">
        <v>0.11</v>
      </c>
    </row>
    <row r="8" spans="1:5" x14ac:dyDescent="0.2">
      <c r="A8" s="61" t="s">
        <v>16</v>
      </c>
      <c r="B8" s="64" t="s">
        <v>21</v>
      </c>
      <c r="C8" s="60" t="str">
        <f t="shared" si="0"/>
        <v>JoeQ2</v>
      </c>
      <c r="D8" s="62">
        <v>7.0000000000000007E-2</v>
      </c>
    </row>
    <row r="9" spans="1:5" x14ac:dyDescent="0.2">
      <c r="A9" s="61" t="s">
        <v>17</v>
      </c>
      <c r="B9" s="64" t="s">
        <v>21</v>
      </c>
      <c r="C9" s="60" t="str">
        <f t="shared" si="0"/>
        <v>LinQ2</v>
      </c>
      <c r="D9" s="62">
        <v>0.08</v>
      </c>
    </row>
    <row r="10" spans="1:5" x14ac:dyDescent="0.2">
      <c r="A10" s="61" t="s">
        <v>14</v>
      </c>
      <c r="B10" s="64" t="s">
        <v>22</v>
      </c>
      <c r="C10" s="60" t="str">
        <f t="shared" si="0"/>
        <v>BobQ3</v>
      </c>
      <c r="D10" s="62">
        <v>0.08</v>
      </c>
    </row>
    <row r="11" spans="1:5" x14ac:dyDescent="0.2">
      <c r="A11" s="61" t="s">
        <v>15</v>
      </c>
      <c r="B11" s="64" t="s">
        <v>22</v>
      </c>
      <c r="C11" s="60" t="str">
        <f t="shared" si="0"/>
        <v>JaneQ3</v>
      </c>
      <c r="D11" s="62">
        <v>0.09</v>
      </c>
    </row>
    <row r="12" spans="1:5" x14ac:dyDescent="0.2">
      <c r="A12" s="61" t="s">
        <v>16</v>
      </c>
      <c r="B12" s="64" t="s">
        <v>22</v>
      </c>
      <c r="C12" s="60" t="str">
        <f t="shared" si="0"/>
        <v>JoeQ3</v>
      </c>
      <c r="D12" s="62">
        <v>7.0000000000000007E-2</v>
      </c>
    </row>
    <row r="13" spans="1:5" x14ac:dyDescent="0.2">
      <c r="A13" s="61" t="s">
        <v>17</v>
      </c>
      <c r="B13" s="64" t="s">
        <v>22</v>
      </c>
      <c r="C13" s="60" t="str">
        <f t="shared" si="0"/>
        <v>LinQ3</v>
      </c>
      <c r="D13" s="62">
        <v>0.08</v>
      </c>
    </row>
    <row r="14" spans="1:5" x14ac:dyDescent="0.2">
      <c r="A14" s="61" t="s">
        <v>14</v>
      </c>
      <c r="B14" s="64" t="s">
        <v>23</v>
      </c>
      <c r="C14" s="60" t="str">
        <f t="shared" si="0"/>
        <v>BobQ4</v>
      </c>
      <c r="D14" s="62">
        <v>7.0000000000000007E-2</v>
      </c>
    </row>
    <row r="15" spans="1:5" x14ac:dyDescent="0.2">
      <c r="A15" s="61" t="s">
        <v>15</v>
      </c>
      <c r="B15" s="64" t="s">
        <v>23</v>
      </c>
      <c r="C15" s="60" t="str">
        <f t="shared" si="0"/>
        <v>JaneQ4</v>
      </c>
      <c r="D15" s="62">
        <v>7.0000000000000007E-2</v>
      </c>
    </row>
    <row r="16" spans="1:5" x14ac:dyDescent="0.2">
      <c r="A16" s="61" t="s">
        <v>16</v>
      </c>
      <c r="B16" s="64" t="s">
        <v>23</v>
      </c>
      <c r="C16" s="60" t="str">
        <f t="shared" si="0"/>
        <v>JoeQ4</v>
      </c>
      <c r="D16" s="62">
        <v>0.06</v>
      </c>
    </row>
    <row r="17" spans="1:4" x14ac:dyDescent="0.2">
      <c r="A17" s="61" t="s">
        <v>17</v>
      </c>
      <c r="B17" s="64" t="s">
        <v>23</v>
      </c>
      <c r="C17" s="60" t="str">
        <f t="shared" si="0"/>
        <v>LinQ4</v>
      </c>
      <c r="D17" s="62">
        <v>7.0000000000000007E-2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Data(Exercise)</vt:lpstr>
      <vt:lpstr>Deal Data</vt:lpstr>
      <vt:lpstr>Reference Data</vt:lpstr>
      <vt:lpstr>Employee_Info</vt:lpstr>
      <vt:lpstr>Payment_date</vt:lpstr>
      <vt:lpstr>Base attainment</vt:lpstr>
      <vt:lpstr>Comm_Rates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Gabe</cp:lastModifiedBy>
  <dcterms:created xsi:type="dcterms:W3CDTF">2022-02-18T05:01:30Z</dcterms:created>
  <dcterms:modified xsi:type="dcterms:W3CDTF">2022-02-21T05:39:16Z</dcterms:modified>
</cp:coreProperties>
</file>